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Connor\Documents\The10thMan\NET\"/>
    </mc:Choice>
  </mc:AlternateContent>
  <xr:revisionPtr revIDLastSave="0" documentId="13_ncr:1_{CC78BFB4-D792-4525-ADBD-15827B1B20FC}" xr6:coauthVersionLast="47" xr6:coauthVersionMax="47" xr10:uidLastSave="{00000000-0000-0000-0000-000000000000}"/>
  <bookViews>
    <workbookView xWindow="-120" yWindow="-120" windowWidth="29040" windowHeight="15840" firstSheet="1" activeTab="1" xr2:uid="{00000000-000D-0000-FFFF-FFFF00000000}"/>
  </bookViews>
  <sheets>
    <sheet name="_CIQHiddenCacheSheet" sheetId="245" state="veryHidden" r:id="rId1"/>
    <sheet name="DCF" sheetId="260" r:id="rId2"/>
    <sheet name="Model" sheetId="43" r:id="rId3"/>
    <sheet name="QRT" sheetId="259" r:id="rId4"/>
  </sheets>
  <externalReferences>
    <externalReference r:id="rId5"/>
    <externalReference r:id="rId6"/>
    <externalReference r:id="rId7"/>
    <externalReference r:id="rId8"/>
    <externalReference r:id="rId9"/>
    <externalReference r:id="rId10"/>
  </externalReferences>
  <definedNames>
    <definedName name="__123Graph_AGRAPH1" hidden="1">[1]ROE!#REF!</definedName>
    <definedName name="__FDS_HYPERLINK_TOGGLE_STATE__" hidden="1">"ON"</definedName>
    <definedName name="_Fill" hidden="1">#REF!</definedName>
    <definedName name="_xlnm._FilterDatabase" localSheetId="1" hidden="1">DCF!$B$89</definedName>
    <definedName name="_xlnm._FilterDatabase" localSheetId="2" hidden="1">Model!#REF!</definedName>
    <definedName name="_xlnm._FilterDatabase" localSheetId="3" hidden="1">QRT!#REF!</definedName>
    <definedName name="_Key1" hidden="1">#REF!</definedName>
    <definedName name="_Order1" hidden="1">0</definedName>
    <definedName name="_Regression_Out" hidden="1">#REF!</definedName>
    <definedName name="_Regression_X" hidden="1">#REF!</definedName>
    <definedName name="_Regression_Y" hidden="1">#REF!</definedName>
    <definedName name="_Sort" hidden="1">#REF!</definedName>
    <definedName name="CIQWBGuid" localSheetId="1" hidden="1">"ddb1e6c7-4c75-49bf-a966-d33940e1cd5a"</definedName>
    <definedName name="CIQWBGuid" localSheetId="2" hidden="1">"93109f73-ce43-46f2-baa0-f90921c844ea"</definedName>
    <definedName name="CIQWBGuid" localSheetId="3" hidden="1">"93109f73-ce43-46f2-baa0-f90921c844ea"</definedName>
    <definedName name="CIQWBGuid" hidden="1">"ddb1e6c7-4c75-49bf-a966-d33940e1cd5a"</definedName>
    <definedName name="dgf" hidden="1">#REF!</definedName>
    <definedName name="IQ_ADDIN" hidden="1">"AUTO"</definedName>
    <definedName name="IQ_AVG_PRICE_TARGET" hidden="1">"c82"</definedName>
    <definedName name="IQ_BV_ACT_OR_EST_REUT" hidden="1">"c5471"</definedName>
    <definedName name="IQ_BV_ACT_OR_EST_THOM" hidden="1">"c5308"</definedName>
    <definedName name="IQ_BV_EST_REUT" hidden="1">"c5403"</definedName>
    <definedName name="IQ_BV_EST_THOM" hidden="1">"c5147"</definedName>
    <definedName name="IQ_BV_HIGH_EST_REUT" hidden="1">"c5405"</definedName>
    <definedName name="IQ_BV_HIGH_EST_THOM" hidden="1">"c5149"</definedName>
    <definedName name="IQ_BV_LOW_EST_REUT" hidden="1">"c5406"</definedName>
    <definedName name="IQ_BV_LOW_EST_THOM" hidden="1">"c5150"</definedName>
    <definedName name="IQ_BV_MEDIAN_EST_REUT" hidden="1">"c5404"</definedName>
    <definedName name="IQ_BV_MEDIAN_EST_THOM" hidden="1">"c5148"</definedName>
    <definedName name="IQ_BV_NUM_EST_REUT" hidden="1">"c5407"</definedName>
    <definedName name="IQ_BV_NUM_EST_THOM" hidden="1">"c5151"</definedName>
    <definedName name="IQ_BV_STDDEV_EST_REUT" hidden="1">"c5408"</definedName>
    <definedName name="IQ_BV_STDDEV_EST_THOM" hidden="1">"c5152"</definedName>
    <definedName name="IQ_CH">110000</definedName>
    <definedName name="IQ_CONV_RATE" hidden="1">"c2192"</definedName>
    <definedName name="IQ_CQ">5000</definedName>
    <definedName name="IQ_CY">10000</definedName>
    <definedName name="IQ_DAILY">500000</definedName>
    <definedName name="IQ_DNTM" hidden="1">700000</definedName>
    <definedName name="IQ_EPS_PRIMARY_EST" hidden="1">"c2226"</definedName>
    <definedName name="IQ_EPS_PRIMARY_HIGH_EST" hidden="1">"c2228"</definedName>
    <definedName name="IQ_EPS_PRIMARY_LOW_EST" hidden="1">"c2229"</definedName>
    <definedName name="IQ_EPS_PRIMARY_MEDIAN_EST" hidden="1">"c2227"</definedName>
    <definedName name="IQ_EPS_PRIMARY_NUM_EST" hidden="1">"c2230"</definedName>
    <definedName name="IQ_EPS_PRIMARY_STDDEV_EST" hidden="1">"c2231"</definedName>
    <definedName name="IQ_EST_ACT_BV_REUT" hidden="1">"c5409"</definedName>
    <definedName name="IQ_EST_ACT_BV_THOM" hidden="1">"c5153"</definedName>
    <definedName name="IQ_EST_ACT_EPS_PRIMARY" hidden="1">"c2232"</definedName>
    <definedName name="IQ_EST_BV_DIFF_CIQ" hidden="1">"c4765"</definedName>
    <definedName name="IQ_EST_BV_DIFF_REUT" hidden="1">"c5433"</definedName>
    <definedName name="IQ_EST_BV_DIFF_THOM" hidden="1">"c5204"</definedName>
    <definedName name="IQ_EST_BV_SURPRISE_PERCENT_CIQ" hidden="1">"c4766"</definedName>
    <definedName name="IQ_EST_BV_SURPRISE_PERCENT_REUT" hidden="1">"c5434"</definedName>
    <definedName name="IQ_EST_BV_SURPRISE_PERCENT_THOM" hidden="1">"c5205"</definedName>
    <definedName name="IQ_EST_EPS_SURPRISE" hidden="1">"c1635"</definedName>
    <definedName name="IQ_EST_NUM_BUY_CIQ" hidden="1">"c3700"</definedName>
    <definedName name="IQ_EST_NUM_BUY_REUT" hidden="1">"c3869"</definedName>
    <definedName name="IQ_EST_NUM_BUY_THOM" hidden="1">"c5165"</definedName>
    <definedName name="IQ_EST_NUM_HOLD_CIQ" hidden="1">"c3702"</definedName>
    <definedName name="IQ_EST_NUM_HOLD_REUT" hidden="1">"c3871"</definedName>
    <definedName name="IQ_EST_NUM_HOLD_THOM" hidden="1">"c5167"</definedName>
    <definedName name="IQ_EST_NUM_OUTPERFORM_CIQ" hidden="1">"c3701"</definedName>
    <definedName name="IQ_EST_NUM_OUTPERFORM_REUT" hidden="1">"c3870"</definedName>
    <definedName name="IQ_EST_NUM_OUTPERFORM_THOM" hidden="1">"c5166"</definedName>
    <definedName name="IQ_EST_NUM_SELL_CIQ" hidden="1">"c3704"</definedName>
    <definedName name="IQ_EST_NUM_SELL_REUT" hidden="1">"c3873"</definedName>
    <definedName name="IQ_EST_NUM_SELL_THOM" hidden="1">"c5169"</definedName>
    <definedName name="IQ_EST_NUM_UNDERPERFORM_CIQ" hidden="1">"c3703"</definedName>
    <definedName name="IQ_EST_NUM_UNDERPERFORM_REUT" hidden="1">"c3872"</definedName>
    <definedName name="IQ_EST_NUM_UNDERPERFORM_THOM" hidden="1">"c5168"</definedName>
    <definedName name="IQ_EXPENSE_CODE_" hidden="1">"test"</definedName>
    <definedName name="IQ_FH">100000</definedName>
    <definedName name="IQ_FIN_DIV_CURRENT_PORT_DEBT_TOTAL" hidden="1">"c5524"</definedName>
    <definedName name="IQ_FIN_DIV_CURRENT_PORT_LEASES_TOTAL" hidden="1">"c5523"</definedName>
    <definedName name="IQ_FIN_DIV_DEBT_LT_TOTAL" hidden="1">"c5526"</definedName>
    <definedName name="IQ_FIN_DIV_LEASES_LT_TOTAL" hidden="1">"c5525"</definedName>
    <definedName name="IQ_FIN_DIV_NOTES_PAY_TOTAL" hidden="1">"c5522"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44052.1032407407</definedName>
    <definedName name="IQ_NAV_ACT_OR_EST" hidden="1">"c2225"</definedName>
    <definedName name="IQ_NTM">6000</definedName>
    <definedName name="IQ_OG_TOTAL_OIL_PRODUCTON" hidden="1">"c2059"</definedName>
    <definedName name="IQ_OPENED55" hidden="1">1</definedName>
    <definedName name="IQ_PRIMARY_EPS_TYPE_THOM" hidden="1">"c5297"</definedName>
    <definedName name="IQ_QTD" hidden="1">750000</definedName>
    <definedName name="IQ_SHAREOUTSTANDING" hidden="1">"c1347"</definedName>
    <definedName name="IQ_TODAY" hidden="1">0</definedName>
    <definedName name="IQ_TOTAL_PENSION_OBLIGATION" hidden="1">"c1292"</definedName>
    <definedName name="IQ_WEEK">50000</definedName>
    <definedName name="IQ_YTD">3000</definedName>
    <definedName name="IQ_YTDMONTH" hidden="1">130000</definedName>
    <definedName name="IQRDCF2BS12" hidden="1">[2]Segments!#REF!</definedName>
    <definedName name="IQRDCF2CA12" hidden="1">[2]Segments!#REF!</definedName>
    <definedName name="IQRDCF2X164" hidden="1">[2]Segments!#REF!</definedName>
    <definedName name="IQRDCFAG29" hidden="1">[2]DCF!#REF!</definedName>
    <definedName name="IQRDCFAG30" hidden="1">[2]DCF!#REF!</definedName>
    <definedName name="IQRDCFAG6" hidden="1">[2]DCF!#REF!</definedName>
    <definedName name="IQRDCFAH6" hidden="1">[2]DCF!#REF!</definedName>
    <definedName name="IQRDCFAJ6" hidden="1">[2]DCF!#REF!</definedName>
    <definedName name="IQRDCFBS12" hidden="1">[3]DCF!$BS$13:$BS$124</definedName>
    <definedName name="IQRDCFCA12" hidden="1">[3]DCF!$CA$13:$CA$141</definedName>
    <definedName name="IQRDCFX168" hidden="1">[3]DCF!$X$169</definedName>
    <definedName name="IQRDCFX169" hidden="1">[4]DCF!$X$170</definedName>
    <definedName name="IQRDCFX173" hidden="1">[5]DCF!$X$174</definedName>
    <definedName name="IQRDebtA3" hidden="1">[3]Debt!$A$4:$A$115</definedName>
    <definedName name="IQRM13" hidden="1">"$M$14:$M$133"</definedName>
    <definedName name="IQROwnershipA12" hidden="1">[6]Ownership!$A$13:$A$112</definedName>
    <definedName name="IQROwnershipB12" hidden="1">[6]Ownership!$B$13:$B$112</definedName>
    <definedName name="IQROwnershipJ12" hidden="1">[6]Ownership!$J$13:$J$112</definedName>
    <definedName name="IQROwnershipK12" hidden="1">[6]Ownership!$K$13:$K$112</definedName>
    <definedName name="IQROwnershipM12" hidden="1">[6]Ownership!$M$13:$M$112</definedName>
    <definedName name="IQROwnershipO12" hidden="1">[6]Ownership!$O$13:$O$112</definedName>
    <definedName name="IQRPriceTargetGridBJ2" hidden="1">#REF!</definedName>
    <definedName name="IQRPriceTargetGridBN2" hidden="1">#REF!</definedName>
    <definedName name="IQRPriceTargetGridBP2" hidden="1">#REF!</definedName>
    <definedName name="IQRPriceTargetGridBR2" hidden="1">#REF!</definedName>
    <definedName name="IQRPriceTargetGridG10" hidden="1">#REF!</definedName>
    <definedName name="IQRPriceTargetGridG100" hidden="1">#REF!</definedName>
    <definedName name="IQRPriceTargetGridG101" hidden="1">#REF!</definedName>
    <definedName name="IQRPriceTargetGridG102" hidden="1">#REF!</definedName>
    <definedName name="IQRPriceTargetGridG103" hidden="1">#REF!</definedName>
    <definedName name="IQRPriceTargetGridG104" hidden="1">#REF!</definedName>
    <definedName name="IQRPriceTargetGridG105" hidden="1">#REF!</definedName>
    <definedName name="IQRPriceTargetGridG106" hidden="1">#REF!</definedName>
    <definedName name="IQRPriceTargetGridG107" hidden="1">#REF!</definedName>
    <definedName name="IQRPriceTargetGridG108" hidden="1">#REF!</definedName>
    <definedName name="IQRPriceTargetGridG109" hidden="1">#REF!</definedName>
    <definedName name="IQRPriceTargetGridG11" hidden="1">#REF!</definedName>
    <definedName name="IQRPriceTargetGridG110" hidden="1">#REF!</definedName>
    <definedName name="IQRPriceTargetGridG111" hidden="1">#REF!</definedName>
    <definedName name="IQRPriceTargetGridG112" hidden="1">#REF!</definedName>
    <definedName name="IQRPriceTargetGridG113" hidden="1">#REF!</definedName>
    <definedName name="IQRPriceTargetGridG114" hidden="1">#REF!</definedName>
    <definedName name="IQRPriceTargetGridG115" hidden="1">#REF!</definedName>
    <definedName name="IQRPriceTargetGridG116" hidden="1">#REF!</definedName>
    <definedName name="IQRPriceTargetGridG117" hidden="1">#REF!</definedName>
    <definedName name="IQRPriceTargetGridG118" hidden="1">#REF!</definedName>
    <definedName name="IQRPriceTargetGridG119" hidden="1">#REF!</definedName>
    <definedName name="IQRPriceTargetGridG12" hidden="1">#REF!</definedName>
    <definedName name="IQRPriceTargetGridG120" hidden="1">#REF!</definedName>
    <definedName name="IQRPriceTargetGridG121" hidden="1">#REF!</definedName>
    <definedName name="IQRPriceTargetGridG122" hidden="1">#REF!</definedName>
    <definedName name="IQRPriceTargetGridG123" hidden="1">#REF!</definedName>
    <definedName name="IQRPriceTargetGridG124" hidden="1">#REF!</definedName>
    <definedName name="IQRPriceTargetGridG13" hidden="1">#REF!</definedName>
    <definedName name="IQRPriceTargetGridG14" hidden="1">#REF!</definedName>
    <definedName name="IQRPriceTargetGridG15" hidden="1">#REF!</definedName>
    <definedName name="IQRPriceTargetGridG16" hidden="1">#REF!</definedName>
    <definedName name="IQRPriceTargetGridG18" hidden="1">#REF!</definedName>
    <definedName name="IQRPriceTargetGridG19" hidden="1">#REF!</definedName>
    <definedName name="IQRPriceTargetGridG20" hidden="1">#REF!</definedName>
    <definedName name="IQRPriceTargetGridG21" hidden="1">#REF!</definedName>
    <definedName name="IQRPriceTargetGridG22" hidden="1">#REF!</definedName>
    <definedName name="IQRPriceTargetGridG25" hidden="1">#REF!</definedName>
    <definedName name="IQRPriceTargetGridG26" hidden="1">#REF!</definedName>
    <definedName name="IQRPriceTargetGridG27" hidden="1">#REF!</definedName>
    <definedName name="IQRPriceTargetGridG28" hidden="1">#REF!</definedName>
    <definedName name="IQRPriceTargetGridG29" hidden="1">#REF!</definedName>
    <definedName name="IQRPriceTargetGridG3" hidden="1">#REF!</definedName>
    <definedName name="IQRPriceTargetGridG30" hidden="1">#REF!</definedName>
    <definedName name="IQRPriceTargetGridG31" hidden="1">#REF!</definedName>
    <definedName name="IQRPriceTargetGridG32" hidden="1">#REF!</definedName>
    <definedName name="IQRPriceTargetGridG33" hidden="1">#REF!</definedName>
    <definedName name="IQRPriceTargetGridG34" hidden="1">#REF!</definedName>
    <definedName name="IQRPriceTargetGridG35" hidden="1">#REF!</definedName>
    <definedName name="IQRPriceTargetGridG36" hidden="1">#REF!</definedName>
    <definedName name="IQRPriceTargetGridG37" hidden="1">#REF!</definedName>
    <definedName name="IQRPriceTargetGridG38" hidden="1">#REF!</definedName>
    <definedName name="IQRPriceTargetGridG4" hidden="1">#REF!</definedName>
    <definedName name="IQRPriceTargetGridG42" hidden="1">#REF!</definedName>
    <definedName name="IQRPriceTargetGridG43" hidden="1">#REF!</definedName>
    <definedName name="IQRPriceTargetGridG44" hidden="1">#REF!</definedName>
    <definedName name="IQRPriceTargetGridG45" hidden="1">#REF!</definedName>
    <definedName name="IQRPriceTargetGridG46" hidden="1">#REF!</definedName>
    <definedName name="IQRPriceTargetGridG47" hidden="1">#REF!</definedName>
    <definedName name="IQRPriceTargetGridG48" hidden="1">#REF!</definedName>
    <definedName name="IQRPriceTargetGridG49" hidden="1">#REF!</definedName>
    <definedName name="IQRPriceTargetGridG5" hidden="1">#REF!</definedName>
    <definedName name="IQRPriceTargetGridG51" hidden="1">#REF!</definedName>
    <definedName name="IQRPriceTargetGridG52" hidden="1">#REF!</definedName>
    <definedName name="IQRPriceTargetGridG53" hidden="1">#REF!</definedName>
    <definedName name="IQRPriceTargetGridG54" hidden="1">#REF!</definedName>
    <definedName name="IQRPriceTargetGridG55" hidden="1">#REF!</definedName>
    <definedName name="IQRPriceTargetGridG56" hidden="1">#REF!</definedName>
    <definedName name="IQRPriceTargetGridG57" hidden="1">#REF!</definedName>
    <definedName name="IQRPriceTargetGridG58" hidden="1">#REF!</definedName>
    <definedName name="IQRPriceTargetGridG59" hidden="1">#REF!</definedName>
    <definedName name="IQRPriceTargetGridG6" hidden="1">#REF!</definedName>
    <definedName name="IQRPriceTargetGridG60" hidden="1">#REF!</definedName>
    <definedName name="IQRPriceTargetGridG61" hidden="1">#REF!</definedName>
    <definedName name="IQRPriceTargetGridG62" hidden="1">#REF!</definedName>
    <definedName name="IQRPriceTargetGridG63" hidden="1">#REF!</definedName>
    <definedName name="IQRPriceTargetGridG64" hidden="1">#REF!</definedName>
    <definedName name="IQRPriceTargetGridG65" hidden="1">#REF!</definedName>
    <definedName name="IQRPriceTargetGridG66" hidden="1">#REF!</definedName>
    <definedName name="IQRPriceTargetGridG67" hidden="1">#REF!</definedName>
    <definedName name="IQRPriceTargetGridG68" hidden="1">#REF!</definedName>
    <definedName name="IQRPriceTargetGridG69" hidden="1">#REF!</definedName>
    <definedName name="IQRPriceTargetGridG7" hidden="1">#REF!</definedName>
    <definedName name="IQRPriceTargetGridG70" hidden="1">#REF!</definedName>
    <definedName name="IQRPriceTargetGridG71" hidden="1">#REF!</definedName>
    <definedName name="IQRPriceTargetGridG72" hidden="1">#REF!</definedName>
    <definedName name="IQRPriceTargetGridG73" hidden="1">#REF!</definedName>
    <definedName name="IQRPriceTargetGridG74" hidden="1">#REF!</definedName>
    <definedName name="IQRPriceTargetGridG75" hidden="1">#REF!</definedName>
    <definedName name="IQRPriceTargetGridG76" hidden="1">#REF!</definedName>
    <definedName name="IQRPriceTargetGridG77" hidden="1">#REF!</definedName>
    <definedName name="IQRPriceTargetGridG78" hidden="1">#REF!</definedName>
    <definedName name="IQRPriceTargetGridG79" hidden="1">#REF!</definedName>
    <definedName name="IQRPriceTargetGridG8" hidden="1">#REF!</definedName>
    <definedName name="IQRPriceTargetGridG80" hidden="1">#REF!</definedName>
    <definedName name="IQRPriceTargetGridG81" hidden="1">#REF!</definedName>
    <definedName name="IQRPriceTargetGridG82" hidden="1">#REF!</definedName>
    <definedName name="IQRPriceTargetGridG83" hidden="1">#REF!</definedName>
    <definedName name="IQRPriceTargetGridG84" hidden="1">#REF!</definedName>
    <definedName name="IQRPriceTargetGridG85" hidden="1">#REF!</definedName>
    <definedName name="IQRPriceTargetGridG86" hidden="1">#REF!</definedName>
    <definedName name="IQRPriceTargetGridG87" hidden="1">#REF!</definedName>
    <definedName name="IQRPriceTargetGridG88" hidden="1">#REF!</definedName>
    <definedName name="IQRPriceTargetGridG89" hidden="1">#REF!</definedName>
    <definedName name="IQRPriceTargetGridG9" hidden="1">#REF!</definedName>
    <definedName name="IQRPriceTargetGridG90" hidden="1">#REF!</definedName>
    <definedName name="IQRPriceTargetGridG91" hidden="1">#REF!</definedName>
    <definedName name="IQRPriceTargetGridG92" hidden="1">#REF!</definedName>
    <definedName name="IQRPriceTargetGridG93" hidden="1">#REF!</definedName>
    <definedName name="IQRPriceTargetGridG94" hidden="1">#REF!</definedName>
    <definedName name="IQRPriceTargetGridG95" hidden="1">#REF!</definedName>
    <definedName name="IQRPriceTargetGridG96" hidden="1">#REF!</definedName>
    <definedName name="IQRPriceTargetGridG97" hidden="1">#REF!</definedName>
    <definedName name="IQRPriceTargetGridG98" hidden="1">#REF!</definedName>
    <definedName name="IQRPriceTargetGridG99" hidden="1">#REF!</definedName>
    <definedName name="IQRPriceTargetGridH10" hidden="1">#REF!</definedName>
    <definedName name="IQRPriceTargetGridH100" hidden="1">#REF!</definedName>
    <definedName name="IQRPriceTargetGridH101" hidden="1">#REF!</definedName>
    <definedName name="IQRPriceTargetGridH102" hidden="1">#REF!</definedName>
    <definedName name="IQRPriceTargetGridH103" hidden="1">#REF!</definedName>
    <definedName name="IQRPriceTargetGridH104" hidden="1">#REF!</definedName>
    <definedName name="IQRPriceTargetGridH105" hidden="1">#REF!</definedName>
    <definedName name="IQRPriceTargetGridH106" hidden="1">#REF!</definedName>
    <definedName name="IQRPriceTargetGridH107" hidden="1">#REF!</definedName>
    <definedName name="IQRPriceTargetGridH108" hidden="1">#REF!</definedName>
    <definedName name="IQRPriceTargetGridH109" hidden="1">#REF!</definedName>
    <definedName name="IQRPriceTargetGridH11" hidden="1">#REF!</definedName>
    <definedName name="IQRPriceTargetGridH110" hidden="1">#REF!</definedName>
    <definedName name="IQRPriceTargetGridH111" hidden="1">#REF!</definedName>
    <definedName name="IQRPriceTargetGridH112" hidden="1">#REF!</definedName>
    <definedName name="IQRPriceTargetGridH113" hidden="1">#REF!</definedName>
    <definedName name="IQRPriceTargetGridH114" hidden="1">#REF!</definedName>
    <definedName name="IQRPriceTargetGridH115" hidden="1">#REF!</definedName>
    <definedName name="IQRPriceTargetGridH116" hidden="1">#REF!</definedName>
    <definedName name="IQRPriceTargetGridH117" hidden="1">#REF!</definedName>
    <definedName name="IQRPriceTargetGridH118" hidden="1">#REF!</definedName>
    <definedName name="IQRPriceTargetGridH119" hidden="1">#REF!</definedName>
    <definedName name="IQRPriceTargetGridH12" hidden="1">#REF!</definedName>
    <definedName name="IQRPriceTargetGridH120" hidden="1">#REF!</definedName>
    <definedName name="IQRPriceTargetGridH13" hidden="1">#REF!</definedName>
    <definedName name="IQRPriceTargetGridH14" hidden="1">#REF!</definedName>
    <definedName name="IQRPriceTargetGridH15" hidden="1">#REF!</definedName>
    <definedName name="IQRPriceTargetGridH16" hidden="1">#REF!</definedName>
    <definedName name="IQRPriceTargetGridH17" hidden="1">#REF!</definedName>
    <definedName name="IQRPriceTargetGridH18" hidden="1">#REF!</definedName>
    <definedName name="IQRPriceTargetGridH19" hidden="1">#REF!</definedName>
    <definedName name="IQRPriceTargetGridH2" hidden="1">#REF!</definedName>
    <definedName name="IQRPriceTargetGridH20" hidden="1">#REF!</definedName>
    <definedName name="IQRPriceTargetGridH21" hidden="1">#REF!</definedName>
    <definedName name="IQRPriceTargetGridH22" hidden="1">#REF!</definedName>
    <definedName name="IQRPriceTargetGridH23" hidden="1">#REF!</definedName>
    <definedName name="IQRPriceTargetGridH24" hidden="1">#REF!</definedName>
    <definedName name="IQRPriceTargetGridH25" hidden="1">#REF!</definedName>
    <definedName name="IQRPriceTargetGridH26" hidden="1">#REF!</definedName>
    <definedName name="IQRPriceTargetGridH27" hidden="1">#REF!</definedName>
    <definedName name="IQRPriceTargetGridH28" hidden="1">#REF!</definedName>
    <definedName name="IQRPriceTargetGridH29" hidden="1">#REF!</definedName>
    <definedName name="IQRPriceTargetGridH3" hidden="1">#REF!</definedName>
    <definedName name="IQRPriceTargetGridH30" hidden="1">#REF!</definedName>
    <definedName name="IQRPriceTargetGridH31" hidden="1">#REF!</definedName>
    <definedName name="IQRPriceTargetGridH32" hidden="1">#REF!</definedName>
    <definedName name="IQRPriceTargetGridH33" hidden="1">#REF!</definedName>
    <definedName name="IQRPriceTargetGridH34" hidden="1">#REF!</definedName>
    <definedName name="IQRPriceTargetGridH35" hidden="1">#REF!</definedName>
    <definedName name="IQRPriceTargetGridH36" hidden="1">#REF!</definedName>
    <definedName name="IQRPriceTargetGridH37" hidden="1">#REF!</definedName>
    <definedName name="IQRPriceTargetGridH38" hidden="1">#REF!</definedName>
    <definedName name="IQRPriceTargetGridH39" hidden="1">#REF!</definedName>
    <definedName name="IQRPriceTargetGridH4" hidden="1">#REF!</definedName>
    <definedName name="IQRPriceTargetGridH40" hidden="1">#REF!</definedName>
    <definedName name="IQRPriceTargetGridH41" hidden="1">#REF!</definedName>
    <definedName name="IQRPriceTargetGridH42" hidden="1">#REF!</definedName>
    <definedName name="IQRPriceTargetGridH43" hidden="1">#REF!</definedName>
    <definedName name="IQRPriceTargetGridH44" hidden="1">#REF!</definedName>
    <definedName name="IQRPriceTargetGridH45" hidden="1">#REF!</definedName>
    <definedName name="IQRPriceTargetGridH46" hidden="1">#REF!</definedName>
    <definedName name="IQRPriceTargetGridH47" hidden="1">#REF!</definedName>
    <definedName name="IQRPriceTargetGridH48" hidden="1">#REF!</definedName>
    <definedName name="IQRPriceTargetGridH49" hidden="1">#REF!</definedName>
    <definedName name="IQRPriceTargetGridH5" hidden="1">#REF!</definedName>
    <definedName name="IQRPriceTargetGridH50" hidden="1">#REF!</definedName>
    <definedName name="IQRPriceTargetGridH51" hidden="1">#REF!</definedName>
    <definedName name="IQRPriceTargetGridH52" hidden="1">#REF!</definedName>
    <definedName name="IQRPriceTargetGridH53" hidden="1">#REF!</definedName>
    <definedName name="IQRPriceTargetGridH54" hidden="1">#REF!</definedName>
    <definedName name="IQRPriceTargetGridH55" hidden="1">#REF!</definedName>
    <definedName name="IQRPriceTargetGridH56" hidden="1">#REF!</definedName>
    <definedName name="IQRPriceTargetGridH57" hidden="1">#REF!</definedName>
    <definedName name="IQRPriceTargetGridH58" hidden="1">#REF!</definedName>
    <definedName name="IQRPriceTargetGridH59" hidden="1">#REF!</definedName>
    <definedName name="IQRPriceTargetGridH6" hidden="1">#REF!</definedName>
    <definedName name="IQRPriceTargetGridH60" hidden="1">#REF!</definedName>
    <definedName name="IQRPriceTargetGridH61" hidden="1">#REF!</definedName>
    <definedName name="IQRPriceTargetGridH62" hidden="1">#REF!</definedName>
    <definedName name="IQRPriceTargetGridH63" hidden="1">#REF!</definedName>
    <definedName name="IQRPriceTargetGridH64" hidden="1">#REF!</definedName>
    <definedName name="IQRPriceTargetGridH65" hidden="1">#REF!</definedName>
    <definedName name="IQRPriceTargetGridH66" hidden="1">#REF!</definedName>
    <definedName name="IQRPriceTargetGridH67" hidden="1">#REF!</definedName>
    <definedName name="IQRPriceTargetGridH68" hidden="1">#REF!</definedName>
    <definedName name="IQRPriceTargetGridH69" hidden="1">#REF!</definedName>
    <definedName name="IQRPriceTargetGridH7" hidden="1">#REF!</definedName>
    <definedName name="IQRPriceTargetGridH70" hidden="1">#REF!</definedName>
    <definedName name="IQRPriceTargetGridH71" hidden="1">#REF!</definedName>
    <definedName name="IQRPriceTargetGridH72" hidden="1">#REF!</definedName>
    <definedName name="IQRPriceTargetGridH73" hidden="1">#REF!</definedName>
    <definedName name="IQRPriceTargetGridH74" hidden="1">#REF!</definedName>
    <definedName name="IQRPriceTargetGridH75" hidden="1">#REF!</definedName>
    <definedName name="IQRPriceTargetGridH76" hidden="1">#REF!</definedName>
    <definedName name="IQRPriceTargetGridH77" hidden="1">#REF!</definedName>
    <definedName name="IQRPriceTargetGridH78" hidden="1">#REF!</definedName>
    <definedName name="IQRPriceTargetGridH79" hidden="1">#REF!</definedName>
    <definedName name="IQRPriceTargetGridH8" hidden="1">#REF!</definedName>
    <definedName name="IQRPriceTargetGridH80" hidden="1">#REF!</definedName>
    <definedName name="IQRPriceTargetGridH81" hidden="1">#REF!</definedName>
    <definedName name="IQRPriceTargetGridH82" hidden="1">#REF!</definedName>
    <definedName name="IQRPriceTargetGridH83" hidden="1">#REF!</definedName>
    <definedName name="IQRPriceTargetGridH84" hidden="1">#REF!</definedName>
    <definedName name="IQRPriceTargetGridH85" hidden="1">#REF!</definedName>
    <definedName name="IQRPriceTargetGridH86" hidden="1">#REF!</definedName>
    <definedName name="IQRPriceTargetGridH87" hidden="1">#REF!</definedName>
    <definedName name="IQRPriceTargetGridH88" hidden="1">#REF!</definedName>
    <definedName name="IQRPriceTargetGridH89" hidden="1">#REF!</definedName>
    <definedName name="IQRPriceTargetGridH9" hidden="1">#REF!</definedName>
    <definedName name="IQRPriceTargetGridH90" hidden="1">#REF!</definedName>
    <definedName name="IQRPriceTargetGridH91" hidden="1">#REF!</definedName>
    <definedName name="IQRPriceTargetGridH92" hidden="1">#REF!</definedName>
    <definedName name="IQRPriceTargetGridH93" hidden="1">#REF!</definedName>
    <definedName name="IQRPriceTargetGridH94" hidden="1">#REF!</definedName>
    <definedName name="IQRPriceTargetGridH95" hidden="1">#REF!</definedName>
    <definedName name="IQRPriceTargetGridH96" hidden="1">#REF!</definedName>
    <definedName name="IQRPriceTargetGridH97" hidden="1">#REF!</definedName>
    <definedName name="IQRPriceTargetGridH98" hidden="1">#REF!</definedName>
    <definedName name="IQRPriceTargetGridH99" hidden="1">#REF!</definedName>
    <definedName name="IQRPriceTargetGridO2" hidden="1">#REF!</definedName>
    <definedName name="IQRPriceTargetGridO3" hidden="1">#REF!</definedName>
    <definedName name="IQRPriceTargetGridO4" hidden="1">#REF!</definedName>
    <definedName name="IQRPriceTargetGridO5" hidden="1">#REF!</definedName>
    <definedName name="IQRPriceTargetGridO6" hidden="1">#REF!</definedName>
    <definedName name="IQRPriceTargetGridP10" hidden="1">#REF!</definedName>
    <definedName name="IQRPriceTargetGridP100" hidden="1">#REF!</definedName>
    <definedName name="IQRPriceTargetGridP101" hidden="1">#REF!</definedName>
    <definedName name="IQRPriceTargetGridP103" hidden="1">#REF!</definedName>
    <definedName name="IQRPriceTargetGridP104" hidden="1">#REF!</definedName>
    <definedName name="IQRPriceTargetGridP106" hidden="1">#REF!</definedName>
    <definedName name="IQRPriceTargetGridP107" hidden="1">#REF!</definedName>
    <definedName name="IQRPriceTargetGridP108" hidden="1">#REF!</definedName>
    <definedName name="IQRPriceTargetGridP109" hidden="1">#REF!</definedName>
    <definedName name="IQRPriceTargetGridP11" hidden="1">#REF!</definedName>
    <definedName name="IQRPriceTargetGridP110" hidden="1">#REF!</definedName>
    <definedName name="IQRPriceTargetGridP112" hidden="1">#REF!</definedName>
    <definedName name="IQRPriceTargetGridP113" hidden="1">#REF!</definedName>
    <definedName name="IQRPriceTargetGridP114" hidden="1">#REF!</definedName>
    <definedName name="IQRPriceTargetGridP115" hidden="1">#REF!</definedName>
    <definedName name="IQRPriceTargetGridP116" hidden="1">#REF!</definedName>
    <definedName name="IQRPriceTargetGridP117" hidden="1">#REF!</definedName>
    <definedName name="IQRPriceTargetGridP118" hidden="1">#REF!</definedName>
    <definedName name="IQRPriceTargetGridP119" hidden="1">#REF!</definedName>
    <definedName name="IQRPriceTargetGridP12" hidden="1">#REF!</definedName>
    <definedName name="IQRPriceTargetGridP120" hidden="1">#REF!</definedName>
    <definedName name="IQRPriceTargetGridP121" hidden="1">#REF!</definedName>
    <definedName name="IQRPriceTargetGridP122" hidden="1">#REF!</definedName>
    <definedName name="IQRPriceTargetGridP123" hidden="1">#REF!</definedName>
    <definedName name="IQRPriceTargetGridP124" hidden="1">#REF!</definedName>
    <definedName name="IQRPriceTargetGridP13" hidden="1">#REF!</definedName>
    <definedName name="IQRPriceTargetGridP14" hidden="1">#REF!</definedName>
    <definedName name="IQRPriceTargetGridP15" hidden="1">#REF!</definedName>
    <definedName name="IQRPriceTargetGridP18" hidden="1">#REF!</definedName>
    <definedName name="IQRPriceTargetGridP2" hidden="1">#REF!</definedName>
    <definedName name="IQRPriceTargetGridP20" hidden="1">#REF!</definedName>
    <definedName name="IQRPriceTargetGridP21" hidden="1">#REF!</definedName>
    <definedName name="IQRPriceTargetGridP25" hidden="1">#REF!</definedName>
    <definedName name="IQRPriceTargetGridP26" hidden="1">#REF!</definedName>
    <definedName name="IQRPriceTargetGridP27" hidden="1">#REF!</definedName>
    <definedName name="IQRPriceTargetGridP28" hidden="1">#REF!</definedName>
    <definedName name="IQRPriceTargetGridP29" hidden="1">#REF!</definedName>
    <definedName name="IQRPriceTargetGridP3" hidden="1">#REF!</definedName>
    <definedName name="IQRPriceTargetGridP30" hidden="1">#REF!</definedName>
    <definedName name="IQRPriceTargetGridP31" hidden="1">#REF!</definedName>
    <definedName name="IQRPriceTargetGridP32" hidden="1">#REF!</definedName>
    <definedName name="IQRPriceTargetGridP33" hidden="1">#REF!</definedName>
    <definedName name="IQRPriceTargetGridP34" hidden="1">#REF!</definedName>
    <definedName name="IQRPriceTargetGridP35" hidden="1">#REF!</definedName>
    <definedName name="IQRPriceTargetGridP36" hidden="1">#REF!</definedName>
    <definedName name="IQRPriceTargetGridP37" hidden="1">#REF!</definedName>
    <definedName name="IQRPriceTargetGridP38" hidden="1">#REF!</definedName>
    <definedName name="IQRPriceTargetGridP4" hidden="1">#REF!</definedName>
    <definedName name="IQRPriceTargetGridP42" hidden="1">#REF!</definedName>
    <definedName name="IQRPriceTargetGridP43" hidden="1">#REF!</definedName>
    <definedName name="IQRPriceTargetGridP44" hidden="1">#REF!</definedName>
    <definedName name="IQRPriceTargetGridP45" hidden="1">#REF!</definedName>
    <definedName name="IQRPriceTargetGridP46" hidden="1">#REF!</definedName>
    <definedName name="IQRPriceTargetGridP47" hidden="1">#REF!</definedName>
    <definedName name="IQRPriceTargetGridP48" hidden="1">#REF!</definedName>
    <definedName name="IQRPriceTargetGridP49" hidden="1">#REF!</definedName>
    <definedName name="IQRPriceTargetGridP5" hidden="1">#REF!</definedName>
    <definedName name="IQRPriceTargetGridP51" hidden="1">#REF!</definedName>
    <definedName name="IQRPriceTargetGridP52" hidden="1">#REF!</definedName>
    <definedName name="IQRPriceTargetGridP53" hidden="1">#REF!</definedName>
    <definedName name="IQRPriceTargetGridP55" hidden="1">#REF!</definedName>
    <definedName name="IQRPriceTargetGridP57" hidden="1">#REF!</definedName>
    <definedName name="IQRPriceTargetGridP59" hidden="1">#REF!</definedName>
    <definedName name="IQRPriceTargetGridP6" hidden="1">#REF!</definedName>
    <definedName name="IQRPriceTargetGridP60" hidden="1">#REF!</definedName>
    <definedName name="IQRPriceTargetGridP61" hidden="1">#REF!</definedName>
    <definedName name="IQRPriceTargetGridP62" hidden="1">#REF!</definedName>
    <definedName name="IQRPriceTargetGridP63" hidden="1">#REF!</definedName>
    <definedName name="IQRPriceTargetGridP64" hidden="1">#REF!</definedName>
    <definedName name="IQRPriceTargetGridP65" hidden="1">#REF!</definedName>
    <definedName name="IQRPriceTargetGridP66" hidden="1">#REF!</definedName>
    <definedName name="IQRPriceTargetGridP67" hidden="1">#REF!</definedName>
    <definedName name="IQRPriceTargetGridP68" hidden="1">#REF!</definedName>
    <definedName name="IQRPriceTargetGridP69" hidden="1">#REF!</definedName>
    <definedName name="IQRPriceTargetGridP7" hidden="1">#REF!</definedName>
    <definedName name="IQRPriceTargetGridP70" hidden="1">#REF!</definedName>
    <definedName name="IQRPriceTargetGridP71" hidden="1">#REF!</definedName>
    <definedName name="IQRPriceTargetGridP72" hidden="1">#REF!</definedName>
    <definedName name="IQRPriceTargetGridP73" hidden="1">#REF!</definedName>
    <definedName name="IQRPriceTargetGridP74" hidden="1">#REF!</definedName>
    <definedName name="IQRPriceTargetGridP75" hidden="1">#REF!</definedName>
    <definedName name="IQRPriceTargetGridP76" hidden="1">#REF!</definedName>
    <definedName name="IQRPriceTargetGridP77" hidden="1">#REF!</definedName>
    <definedName name="IQRPriceTargetGridP78" hidden="1">#REF!</definedName>
    <definedName name="IQRPriceTargetGridP79" hidden="1">#REF!</definedName>
    <definedName name="IQRPriceTargetGridP8" hidden="1">#REF!</definedName>
    <definedName name="IQRPriceTargetGridP80" hidden="1">#REF!</definedName>
    <definedName name="IQRPriceTargetGridP81" hidden="1">#REF!</definedName>
    <definedName name="IQRPriceTargetGridP82" hidden="1">#REF!</definedName>
    <definedName name="IQRPriceTargetGridP84" hidden="1">#REF!</definedName>
    <definedName name="IQRPriceTargetGridP85" hidden="1">#REF!</definedName>
    <definedName name="IQRPriceTargetGridP86" hidden="1">#REF!</definedName>
    <definedName name="IQRPriceTargetGridP87" hidden="1">#REF!</definedName>
    <definedName name="IQRPriceTargetGridP88" hidden="1">#REF!</definedName>
    <definedName name="IQRPriceTargetGridP89" hidden="1">#REF!</definedName>
    <definedName name="IQRPriceTargetGridP9" hidden="1">#REF!</definedName>
    <definedName name="IQRPriceTargetGridP90" hidden="1">#REF!</definedName>
    <definedName name="IQRPriceTargetGridP91" hidden="1">#REF!</definedName>
    <definedName name="IQRPriceTargetGridP92" hidden="1">#REF!</definedName>
    <definedName name="IQRPriceTargetGridP93" hidden="1">#REF!</definedName>
    <definedName name="IQRPriceTargetGridP94" hidden="1">#REF!</definedName>
    <definedName name="IQRPriceTargetGridP95" hidden="1">#REF!</definedName>
    <definedName name="IQRPriceTargetGridP96" hidden="1">#REF!</definedName>
    <definedName name="IQRPriceTargetGridP97" hidden="1">#REF!</definedName>
    <definedName name="IQRPriceTargetGridP98" hidden="1">#REF!</definedName>
    <definedName name="IQRPriceTargetGridP99" hidden="1">#REF!</definedName>
    <definedName name="IQRSheet1H10" hidden="1">#REF!</definedName>
    <definedName name="IQRSheet1H100" hidden="1">#REF!</definedName>
    <definedName name="IQRSheet1H101" hidden="1">#REF!</definedName>
    <definedName name="IQRSheet1H102" hidden="1">#REF!</definedName>
    <definedName name="IQRSheet1H103" hidden="1">#REF!</definedName>
    <definedName name="IQRSheet1H104" hidden="1">#REF!</definedName>
    <definedName name="IQRSheet1H105" hidden="1">#REF!</definedName>
    <definedName name="IQRSheet1H106" hidden="1">#REF!</definedName>
    <definedName name="IQRSheet1H107" hidden="1">#REF!</definedName>
    <definedName name="IQRSheet1H108" hidden="1">#REF!</definedName>
    <definedName name="IQRSheet1H109" hidden="1">#REF!</definedName>
    <definedName name="IQRSheet1H11" hidden="1">#REF!</definedName>
    <definedName name="IQRSheet1H110" hidden="1">#REF!</definedName>
    <definedName name="IQRSheet1H111" hidden="1">#REF!</definedName>
    <definedName name="IQRSheet1H112" hidden="1">#REF!</definedName>
    <definedName name="IQRSheet1H113" hidden="1">#REF!</definedName>
    <definedName name="IQRSheet1H114" hidden="1">#REF!</definedName>
    <definedName name="IQRSheet1H115" hidden="1">#REF!</definedName>
    <definedName name="IQRSheet1H116" hidden="1">#REF!</definedName>
    <definedName name="IQRSheet1H117" hidden="1">#REF!</definedName>
    <definedName name="IQRSheet1H118" hidden="1">#REF!</definedName>
    <definedName name="IQRSheet1H119" hidden="1">#REF!</definedName>
    <definedName name="IQRSheet1H12" hidden="1">#REF!</definedName>
    <definedName name="IQRSheet1H120" hidden="1">#REF!</definedName>
    <definedName name="IQRSheet1H13" hidden="1">#REF!</definedName>
    <definedName name="IQRSheet1H14" hidden="1">#REF!</definedName>
    <definedName name="IQRSheet1H15" hidden="1">#REF!</definedName>
    <definedName name="IQRSheet1H16" hidden="1">#REF!</definedName>
    <definedName name="IQRSheet1H17" hidden="1">#REF!</definedName>
    <definedName name="IQRSheet1H18" hidden="1">#REF!</definedName>
    <definedName name="IQRSheet1H19" hidden="1">#REF!</definedName>
    <definedName name="IQRSheet1H20" hidden="1">#REF!</definedName>
    <definedName name="IQRSheet1H21" hidden="1">#REF!</definedName>
    <definedName name="IQRSheet1H22" hidden="1">#REF!</definedName>
    <definedName name="IQRSheet1H23" hidden="1">#REF!</definedName>
    <definedName name="IQRSheet1H24" hidden="1">#REF!</definedName>
    <definedName name="IQRSheet1H25" hidden="1">#REF!</definedName>
    <definedName name="IQRSheet1H26" hidden="1">#REF!</definedName>
    <definedName name="IQRSheet1H27" hidden="1">#REF!</definedName>
    <definedName name="IQRSheet1H28" hidden="1">#REF!</definedName>
    <definedName name="IQRSheet1H29" hidden="1">#REF!</definedName>
    <definedName name="IQRSheet1H30" hidden="1">#REF!</definedName>
    <definedName name="IQRSheet1H31" hidden="1">#REF!</definedName>
    <definedName name="IQRSheet1H32" hidden="1">#REF!</definedName>
    <definedName name="IQRSheet1H33" hidden="1">#REF!</definedName>
    <definedName name="IQRSheet1H34" hidden="1">#REF!</definedName>
    <definedName name="IQRSheet1H35" hidden="1">#REF!</definedName>
    <definedName name="IQRSheet1H36" hidden="1">#REF!</definedName>
    <definedName name="IQRSheet1H37" hidden="1">#REF!</definedName>
    <definedName name="IQRSheet1H38" hidden="1">#REF!</definedName>
    <definedName name="IQRSheet1H39" hidden="1">#REF!</definedName>
    <definedName name="IQRSheet1H42" hidden="1">#REF!</definedName>
    <definedName name="IQRSheet1H43" hidden="1">#REF!</definedName>
    <definedName name="IQRSheet1H44" hidden="1">#REF!</definedName>
    <definedName name="IQRSheet1H45" hidden="1">#REF!</definedName>
    <definedName name="IQRSheet1H46" hidden="1">#REF!</definedName>
    <definedName name="IQRSheet1H47" hidden="1">#REF!</definedName>
    <definedName name="IQRSheet1H48" hidden="1">#REF!</definedName>
    <definedName name="IQRSheet1H49" hidden="1">#REF!</definedName>
    <definedName name="IQRSheet1H5" hidden="1">#REF!</definedName>
    <definedName name="IQRSheet1H50" hidden="1">#REF!</definedName>
    <definedName name="IQRSheet1H51" hidden="1">#REF!</definedName>
    <definedName name="IQRSheet1H52" hidden="1">#REF!</definedName>
    <definedName name="IQRSheet1H53" hidden="1">#REF!</definedName>
    <definedName name="IQRSheet1H54" hidden="1">#REF!</definedName>
    <definedName name="IQRSheet1H55" hidden="1">#REF!</definedName>
    <definedName name="IQRSheet1H56" hidden="1">#REF!</definedName>
    <definedName name="IQRSheet1H57" hidden="1">#REF!</definedName>
    <definedName name="IQRSheet1H58" hidden="1">#REF!</definedName>
    <definedName name="IQRSheet1H59" hidden="1">#REF!</definedName>
    <definedName name="IQRSheet1H6" hidden="1">#REF!</definedName>
    <definedName name="IQRSheet1H60" hidden="1">#REF!</definedName>
    <definedName name="IQRSheet1H61" hidden="1">#REF!</definedName>
    <definedName name="IQRSheet1H62" hidden="1">#REF!</definedName>
    <definedName name="IQRSheet1H63" hidden="1">#REF!</definedName>
    <definedName name="IQRSheet1H64" hidden="1">#REF!</definedName>
    <definedName name="IQRSheet1H65" hidden="1">#REF!</definedName>
    <definedName name="IQRSheet1H66" hidden="1">#REF!</definedName>
    <definedName name="IQRSheet1H67" hidden="1">#REF!</definedName>
    <definedName name="IQRSheet1H68" hidden="1">#REF!</definedName>
    <definedName name="IQRSheet1H69" hidden="1">#REF!</definedName>
    <definedName name="IQRSheet1H7" hidden="1">#REF!</definedName>
    <definedName name="IQRSheet1H70" hidden="1">#REF!</definedName>
    <definedName name="IQRSheet1H71" hidden="1">#REF!</definedName>
    <definedName name="IQRSheet1H72" hidden="1">#REF!</definedName>
    <definedName name="IQRSheet1H73" hidden="1">#REF!</definedName>
    <definedName name="IQRSheet1H74" hidden="1">#REF!</definedName>
    <definedName name="IQRSheet1H75" hidden="1">#REF!</definedName>
    <definedName name="IQRSheet1H76" hidden="1">#REF!</definedName>
    <definedName name="IQRSheet1H77" hidden="1">#REF!</definedName>
    <definedName name="IQRSheet1H78" hidden="1">#REF!</definedName>
    <definedName name="IQRSheet1H79" hidden="1">#REF!</definedName>
    <definedName name="IQRSheet1H8" hidden="1">#REF!</definedName>
    <definedName name="IQRSheet1H80" hidden="1">#REF!</definedName>
    <definedName name="IQRSheet1H81" hidden="1">#REF!</definedName>
    <definedName name="IQRSheet1H82" hidden="1">#REF!</definedName>
    <definedName name="IQRSheet1H83" hidden="1">#REF!</definedName>
    <definedName name="IQRSheet1H84" hidden="1">#REF!</definedName>
    <definedName name="IQRSheet1H85" hidden="1">#REF!</definedName>
    <definedName name="IQRSheet1H86" hidden="1">#REF!</definedName>
    <definedName name="IQRSheet1H87" hidden="1">#REF!</definedName>
    <definedName name="IQRSheet1H88" hidden="1">#REF!</definedName>
    <definedName name="IQRSheet1H89" hidden="1">#REF!</definedName>
    <definedName name="IQRSheet1H9" hidden="1">#REF!</definedName>
    <definedName name="IQRSheet1H90" hidden="1">#REF!</definedName>
    <definedName name="IQRSheet1H91" hidden="1">#REF!</definedName>
    <definedName name="IQRSheet1H92" hidden="1">#REF!</definedName>
    <definedName name="IQRSheet1H93" hidden="1">#REF!</definedName>
    <definedName name="IQRSheet1H94" hidden="1">#REF!</definedName>
    <definedName name="IQRSheet1H95" hidden="1">#REF!</definedName>
    <definedName name="IQRSheet1H96" hidden="1">#REF!</definedName>
    <definedName name="IQRSheet1H97" hidden="1">#REF!</definedName>
    <definedName name="IQRSheet1H98" hidden="1">#REF!</definedName>
    <definedName name="IQRSheet1H99" hidden="1">#REF!</definedName>
    <definedName name="IQRSummaryChartsA73" hidden="1">'[6]Summary Charts'!$A$74:$A$78</definedName>
    <definedName name="IQRSummaryChartsC73" hidden="1">'[6]Summary Charts'!$C$74:$C$78</definedName>
    <definedName name="IQRSummaryChartsJ73" hidden="1">'[6]Summary Charts'!$J$74:$J$78</definedName>
    <definedName name="IQRTearsheetT55" hidden="1">[2]Tearsheet!#REF!</definedName>
    <definedName name="IQRTickerConverterH10" hidden="1">#REF!</definedName>
    <definedName name="IQRTickerConverterH100" hidden="1">#REF!</definedName>
    <definedName name="IQRTickerConverterH1000" hidden="1">#REF!</definedName>
    <definedName name="IQRTickerConverterH1002" hidden="1">#REF!</definedName>
    <definedName name="IQRTickerConverterH1003" hidden="1">#REF!</definedName>
    <definedName name="IQRTickerConverterH1004" hidden="1">#REF!</definedName>
    <definedName name="IQRTickerConverterH1005" hidden="1">#REF!</definedName>
    <definedName name="IQRTickerConverterH1006" hidden="1">#REF!</definedName>
    <definedName name="IQRTickerConverterH1007" hidden="1">#REF!</definedName>
    <definedName name="IQRTickerConverterH1008" hidden="1">#REF!</definedName>
    <definedName name="IQRTickerConverterH1009" hidden="1">#REF!</definedName>
    <definedName name="IQRTickerConverterH101" hidden="1">#REF!</definedName>
    <definedName name="IQRTickerConverterH1010" hidden="1">#REF!</definedName>
    <definedName name="IQRTickerConverterH1011" hidden="1">#REF!</definedName>
    <definedName name="IQRTickerConverterH1012" hidden="1">#REF!</definedName>
    <definedName name="IQRTickerConverterH1013" hidden="1">#REF!</definedName>
    <definedName name="IQRTickerConverterH1014" hidden="1">#REF!</definedName>
    <definedName name="IQRTickerConverterH1015" hidden="1">#REF!</definedName>
    <definedName name="IQRTickerConverterH1016" hidden="1">#REF!</definedName>
    <definedName name="IQRTickerConverterH1017" hidden="1">#REF!</definedName>
    <definedName name="IQRTickerConverterH1018" hidden="1">#REF!</definedName>
    <definedName name="IQRTickerConverterH1019" hidden="1">#REF!</definedName>
    <definedName name="IQRTickerConverterH102" hidden="1">#REF!</definedName>
    <definedName name="IQRTickerConverterH1020" hidden="1">#REF!</definedName>
    <definedName name="IQRTickerConverterH1021" hidden="1">#REF!</definedName>
    <definedName name="IQRTickerConverterH1022" hidden="1">#REF!</definedName>
    <definedName name="IQRTickerConverterH1023" hidden="1">#REF!</definedName>
    <definedName name="IQRTickerConverterH1024" hidden="1">#REF!</definedName>
    <definedName name="IQRTickerConverterH1025" hidden="1">#REF!</definedName>
    <definedName name="IQRTickerConverterH1026" hidden="1">#REF!</definedName>
    <definedName name="IQRTickerConverterH1027" hidden="1">#REF!</definedName>
    <definedName name="IQRTickerConverterH1028" hidden="1">#REF!</definedName>
    <definedName name="IQRTickerConverterH1029" hidden="1">#REF!</definedName>
    <definedName name="IQRTickerConverterH103" hidden="1">#REF!</definedName>
    <definedName name="IQRTickerConverterH1030" hidden="1">#REF!</definedName>
    <definedName name="IQRTickerConverterH1031" hidden="1">#REF!</definedName>
    <definedName name="IQRTickerConverterH1032" hidden="1">#REF!</definedName>
    <definedName name="IQRTickerConverterH1033" hidden="1">#REF!</definedName>
    <definedName name="IQRTickerConverterH1034" hidden="1">#REF!</definedName>
    <definedName name="IQRTickerConverterH1035" hidden="1">#REF!</definedName>
    <definedName name="IQRTickerConverterH1036" hidden="1">#REF!</definedName>
    <definedName name="IQRTickerConverterH1037" hidden="1">#REF!</definedName>
    <definedName name="IQRTickerConverterH1038" hidden="1">#REF!</definedName>
    <definedName name="IQRTickerConverterH1039" hidden="1">#REF!</definedName>
    <definedName name="IQRTickerConverterH104" hidden="1">#REF!</definedName>
    <definedName name="IQRTickerConverterH1040" hidden="1">#REF!</definedName>
    <definedName name="IQRTickerConverterH1041" hidden="1">#REF!</definedName>
    <definedName name="IQRTickerConverterH1042" hidden="1">#REF!</definedName>
    <definedName name="IQRTickerConverterH1043" hidden="1">#REF!</definedName>
    <definedName name="IQRTickerConverterH1044" hidden="1">#REF!</definedName>
    <definedName name="IQRTickerConverterH1045" hidden="1">#REF!</definedName>
    <definedName name="IQRTickerConverterH1046" hidden="1">#REF!</definedName>
    <definedName name="IQRTickerConverterH1047" hidden="1">#REF!</definedName>
    <definedName name="IQRTickerConverterH1048" hidden="1">#REF!</definedName>
    <definedName name="IQRTickerConverterH1049" hidden="1">#REF!</definedName>
    <definedName name="IQRTickerConverterH105" hidden="1">#REF!</definedName>
    <definedName name="IQRTickerConverterH1050" hidden="1">#REF!</definedName>
    <definedName name="IQRTickerConverterH1051" hidden="1">#REF!</definedName>
    <definedName name="IQRTickerConverterH1052" hidden="1">#REF!</definedName>
    <definedName name="IQRTickerConverterH1053" hidden="1">#REF!</definedName>
    <definedName name="IQRTickerConverterH1054" hidden="1">#REF!</definedName>
    <definedName name="IQRTickerConverterH1055" hidden="1">#REF!</definedName>
    <definedName name="IQRTickerConverterH1056" hidden="1">#REF!</definedName>
    <definedName name="IQRTickerConverterH1057" hidden="1">#REF!</definedName>
    <definedName name="IQRTickerConverterH1058" hidden="1">#REF!</definedName>
    <definedName name="IQRTickerConverterH1059" hidden="1">#REF!</definedName>
    <definedName name="IQRTickerConverterH106" hidden="1">#REF!</definedName>
    <definedName name="IQRTickerConverterH1061" hidden="1">#REF!</definedName>
    <definedName name="IQRTickerConverterH1062" hidden="1">#REF!</definedName>
    <definedName name="IQRTickerConverterH1063" hidden="1">#REF!</definedName>
    <definedName name="IQRTickerConverterH1064" hidden="1">#REF!</definedName>
    <definedName name="IQRTickerConverterH1065" hidden="1">#REF!</definedName>
    <definedName name="IQRTickerConverterH1066" hidden="1">#REF!</definedName>
    <definedName name="IQRTickerConverterH1067" hidden="1">#REF!</definedName>
    <definedName name="IQRTickerConverterH1068" hidden="1">#REF!</definedName>
    <definedName name="IQRTickerConverterH1069" hidden="1">#REF!</definedName>
    <definedName name="IQRTickerConverterH107" hidden="1">#REF!</definedName>
    <definedName name="IQRTickerConverterH1070" hidden="1">#REF!</definedName>
    <definedName name="IQRTickerConverterH1071" hidden="1">#REF!</definedName>
    <definedName name="IQRTickerConverterH1072" hidden="1">#REF!</definedName>
    <definedName name="IQRTickerConverterH1074" hidden="1">#REF!</definedName>
    <definedName name="IQRTickerConverterH1075" hidden="1">#REF!</definedName>
    <definedName name="IQRTickerConverterH1076" hidden="1">#REF!</definedName>
    <definedName name="IQRTickerConverterH1077" hidden="1">#REF!</definedName>
    <definedName name="IQRTickerConverterH108" hidden="1">#REF!</definedName>
    <definedName name="IQRTickerConverterH1080" hidden="1">#REF!</definedName>
    <definedName name="IQRTickerConverterH1081" hidden="1">#REF!</definedName>
    <definedName name="IQRTickerConverterH1082" hidden="1">#REF!</definedName>
    <definedName name="IQRTickerConverterH1083" hidden="1">#REF!</definedName>
    <definedName name="IQRTickerConverterH1084" hidden="1">#REF!</definedName>
    <definedName name="IQRTickerConverterH1085" hidden="1">#REF!</definedName>
    <definedName name="IQRTickerConverterH1086" hidden="1">#REF!</definedName>
    <definedName name="IQRTickerConverterH1087" hidden="1">#REF!</definedName>
    <definedName name="IQRTickerConverterH1088" hidden="1">#REF!</definedName>
    <definedName name="IQRTickerConverterH1089" hidden="1">#REF!</definedName>
    <definedName name="IQRTickerConverterH109" hidden="1">#REF!</definedName>
    <definedName name="IQRTickerConverterH1090" hidden="1">#REF!</definedName>
    <definedName name="IQRTickerConverterH1091" hidden="1">#REF!</definedName>
    <definedName name="IQRTickerConverterH1093" hidden="1">#REF!</definedName>
    <definedName name="IQRTickerConverterH1094" hidden="1">#REF!</definedName>
    <definedName name="IQRTickerConverterH1095" hidden="1">#REF!</definedName>
    <definedName name="IQRTickerConverterH1097" hidden="1">#REF!</definedName>
    <definedName name="IQRTickerConverterH1098" hidden="1">#REF!</definedName>
    <definedName name="IQRTickerConverterH1099" hidden="1">#REF!</definedName>
    <definedName name="IQRTickerConverterH11" hidden="1">#REF!</definedName>
    <definedName name="IQRTickerConverterH110" hidden="1">#REF!</definedName>
    <definedName name="IQRTickerConverterH1100" hidden="1">#REF!</definedName>
    <definedName name="IQRTickerConverterH1101" hidden="1">#REF!</definedName>
    <definedName name="IQRTickerConverterH1102" hidden="1">#REF!</definedName>
    <definedName name="IQRTickerConverterH1103" hidden="1">#REF!</definedName>
    <definedName name="IQRTickerConverterH1104" hidden="1">#REF!</definedName>
    <definedName name="IQRTickerConverterH1105" hidden="1">#REF!</definedName>
    <definedName name="IQRTickerConverterH1106" hidden="1">#REF!</definedName>
    <definedName name="IQRTickerConverterH1107" hidden="1">#REF!</definedName>
    <definedName name="IQRTickerConverterH1108" hidden="1">#REF!</definedName>
    <definedName name="IQRTickerConverterH1109" hidden="1">#REF!</definedName>
    <definedName name="IQRTickerConverterH111" hidden="1">#REF!</definedName>
    <definedName name="IQRTickerConverterH1110" hidden="1">#REF!</definedName>
    <definedName name="IQRTickerConverterH1111" hidden="1">#REF!</definedName>
    <definedName name="IQRTickerConverterH1112" hidden="1">#REF!</definedName>
    <definedName name="IQRTickerConverterH1113" hidden="1">#REF!</definedName>
    <definedName name="IQRTickerConverterH1114" hidden="1">#REF!</definedName>
    <definedName name="IQRTickerConverterH1115" hidden="1">#REF!</definedName>
    <definedName name="IQRTickerConverterH1116" hidden="1">#REF!</definedName>
    <definedName name="IQRTickerConverterH1117" hidden="1">#REF!</definedName>
    <definedName name="IQRTickerConverterH1118" hidden="1">#REF!</definedName>
    <definedName name="IQRTickerConverterH1119" hidden="1">#REF!</definedName>
    <definedName name="IQRTickerConverterH112" hidden="1">#REF!</definedName>
    <definedName name="IQRTickerConverterH1120" hidden="1">#REF!</definedName>
    <definedName name="IQRTickerConverterH1122" hidden="1">#REF!</definedName>
    <definedName name="IQRTickerConverterH1124" hidden="1">#REF!</definedName>
    <definedName name="IQRTickerConverterH1125" hidden="1">#REF!</definedName>
    <definedName name="IQRTickerConverterH1126" hidden="1">#REF!</definedName>
    <definedName name="IQRTickerConverterH1127" hidden="1">#REF!</definedName>
    <definedName name="IQRTickerConverterH1128" hidden="1">#REF!</definedName>
    <definedName name="IQRTickerConverterH1129" hidden="1">#REF!</definedName>
    <definedName name="IQRTickerConverterH113" hidden="1">#REF!</definedName>
    <definedName name="IQRTickerConverterH1130" hidden="1">#REF!</definedName>
    <definedName name="IQRTickerConverterH1131" hidden="1">#REF!</definedName>
    <definedName name="IQRTickerConverterH1132" hidden="1">#REF!</definedName>
    <definedName name="IQRTickerConverterH1133" hidden="1">#REF!</definedName>
    <definedName name="IQRTickerConverterH1134" hidden="1">#REF!</definedName>
    <definedName name="IQRTickerConverterH1135" hidden="1">#REF!</definedName>
    <definedName name="IQRTickerConverterH1136" hidden="1">#REF!</definedName>
    <definedName name="IQRTickerConverterH1137" hidden="1">#REF!</definedName>
    <definedName name="IQRTickerConverterH1138" hidden="1">#REF!</definedName>
    <definedName name="IQRTickerConverterH1139" hidden="1">#REF!</definedName>
    <definedName name="IQRTickerConverterH1140" hidden="1">#REF!</definedName>
    <definedName name="IQRTickerConverterH1142" hidden="1">#REF!</definedName>
    <definedName name="IQRTickerConverterH1143" hidden="1">#REF!</definedName>
    <definedName name="IQRTickerConverterH1144" hidden="1">#REF!</definedName>
    <definedName name="IQRTickerConverterH1145" hidden="1">#REF!</definedName>
    <definedName name="IQRTickerConverterH1146" hidden="1">#REF!</definedName>
    <definedName name="IQRTickerConverterH1147" hidden="1">#REF!</definedName>
    <definedName name="IQRTickerConverterH1148" hidden="1">#REF!</definedName>
    <definedName name="IQRTickerConverterH1149" hidden="1">#REF!</definedName>
    <definedName name="IQRTickerConverterH115" hidden="1">#REF!</definedName>
    <definedName name="IQRTickerConverterH1150" hidden="1">#REF!</definedName>
    <definedName name="IQRTickerConverterH1151" hidden="1">#REF!</definedName>
    <definedName name="IQRTickerConverterH1152" hidden="1">#REF!</definedName>
    <definedName name="IQRTickerConverterH1153" hidden="1">#REF!</definedName>
    <definedName name="IQRTickerConverterH1154" hidden="1">#REF!</definedName>
    <definedName name="IQRTickerConverterH1156" hidden="1">#REF!</definedName>
    <definedName name="IQRTickerConverterH1157" hidden="1">#REF!</definedName>
    <definedName name="IQRTickerConverterH1158" hidden="1">#REF!</definedName>
    <definedName name="IQRTickerConverterH1159" hidden="1">#REF!</definedName>
    <definedName name="IQRTickerConverterH116" hidden="1">#REF!</definedName>
    <definedName name="IQRTickerConverterH1160" hidden="1">#REF!</definedName>
    <definedName name="IQRTickerConverterH1161" hidden="1">#REF!</definedName>
    <definedName name="IQRTickerConverterH1162" hidden="1">#REF!</definedName>
    <definedName name="IQRTickerConverterH1163" hidden="1">#REF!</definedName>
    <definedName name="IQRTickerConverterH1164" hidden="1">#REF!</definedName>
    <definedName name="IQRTickerConverterH1165" hidden="1">#REF!</definedName>
    <definedName name="IQRTickerConverterH1166" hidden="1">#REF!</definedName>
    <definedName name="IQRTickerConverterH1167" hidden="1">#REF!</definedName>
    <definedName name="IQRTickerConverterH1168" hidden="1">#REF!</definedName>
    <definedName name="IQRTickerConverterH1169" hidden="1">#REF!</definedName>
    <definedName name="IQRTickerConverterH117" hidden="1">#REF!</definedName>
    <definedName name="IQRTickerConverterH1170" hidden="1">#REF!</definedName>
    <definedName name="IQRTickerConverterH1171" hidden="1">#REF!</definedName>
    <definedName name="IQRTickerConverterH1172" hidden="1">#REF!</definedName>
    <definedName name="IQRTickerConverterH1173" hidden="1">#REF!</definedName>
    <definedName name="IQRTickerConverterH1174" hidden="1">#REF!</definedName>
    <definedName name="IQRTickerConverterH1175" hidden="1">#REF!</definedName>
    <definedName name="IQRTickerConverterH1176" hidden="1">#REF!</definedName>
    <definedName name="IQRTickerConverterH1177" hidden="1">#REF!</definedName>
    <definedName name="IQRTickerConverterH1178" hidden="1">#REF!</definedName>
    <definedName name="IQRTickerConverterH1179" hidden="1">#REF!</definedName>
    <definedName name="IQRTickerConverterH118" hidden="1">#REF!</definedName>
    <definedName name="IQRTickerConverterH1180" hidden="1">#REF!</definedName>
    <definedName name="IQRTickerConverterH1181" hidden="1">#REF!</definedName>
    <definedName name="IQRTickerConverterH1182" hidden="1">#REF!</definedName>
    <definedName name="IQRTickerConverterH1183" hidden="1">#REF!</definedName>
    <definedName name="IQRTickerConverterH1184" hidden="1">#REF!</definedName>
    <definedName name="IQRTickerConverterH1185" hidden="1">#REF!</definedName>
    <definedName name="IQRTickerConverterH1186" hidden="1">#REF!</definedName>
    <definedName name="IQRTickerConverterH1188" hidden="1">#REF!</definedName>
    <definedName name="IQRTickerConverterH1189" hidden="1">#REF!</definedName>
    <definedName name="IQRTickerConverterH119" hidden="1">#REF!</definedName>
    <definedName name="IQRTickerConverterH1190" hidden="1">#REF!</definedName>
    <definedName name="IQRTickerConverterH1191" hidden="1">#REF!</definedName>
    <definedName name="IQRTickerConverterH1192" hidden="1">#REF!</definedName>
    <definedName name="IQRTickerConverterH1193" hidden="1">#REF!</definedName>
    <definedName name="IQRTickerConverterH1194" hidden="1">#REF!</definedName>
    <definedName name="IQRTickerConverterH1195" hidden="1">#REF!</definedName>
    <definedName name="IQRTickerConverterH1196" hidden="1">#REF!</definedName>
    <definedName name="IQRTickerConverterH1197" hidden="1">#REF!</definedName>
    <definedName name="IQRTickerConverterH1198" hidden="1">#REF!</definedName>
    <definedName name="IQRTickerConverterH1199" hidden="1">#REF!</definedName>
    <definedName name="IQRTickerConverterH12" hidden="1">#REF!</definedName>
    <definedName name="IQRTickerConverterH120" hidden="1">#REF!</definedName>
    <definedName name="IQRTickerConverterH1200" hidden="1">#REF!</definedName>
    <definedName name="IQRTickerConverterH1201" hidden="1">#REF!</definedName>
    <definedName name="IQRTickerConverterH1202" hidden="1">#REF!</definedName>
    <definedName name="IQRTickerConverterH1203" hidden="1">#REF!</definedName>
    <definedName name="IQRTickerConverterH1204" hidden="1">#REF!</definedName>
    <definedName name="IQRTickerConverterH1205" hidden="1">#REF!</definedName>
    <definedName name="IQRTickerConverterH1206" hidden="1">#REF!</definedName>
    <definedName name="IQRTickerConverterH1207" hidden="1">#REF!</definedName>
    <definedName name="IQRTickerConverterH1208" hidden="1">#REF!</definedName>
    <definedName name="IQRTickerConverterH1209" hidden="1">#REF!</definedName>
    <definedName name="IQRTickerConverterH121" hidden="1">#REF!</definedName>
    <definedName name="IQRTickerConverterH1210" hidden="1">#REF!</definedName>
    <definedName name="IQRTickerConverterH1211" hidden="1">#REF!</definedName>
    <definedName name="IQRTickerConverterH1212" hidden="1">#REF!</definedName>
    <definedName name="IQRTickerConverterH1213" hidden="1">#REF!</definedName>
    <definedName name="IQRTickerConverterH1214" hidden="1">#REF!</definedName>
    <definedName name="IQRTickerConverterH1215" hidden="1">#REF!</definedName>
    <definedName name="IQRTickerConverterH1216" hidden="1">#REF!</definedName>
    <definedName name="IQRTickerConverterH1217" hidden="1">#REF!</definedName>
    <definedName name="IQRTickerConverterH1218" hidden="1">#REF!</definedName>
    <definedName name="IQRTickerConverterH1219" hidden="1">#REF!</definedName>
    <definedName name="IQRTickerConverterH122" hidden="1">#REF!</definedName>
    <definedName name="IQRTickerConverterH1220" hidden="1">#REF!</definedName>
    <definedName name="IQRTickerConverterH1221" hidden="1">#REF!</definedName>
    <definedName name="IQRTickerConverterH1222" hidden="1">#REF!</definedName>
    <definedName name="IQRTickerConverterH1223" hidden="1">#REF!</definedName>
    <definedName name="IQRTickerConverterH1224" hidden="1">#REF!</definedName>
    <definedName name="IQRTickerConverterH1225" hidden="1">#REF!</definedName>
    <definedName name="IQRTickerConverterH1226" hidden="1">#REF!</definedName>
    <definedName name="IQRTickerConverterH1227" hidden="1">#REF!</definedName>
    <definedName name="IQRTickerConverterH1228" hidden="1">#REF!</definedName>
    <definedName name="IQRTickerConverterH1229" hidden="1">#REF!</definedName>
    <definedName name="IQRTickerConverterH123" hidden="1">#REF!</definedName>
    <definedName name="IQRTickerConverterH1230" hidden="1">#REF!</definedName>
    <definedName name="IQRTickerConverterH1231" hidden="1">#REF!</definedName>
    <definedName name="IQRTickerConverterH1232" hidden="1">#REF!</definedName>
    <definedName name="IQRTickerConverterH1233" hidden="1">#REF!</definedName>
    <definedName name="IQRTickerConverterH1234" hidden="1">#REF!</definedName>
    <definedName name="IQRTickerConverterH1235" hidden="1">#REF!</definedName>
    <definedName name="IQRTickerConverterH1236" hidden="1">#REF!</definedName>
    <definedName name="IQRTickerConverterH1237" hidden="1">#REF!</definedName>
    <definedName name="IQRTickerConverterH1238" hidden="1">#REF!</definedName>
    <definedName name="IQRTickerConverterH1239" hidden="1">#REF!</definedName>
    <definedName name="IQRTickerConverterH124" hidden="1">#REF!</definedName>
    <definedName name="IQRTickerConverterH1240" hidden="1">#REF!</definedName>
    <definedName name="IQRTickerConverterH1241" hidden="1">#REF!</definedName>
    <definedName name="IQRTickerConverterH1242" hidden="1">#REF!</definedName>
    <definedName name="IQRTickerConverterH1243" hidden="1">#REF!</definedName>
    <definedName name="IQRTickerConverterH1244" hidden="1">#REF!</definedName>
    <definedName name="IQRTickerConverterH1245" hidden="1">#REF!</definedName>
    <definedName name="IQRTickerConverterH1246" hidden="1">#REF!</definedName>
    <definedName name="IQRTickerConverterH1247" hidden="1">#REF!</definedName>
    <definedName name="IQRTickerConverterH1248" hidden="1">#REF!</definedName>
    <definedName name="IQRTickerConverterH1249" hidden="1">#REF!</definedName>
    <definedName name="IQRTickerConverterH125" hidden="1">#REF!</definedName>
    <definedName name="IQRTickerConverterH1250" hidden="1">#REF!</definedName>
    <definedName name="IQRTickerConverterH1251" hidden="1">#REF!</definedName>
    <definedName name="IQRTickerConverterH1253" hidden="1">#REF!</definedName>
    <definedName name="IQRTickerConverterH1254" hidden="1">#REF!</definedName>
    <definedName name="IQRTickerConverterH1255" hidden="1">#REF!</definedName>
    <definedName name="IQRTickerConverterH1256" hidden="1">#REF!</definedName>
    <definedName name="IQRTickerConverterH1257" hidden="1">#REF!</definedName>
    <definedName name="IQRTickerConverterH1258" hidden="1">#REF!</definedName>
    <definedName name="IQRTickerConverterH1259" hidden="1">#REF!</definedName>
    <definedName name="IQRTickerConverterH126" hidden="1">#REF!</definedName>
    <definedName name="IQRTickerConverterH1260" hidden="1">#REF!</definedName>
    <definedName name="IQRTickerConverterH1261" hidden="1">#REF!</definedName>
    <definedName name="IQRTickerConverterH1262" hidden="1">#REF!</definedName>
    <definedName name="IQRTickerConverterH1264" hidden="1">#REF!</definedName>
    <definedName name="IQRTickerConverterH1265" hidden="1">#REF!</definedName>
    <definedName name="IQRTickerConverterH1266" hidden="1">#REF!</definedName>
    <definedName name="IQRTickerConverterH1267" hidden="1">#REF!</definedName>
    <definedName name="IQRTickerConverterH1268" hidden="1">#REF!</definedName>
    <definedName name="IQRTickerConverterH1269" hidden="1">#REF!</definedName>
    <definedName name="IQRTickerConverterH127" hidden="1">#REF!</definedName>
    <definedName name="IQRTickerConverterH1270" hidden="1">#REF!</definedName>
    <definedName name="IQRTickerConverterH1271" hidden="1">#REF!</definedName>
    <definedName name="IQRTickerConverterH1272" hidden="1">#REF!</definedName>
    <definedName name="IQRTickerConverterH1273" hidden="1">#REF!</definedName>
    <definedName name="IQRTickerConverterH1274" hidden="1">#REF!</definedName>
    <definedName name="IQRTickerConverterH1275" hidden="1">#REF!</definedName>
    <definedName name="IQRTickerConverterH1276" hidden="1">#REF!</definedName>
    <definedName name="IQRTickerConverterH1277" hidden="1">#REF!</definedName>
    <definedName name="IQRTickerConverterH1278" hidden="1">#REF!</definedName>
    <definedName name="IQRTickerConverterH1279" hidden="1">#REF!</definedName>
    <definedName name="IQRTickerConverterH128" hidden="1">#REF!</definedName>
    <definedName name="IQRTickerConverterH1280" hidden="1">#REF!</definedName>
    <definedName name="IQRTickerConverterH1281" hidden="1">#REF!</definedName>
    <definedName name="IQRTickerConverterH1282" hidden="1">#REF!</definedName>
    <definedName name="IQRTickerConverterH1283" hidden="1">#REF!</definedName>
    <definedName name="IQRTickerConverterH1284" hidden="1">#REF!</definedName>
    <definedName name="IQRTickerConverterH1285" hidden="1">#REF!</definedName>
    <definedName name="IQRTickerConverterH1287" hidden="1">#REF!</definedName>
    <definedName name="IQRTickerConverterH1288" hidden="1">#REF!</definedName>
    <definedName name="IQRTickerConverterH1289" hidden="1">#REF!</definedName>
    <definedName name="IQRTickerConverterH129" hidden="1">#REF!</definedName>
    <definedName name="IQRTickerConverterH1290" hidden="1">#REF!</definedName>
    <definedName name="IQRTickerConverterH1292" hidden="1">#REF!</definedName>
    <definedName name="IQRTickerConverterH1293" hidden="1">#REF!</definedName>
    <definedName name="IQRTickerConverterH1294" hidden="1">#REF!</definedName>
    <definedName name="IQRTickerConverterH1295" hidden="1">#REF!</definedName>
    <definedName name="IQRTickerConverterH1296" hidden="1">#REF!</definedName>
    <definedName name="IQRTickerConverterH1297" hidden="1">#REF!</definedName>
    <definedName name="IQRTickerConverterH1298" hidden="1">#REF!</definedName>
    <definedName name="IQRTickerConverterH1299" hidden="1">#REF!</definedName>
    <definedName name="IQRTickerConverterH13" hidden="1">#REF!</definedName>
    <definedName name="IQRTickerConverterH130" hidden="1">#REF!</definedName>
    <definedName name="IQRTickerConverterH1300" hidden="1">#REF!</definedName>
    <definedName name="IQRTickerConverterH1301" hidden="1">#REF!</definedName>
    <definedName name="IQRTickerConverterH1302" hidden="1">#REF!</definedName>
    <definedName name="IQRTickerConverterH1303" hidden="1">#REF!</definedName>
    <definedName name="IQRTickerConverterH1304" hidden="1">#REF!</definedName>
    <definedName name="IQRTickerConverterH1305" hidden="1">#REF!</definedName>
    <definedName name="IQRTickerConverterH1306" hidden="1">#REF!</definedName>
    <definedName name="IQRTickerConverterH1307" hidden="1">#REF!</definedName>
    <definedName name="IQRTickerConverterH1308" hidden="1">#REF!</definedName>
    <definedName name="IQRTickerConverterH1309" hidden="1">#REF!</definedName>
    <definedName name="IQRTickerConverterH131" hidden="1">#REF!</definedName>
    <definedName name="IQRTickerConverterH1310" hidden="1">#REF!</definedName>
    <definedName name="IQRTickerConverterH1311" hidden="1">#REF!</definedName>
    <definedName name="IQRTickerConverterH1312" hidden="1">#REF!</definedName>
    <definedName name="IQRTickerConverterH1313" hidden="1">#REF!</definedName>
    <definedName name="IQRTickerConverterH1314" hidden="1">#REF!</definedName>
    <definedName name="IQRTickerConverterH1315" hidden="1">#REF!</definedName>
    <definedName name="IQRTickerConverterH1316" hidden="1">#REF!</definedName>
    <definedName name="IQRTickerConverterH1317" hidden="1">#REF!</definedName>
    <definedName name="IQRTickerConverterH1318" hidden="1">#REF!</definedName>
    <definedName name="IQRTickerConverterH1319" hidden="1">#REF!</definedName>
    <definedName name="IQRTickerConverterH132" hidden="1">#REF!</definedName>
    <definedName name="IQRTickerConverterH1320" hidden="1">#REF!</definedName>
    <definedName name="IQRTickerConverterH1321" hidden="1">#REF!</definedName>
    <definedName name="IQRTickerConverterH1322" hidden="1">#REF!</definedName>
    <definedName name="IQRTickerConverterH1323" hidden="1">#REF!</definedName>
    <definedName name="IQRTickerConverterH1324" hidden="1">#REF!</definedName>
    <definedName name="IQRTickerConverterH1325" hidden="1">#REF!</definedName>
    <definedName name="IQRTickerConverterH1326" hidden="1">#REF!</definedName>
    <definedName name="IQRTickerConverterH1327" hidden="1">#REF!</definedName>
    <definedName name="IQRTickerConverterH1328" hidden="1">#REF!</definedName>
    <definedName name="IQRTickerConverterH1329" hidden="1">#REF!</definedName>
    <definedName name="IQRTickerConverterH133" hidden="1">#REF!</definedName>
    <definedName name="IQRTickerConverterH1330" hidden="1">#REF!</definedName>
    <definedName name="IQRTickerConverterH1331" hidden="1">#REF!</definedName>
    <definedName name="IQRTickerConverterH1332" hidden="1">#REF!</definedName>
    <definedName name="IQRTickerConverterH1334" hidden="1">#REF!</definedName>
    <definedName name="IQRTickerConverterH1335" hidden="1">#REF!</definedName>
    <definedName name="IQRTickerConverterH1336" hidden="1">#REF!</definedName>
    <definedName name="IQRTickerConverterH1338" hidden="1">#REF!</definedName>
    <definedName name="IQRTickerConverterH134" hidden="1">#REF!</definedName>
    <definedName name="IQRTickerConverterH1340" hidden="1">#REF!</definedName>
    <definedName name="IQRTickerConverterH1342" hidden="1">#REF!</definedName>
    <definedName name="IQRTickerConverterH1343" hidden="1">#REF!</definedName>
    <definedName name="IQRTickerConverterH1344" hidden="1">#REF!</definedName>
    <definedName name="IQRTickerConverterH1345" hidden="1">#REF!</definedName>
    <definedName name="IQRTickerConverterH1346" hidden="1">#REF!</definedName>
    <definedName name="IQRTickerConverterH1347" hidden="1">#REF!</definedName>
    <definedName name="IQRTickerConverterH1348" hidden="1">#REF!</definedName>
    <definedName name="IQRTickerConverterH1349" hidden="1">#REF!</definedName>
    <definedName name="IQRTickerConverterH135" hidden="1">#REF!</definedName>
    <definedName name="IQRTickerConverterH1350" hidden="1">#REF!</definedName>
    <definedName name="IQRTickerConverterH1351" hidden="1">#REF!</definedName>
    <definedName name="IQRTickerConverterH1352" hidden="1">#REF!</definedName>
    <definedName name="IQRTickerConverterH1353" hidden="1">#REF!</definedName>
    <definedName name="IQRTickerConverterH1355" hidden="1">#REF!</definedName>
    <definedName name="IQRTickerConverterH1356" hidden="1">#REF!</definedName>
    <definedName name="IQRTickerConverterH1357" hidden="1">#REF!</definedName>
    <definedName name="IQRTickerConverterH1358" hidden="1">#REF!</definedName>
    <definedName name="IQRTickerConverterH1359" hidden="1">#REF!</definedName>
    <definedName name="IQRTickerConverterH136" hidden="1">#REF!</definedName>
    <definedName name="IQRTickerConverterH1360" hidden="1">#REF!</definedName>
    <definedName name="IQRTickerConverterH1361" hidden="1">#REF!</definedName>
    <definedName name="IQRTickerConverterH1364" hidden="1">#REF!</definedName>
    <definedName name="IQRTickerConverterH1365" hidden="1">#REF!</definedName>
    <definedName name="IQRTickerConverterH1366" hidden="1">#REF!</definedName>
    <definedName name="IQRTickerConverterH1367" hidden="1">#REF!</definedName>
    <definedName name="IQRTickerConverterH1368" hidden="1">#REF!</definedName>
    <definedName name="IQRTickerConverterH1369" hidden="1">#REF!</definedName>
    <definedName name="IQRTickerConverterH137" hidden="1">#REF!</definedName>
    <definedName name="IQRTickerConverterH1370" hidden="1">#REF!</definedName>
    <definedName name="IQRTickerConverterH1371" hidden="1">#REF!</definedName>
    <definedName name="IQRTickerConverterH1372" hidden="1">#REF!</definedName>
    <definedName name="IQRTickerConverterH1373" hidden="1">#REF!</definedName>
    <definedName name="IQRTickerConverterH1374" hidden="1">#REF!</definedName>
    <definedName name="IQRTickerConverterH1375" hidden="1">#REF!</definedName>
    <definedName name="IQRTickerConverterH1376" hidden="1">#REF!</definedName>
    <definedName name="IQRTickerConverterH1377" hidden="1">#REF!</definedName>
    <definedName name="IQRTickerConverterH1378" hidden="1">#REF!</definedName>
    <definedName name="IQRTickerConverterH1379" hidden="1">#REF!</definedName>
    <definedName name="IQRTickerConverterH138" hidden="1">#REF!</definedName>
    <definedName name="IQRTickerConverterH1380" hidden="1">#REF!</definedName>
    <definedName name="IQRTickerConverterH1381" hidden="1">#REF!</definedName>
    <definedName name="IQRTickerConverterH1382" hidden="1">#REF!</definedName>
    <definedName name="IQRTickerConverterH1383" hidden="1">#REF!</definedName>
    <definedName name="IQRTickerConverterH1384" hidden="1">#REF!</definedName>
    <definedName name="IQRTickerConverterH1385" hidden="1">#REF!</definedName>
    <definedName name="IQRTickerConverterH1386" hidden="1">#REF!</definedName>
    <definedName name="IQRTickerConverterH1388" hidden="1">#REF!</definedName>
    <definedName name="IQRTickerConverterH1389" hidden="1">#REF!</definedName>
    <definedName name="IQRTickerConverterH139" hidden="1">#REF!</definedName>
    <definedName name="IQRTickerConverterH1390" hidden="1">#REF!</definedName>
    <definedName name="IQRTickerConverterH1391" hidden="1">#REF!</definedName>
    <definedName name="IQRTickerConverterH1392" hidden="1">#REF!</definedName>
    <definedName name="IQRTickerConverterH1393" hidden="1">#REF!</definedName>
    <definedName name="IQRTickerConverterH1394" hidden="1">#REF!</definedName>
    <definedName name="IQRTickerConverterH1395" hidden="1">#REF!</definedName>
    <definedName name="IQRTickerConverterH1396" hidden="1">#REF!</definedName>
    <definedName name="IQRTickerConverterH1397" hidden="1">#REF!</definedName>
    <definedName name="IQRTickerConverterH1398" hidden="1">#REF!</definedName>
    <definedName name="IQRTickerConverterH1399" hidden="1">#REF!</definedName>
    <definedName name="IQRTickerConverterH14" hidden="1">#REF!</definedName>
    <definedName name="IQRTickerConverterH140" hidden="1">#REF!</definedName>
    <definedName name="IQRTickerConverterH1400" hidden="1">#REF!</definedName>
    <definedName name="IQRTickerConverterH1401" hidden="1">#REF!</definedName>
    <definedName name="IQRTickerConverterH1402" hidden="1">#REF!</definedName>
    <definedName name="IQRTickerConverterH1403" hidden="1">#REF!</definedName>
    <definedName name="IQRTickerConverterH1404" hidden="1">#REF!</definedName>
    <definedName name="IQRTickerConverterH1405" hidden="1">#REF!</definedName>
    <definedName name="IQRTickerConverterH1406" hidden="1">#REF!</definedName>
    <definedName name="IQRTickerConverterH1407" hidden="1">#REF!</definedName>
    <definedName name="IQRTickerConverterH1408" hidden="1">#REF!</definedName>
    <definedName name="IQRTickerConverterH1409" hidden="1">#REF!</definedName>
    <definedName name="IQRTickerConverterH141" hidden="1">#REF!</definedName>
    <definedName name="IQRTickerConverterH1410" hidden="1">#REF!</definedName>
    <definedName name="IQRTickerConverterH1411" hidden="1">#REF!</definedName>
    <definedName name="IQRTickerConverterH1412" hidden="1">#REF!</definedName>
    <definedName name="IQRTickerConverterH1413" hidden="1">#REF!</definedName>
    <definedName name="IQRTickerConverterH1414" hidden="1">#REF!</definedName>
    <definedName name="IQRTickerConverterH1415" hidden="1">#REF!</definedName>
    <definedName name="IQRTickerConverterH1416" hidden="1">#REF!</definedName>
    <definedName name="IQRTickerConverterH1417" hidden="1">#REF!</definedName>
    <definedName name="IQRTickerConverterH1418" hidden="1">#REF!</definedName>
    <definedName name="IQRTickerConverterH1419" hidden="1">#REF!</definedName>
    <definedName name="IQRTickerConverterH142" hidden="1">#REF!</definedName>
    <definedName name="IQRTickerConverterH1420" hidden="1">#REF!</definedName>
    <definedName name="IQRTickerConverterH1421" hidden="1">#REF!</definedName>
    <definedName name="IQRTickerConverterH1422" hidden="1">#REF!</definedName>
    <definedName name="IQRTickerConverterH1423" hidden="1">#REF!</definedName>
    <definedName name="IQRTickerConverterH1425" hidden="1">#REF!</definedName>
    <definedName name="IQRTickerConverterH1426" hidden="1">#REF!</definedName>
    <definedName name="IQRTickerConverterH1427" hidden="1">#REF!</definedName>
    <definedName name="IQRTickerConverterH1428" hidden="1">#REF!</definedName>
    <definedName name="IQRTickerConverterH1429" hidden="1">#REF!</definedName>
    <definedName name="IQRTickerConverterH143" hidden="1">#REF!</definedName>
    <definedName name="IQRTickerConverterH1430" hidden="1">#REF!</definedName>
    <definedName name="IQRTickerConverterH1431" hidden="1">#REF!</definedName>
    <definedName name="IQRTickerConverterH1432" hidden="1">#REF!</definedName>
    <definedName name="IQRTickerConverterH1433" hidden="1">#REF!</definedName>
    <definedName name="IQRTickerConverterH1434" hidden="1">#REF!</definedName>
    <definedName name="IQRTickerConverterH1435" hidden="1">#REF!</definedName>
    <definedName name="IQRTickerConverterH1436" hidden="1">#REF!</definedName>
    <definedName name="IQRTickerConverterH1438" hidden="1">#REF!</definedName>
    <definedName name="IQRTickerConverterH1439" hidden="1">#REF!</definedName>
    <definedName name="IQRTickerConverterH144" hidden="1">#REF!</definedName>
    <definedName name="IQRTickerConverterH1440" hidden="1">#REF!</definedName>
    <definedName name="IQRTickerConverterH1441" hidden="1">#REF!</definedName>
    <definedName name="IQRTickerConverterH1442" hidden="1">#REF!</definedName>
    <definedName name="IQRTickerConverterH1443" hidden="1">#REF!</definedName>
    <definedName name="IQRTickerConverterH1444" hidden="1">#REF!</definedName>
    <definedName name="IQRTickerConverterH1445" hidden="1">#REF!</definedName>
    <definedName name="IQRTickerConverterH1446" hidden="1">#REF!</definedName>
    <definedName name="IQRTickerConverterH1447" hidden="1">#REF!</definedName>
    <definedName name="IQRTickerConverterH1448" hidden="1">#REF!</definedName>
    <definedName name="IQRTickerConverterH1449" hidden="1">#REF!</definedName>
    <definedName name="IQRTickerConverterH145" hidden="1">#REF!</definedName>
    <definedName name="IQRTickerConverterH1450" hidden="1">#REF!</definedName>
    <definedName name="IQRTickerConverterH1451" hidden="1">#REF!</definedName>
    <definedName name="IQRTickerConverterH1452" hidden="1">#REF!</definedName>
    <definedName name="IQRTickerConverterH1453" hidden="1">#REF!</definedName>
    <definedName name="IQRTickerConverterH1454" hidden="1">#REF!</definedName>
    <definedName name="IQRTickerConverterH1455" hidden="1">#REF!</definedName>
    <definedName name="IQRTickerConverterH1456" hidden="1">#REF!</definedName>
    <definedName name="IQRTickerConverterH1457" hidden="1">#REF!</definedName>
    <definedName name="IQRTickerConverterH1458" hidden="1">#REF!</definedName>
    <definedName name="IQRTickerConverterH1459" hidden="1">#REF!</definedName>
    <definedName name="IQRTickerConverterH146" hidden="1">#REF!</definedName>
    <definedName name="IQRTickerConverterH1460" hidden="1">#REF!</definedName>
    <definedName name="IQRTickerConverterH1461" hidden="1">#REF!</definedName>
    <definedName name="IQRTickerConverterH1462" hidden="1">#REF!</definedName>
    <definedName name="IQRTickerConverterH1463" hidden="1">#REF!</definedName>
    <definedName name="IQRTickerConverterH1464" hidden="1">#REF!</definedName>
    <definedName name="IQRTickerConverterH1465" hidden="1">#REF!</definedName>
    <definedName name="IQRTickerConverterH1466" hidden="1">#REF!</definedName>
    <definedName name="IQRTickerConverterH1467" hidden="1">#REF!</definedName>
    <definedName name="IQRTickerConverterH1468" hidden="1">#REF!</definedName>
    <definedName name="IQRTickerConverterH1469" hidden="1">#REF!</definedName>
    <definedName name="IQRTickerConverterH147" hidden="1">#REF!</definedName>
    <definedName name="IQRTickerConverterH1470" hidden="1">#REF!</definedName>
    <definedName name="IQRTickerConverterH1471" hidden="1">#REF!</definedName>
    <definedName name="IQRTickerConverterH1472" hidden="1">#REF!</definedName>
    <definedName name="IQRTickerConverterH1473" hidden="1">#REF!</definedName>
    <definedName name="IQRTickerConverterH1474" hidden="1">#REF!</definedName>
    <definedName name="IQRTickerConverterH1475" hidden="1">#REF!</definedName>
    <definedName name="IQRTickerConverterH1476" hidden="1">#REF!</definedName>
    <definedName name="IQRTickerConverterH1477" hidden="1">#REF!</definedName>
    <definedName name="IQRTickerConverterH1478" hidden="1">#REF!</definedName>
    <definedName name="IQRTickerConverterH1479" hidden="1">#REF!</definedName>
    <definedName name="IQRTickerConverterH148" hidden="1">#REF!</definedName>
    <definedName name="IQRTickerConverterH1480" hidden="1">#REF!</definedName>
    <definedName name="IQRTickerConverterH1481" hidden="1">#REF!</definedName>
    <definedName name="IQRTickerConverterH1482" hidden="1">#REF!</definedName>
    <definedName name="IQRTickerConverterH1483" hidden="1">#REF!</definedName>
    <definedName name="IQRTickerConverterH1484" hidden="1">#REF!</definedName>
    <definedName name="IQRTickerConverterH1485" hidden="1">#REF!</definedName>
    <definedName name="IQRTickerConverterH1486" hidden="1">#REF!</definedName>
    <definedName name="IQRTickerConverterH1488" hidden="1">#REF!</definedName>
    <definedName name="IQRTickerConverterH1489" hidden="1">#REF!</definedName>
    <definedName name="IQRTickerConverterH149" hidden="1">#REF!</definedName>
    <definedName name="IQRTickerConverterH1490" hidden="1">#REF!</definedName>
    <definedName name="IQRTickerConverterH1491" hidden="1">#REF!</definedName>
    <definedName name="IQRTickerConverterH1492" hidden="1">#REF!</definedName>
    <definedName name="IQRTickerConverterH1493" hidden="1">#REF!</definedName>
    <definedName name="IQRTickerConverterH1495" hidden="1">#REF!</definedName>
    <definedName name="IQRTickerConverterH1496" hidden="1">#REF!</definedName>
    <definedName name="IQRTickerConverterH1497" hidden="1">#REF!</definedName>
    <definedName name="IQRTickerConverterH1498" hidden="1">#REF!</definedName>
    <definedName name="IQRTickerConverterH1499" hidden="1">#REF!</definedName>
    <definedName name="IQRTickerConverterH15" hidden="1">#REF!</definedName>
    <definedName name="IQRTickerConverterH150" hidden="1">#REF!</definedName>
    <definedName name="IQRTickerConverterH1502" hidden="1">#REF!</definedName>
    <definedName name="IQRTickerConverterH1503" hidden="1">#REF!</definedName>
    <definedName name="IQRTickerConverterH1504" hidden="1">#REF!</definedName>
    <definedName name="IQRTickerConverterH1505" hidden="1">#REF!</definedName>
    <definedName name="IQRTickerConverterH1506" hidden="1">#REF!</definedName>
    <definedName name="IQRTickerConverterH1507" hidden="1">#REF!</definedName>
    <definedName name="IQRTickerConverterH1508" hidden="1">#REF!</definedName>
    <definedName name="IQRTickerConverterH1509" hidden="1">#REF!</definedName>
    <definedName name="IQRTickerConverterH151" hidden="1">#REF!</definedName>
    <definedName name="IQRTickerConverterH1510" hidden="1">#REF!</definedName>
    <definedName name="IQRTickerConverterH1511" hidden="1">#REF!</definedName>
    <definedName name="IQRTickerConverterH1512" hidden="1">#REF!</definedName>
    <definedName name="IQRTickerConverterH1513" hidden="1">#REF!</definedName>
    <definedName name="IQRTickerConverterH1514" hidden="1">#REF!</definedName>
    <definedName name="IQRTickerConverterH1515" hidden="1">#REF!</definedName>
    <definedName name="IQRTickerConverterH1516" hidden="1">#REF!</definedName>
    <definedName name="IQRTickerConverterH1517" hidden="1">#REF!</definedName>
    <definedName name="IQRTickerConverterH1518" hidden="1">#REF!</definedName>
    <definedName name="IQRTickerConverterH1519" hidden="1">#REF!</definedName>
    <definedName name="IQRTickerConverterH152" hidden="1">#REF!</definedName>
    <definedName name="IQRTickerConverterH1520" hidden="1">#REF!</definedName>
    <definedName name="IQRTickerConverterH1521" hidden="1">#REF!</definedName>
    <definedName name="IQRTickerConverterH1522" hidden="1">#REF!</definedName>
    <definedName name="IQRTickerConverterH1523" hidden="1">#REF!</definedName>
    <definedName name="IQRTickerConverterH1524" hidden="1">#REF!</definedName>
    <definedName name="IQRTickerConverterH1526" hidden="1">#REF!</definedName>
    <definedName name="IQRTickerConverterH1527" hidden="1">#REF!</definedName>
    <definedName name="IQRTickerConverterH1528" hidden="1">#REF!</definedName>
    <definedName name="IQRTickerConverterH1529" hidden="1">#REF!</definedName>
    <definedName name="IQRTickerConverterH153" hidden="1">#REF!</definedName>
    <definedName name="IQRTickerConverterH1530" hidden="1">#REF!</definedName>
    <definedName name="IQRTickerConverterH1531" hidden="1">#REF!</definedName>
    <definedName name="IQRTickerConverterH1532" hidden="1">#REF!</definedName>
    <definedName name="IQRTickerConverterH1533" hidden="1">#REF!</definedName>
    <definedName name="IQRTickerConverterH1534" hidden="1">#REF!</definedName>
    <definedName name="IQRTickerConverterH1536" hidden="1">#REF!</definedName>
    <definedName name="IQRTickerConverterH1537" hidden="1">#REF!</definedName>
    <definedName name="IQRTickerConverterH1538" hidden="1">#REF!</definedName>
    <definedName name="IQRTickerConverterH1539" hidden="1">#REF!</definedName>
    <definedName name="IQRTickerConverterH154" hidden="1">#REF!</definedName>
    <definedName name="IQRTickerConverterH1540" hidden="1">#REF!</definedName>
    <definedName name="IQRTickerConverterH1541" hidden="1">#REF!</definedName>
    <definedName name="IQRTickerConverterH1542" hidden="1">#REF!</definedName>
    <definedName name="IQRTickerConverterH1543" hidden="1">#REF!</definedName>
    <definedName name="IQRTickerConverterH1544" hidden="1">#REF!</definedName>
    <definedName name="IQRTickerConverterH1545" hidden="1">#REF!</definedName>
    <definedName name="IQRTickerConverterH1546" hidden="1">#REF!</definedName>
    <definedName name="IQRTickerConverterH1547" hidden="1">#REF!</definedName>
    <definedName name="IQRTickerConverterH1548" hidden="1">#REF!</definedName>
    <definedName name="IQRTickerConverterH1549" hidden="1">#REF!</definedName>
    <definedName name="IQRTickerConverterH155" hidden="1">#REF!</definedName>
    <definedName name="IQRTickerConverterH1551" hidden="1">#REF!</definedName>
    <definedName name="IQRTickerConverterH1552" hidden="1">#REF!</definedName>
    <definedName name="IQRTickerConverterH1553" hidden="1">#REF!</definedName>
    <definedName name="IQRTickerConverterH1554" hidden="1">#REF!</definedName>
    <definedName name="IQRTickerConverterH1555" hidden="1">#REF!</definedName>
    <definedName name="IQRTickerConverterH1556" hidden="1">#REF!</definedName>
    <definedName name="IQRTickerConverterH1557" hidden="1">#REF!</definedName>
    <definedName name="IQRTickerConverterH1558" hidden="1">#REF!</definedName>
    <definedName name="IQRTickerConverterH1559" hidden="1">#REF!</definedName>
    <definedName name="IQRTickerConverterH156" hidden="1">#REF!</definedName>
    <definedName name="IQRTickerConverterH1560" hidden="1">#REF!</definedName>
    <definedName name="IQRTickerConverterH1562" hidden="1">#REF!</definedName>
    <definedName name="IQRTickerConverterH1563" hidden="1">#REF!</definedName>
    <definedName name="IQRTickerConverterH1564" hidden="1">#REF!</definedName>
    <definedName name="IQRTickerConverterH1565" hidden="1">#REF!</definedName>
    <definedName name="IQRTickerConverterH1566" hidden="1">#REF!</definedName>
    <definedName name="IQRTickerConverterH1567" hidden="1">#REF!</definedName>
    <definedName name="IQRTickerConverterH1568" hidden="1">#REF!</definedName>
    <definedName name="IQRTickerConverterH1569" hidden="1">#REF!</definedName>
    <definedName name="IQRTickerConverterH157" hidden="1">#REF!</definedName>
    <definedName name="IQRTickerConverterH1570" hidden="1">#REF!</definedName>
    <definedName name="IQRTickerConverterH1571" hidden="1">#REF!</definedName>
    <definedName name="IQRTickerConverterH1572" hidden="1">#REF!</definedName>
    <definedName name="IQRTickerConverterH1573" hidden="1">#REF!</definedName>
    <definedName name="IQRTickerConverterH1574" hidden="1">#REF!</definedName>
    <definedName name="IQRTickerConverterH1575" hidden="1">#REF!</definedName>
    <definedName name="IQRTickerConverterH1576" hidden="1">#REF!</definedName>
    <definedName name="IQRTickerConverterH1577" hidden="1">#REF!</definedName>
    <definedName name="IQRTickerConverterH1578" hidden="1">#REF!</definedName>
    <definedName name="IQRTickerConverterH1579" hidden="1">#REF!</definedName>
    <definedName name="IQRTickerConverterH158" hidden="1">#REF!</definedName>
    <definedName name="IQRTickerConverterH1580" hidden="1">#REF!</definedName>
    <definedName name="IQRTickerConverterH1581" hidden="1">#REF!</definedName>
    <definedName name="IQRTickerConverterH1582" hidden="1">#REF!</definedName>
    <definedName name="IQRTickerConverterH1584" hidden="1">#REF!</definedName>
    <definedName name="IQRTickerConverterH1585" hidden="1">#REF!</definedName>
    <definedName name="IQRTickerConverterH1586" hidden="1">#REF!</definedName>
    <definedName name="IQRTickerConverterH1588" hidden="1">#REF!</definedName>
    <definedName name="IQRTickerConverterH1589" hidden="1">#REF!</definedName>
    <definedName name="IQRTickerConverterH159" hidden="1">#REF!</definedName>
    <definedName name="IQRTickerConverterH1590" hidden="1">#REF!</definedName>
    <definedName name="IQRTickerConverterH1591" hidden="1">#REF!</definedName>
    <definedName name="IQRTickerConverterH1592" hidden="1">#REF!</definedName>
    <definedName name="IQRTickerConverterH1593" hidden="1">#REF!</definedName>
    <definedName name="IQRTickerConverterH1594" hidden="1">#REF!</definedName>
    <definedName name="IQRTickerConverterH1595" hidden="1">#REF!</definedName>
    <definedName name="IQRTickerConverterH1596" hidden="1">#REF!</definedName>
    <definedName name="IQRTickerConverterH1597" hidden="1">#REF!</definedName>
    <definedName name="IQRTickerConverterH1598" hidden="1">#REF!</definedName>
    <definedName name="IQRTickerConverterH1599" hidden="1">#REF!</definedName>
    <definedName name="IQRTickerConverterH16" hidden="1">#REF!</definedName>
    <definedName name="IQRTickerConverterH160" hidden="1">#REF!</definedName>
    <definedName name="IQRTickerConverterH1600" hidden="1">#REF!</definedName>
    <definedName name="IQRTickerConverterH1602" hidden="1">#REF!</definedName>
    <definedName name="IQRTickerConverterH1603" hidden="1">#REF!</definedName>
    <definedName name="IQRTickerConverterH1604" hidden="1">#REF!</definedName>
    <definedName name="IQRTickerConverterH1605" hidden="1">#REF!</definedName>
    <definedName name="IQRTickerConverterH1606" hidden="1">#REF!</definedName>
    <definedName name="IQRTickerConverterH1607" hidden="1">#REF!</definedName>
    <definedName name="IQRTickerConverterH1608" hidden="1">#REF!</definedName>
    <definedName name="IQRTickerConverterH1609" hidden="1">#REF!</definedName>
    <definedName name="IQRTickerConverterH161" hidden="1">#REF!</definedName>
    <definedName name="IQRTickerConverterH1610" hidden="1">#REF!</definedName>
    <definedName name="IQRTickerConverterH1611" hidden="1">#REF!</definedName>
    <definedName name="IQRTickerConverterH1612" hidden="1">#REF!</definedName>
    <definedName name="IQRTickerConverterH1613" hidden="1">#REF!</definedName>
    <definedName name="IQRTickerConverterH1614" hidden="1">#REF!</definedName>
    <definedName name="IQRTickerConverterH1615" hidden="1">#REF!</definedName>
    <definedName name="IQRTickerConverterH1616" hidden="1">#REF!</definedName>
    <definedName name="IQRTickerConverterH1617" hidden="1">#REF!</definedName>
    <definedName name="IQRTickerConverterH1618" hidden="1">#REF!</definedName>
    <definedName name="IQRTickerConverterH1619" hidden="1">#REF!</definedName>
    <definedName name="IQRTickerConverterH162" hidden="1">#REF!</definedName>
    <definedName name="IQRTickerConverterH1620" hidden="1">#REF!</definedName>
    <definedName name="IQRTickerConverterH1621" hidden="1">#REF!</definedName>
    <definedName name="IQRTickerConverterH1622" hidden="1">#REF!</definedName>
    <definedName name="IQRTickerConverterH1623" hidden="1">#REF!</definedName>
    <definedName name="IQRTickerConverterH1624" hidden="1">#REF!</definedName>
    <definedName name="IQRTickerConverterH1625" hidden="1">#REF!</definedName>
    <definedName name="IQRTickerConverterH1626" hidden="1">#REF!</definedName>
    <definedName name="IQRTickerConverterH1627" hidden="1">#REF!</definedName>
    <definedName name="IQRTickerConverterH1628" hidden="1">#REF!</definedName>
    <definedName name="IQRTickerConverterH1629" hidden="1">#REF!</definedName>
    <definedName name="IQRTickerConverterH163" hidden="1">#REF!</definedName>
    <definedName name="IQRTickerConverterH1630" hidden="1">#REF!</definedName>
    <definedName name="IQRTickerConverterH1631" hidden="1">#REF!</definedName>
    <definedName name="IQRTickerConverterH1632" hidden="1">#REF!</definedName>
    <definedName name="IQRTickerConverterH1633" hidden="1">#REF!</definedName>
    <definedName name="IQRTickerConverterH1634" hidden="1">#REF!</definedName>
    <definedName name="IQRTickerConverterH1635" hidden="1">#REF!</definedName>
    <definedName name="IQRTickerConverterH1636" hidden="1">#REF!</definedName>
    <definedName name="IQRTickerConverterH1637" hidden="1">#REF!</definedName>
    <definedName name="IQRTickerConverterH1638" hidden="1">#REF!</definedName>
    <definedName name="IQRTickerConverterH1639" hidden="1">#REF!</definedName>
    <definedName name="IQRTickerConverterH164" hidden="1">#REF!</definedName>
    <definedName name="IQRTickerConverterH1640" hidden="1">#REF!</definedName>
    <definedName name="IQRTickerConverterH1641" hidden="1">#REF!</definedName>
    <definedName name="IQRTickerConverterH1642" hidden="1">#REF!</definedName>
    <definedName name="IQRTickerConverterH1643" hidden="1">#REF!</definedName>
    <definedName name="IQRTickerConverterH1644" hidden="1">#REF!</definedName>
    <definedName name="IQRTickerConverterH1645" hidden="1">#REF!</definedName>
    <definedName name="IQRTickerConverterH1646" hidden="1">#REF!</definedName>
    <definedName name="IQRTickerConverterH1647" hidden="1">#REF!</definedName>
    <definedName name="IQRTickerConverterH1648" hidden="1">#REF!</definedName>
    <definedName name="IQRTickerConverterH1649" hidden="1">#REF!</definedName>
    <definedName name="IQRTickerConverterH165" hidden="1">#REF!</definedName>
    <definedName name="IQRTickerConverterH1650" hidden="1">#REF!</definedName>
    <definedName name="IQRTickerConverterH1651" hidden="1">#REF!</definedName>
    <definedName name="IQRTickerConverterH1652" hidden="1">#REF!</definedName>
    <definedName name="IQRTickerConverterH1653" hidden="1">#REF!</definedName>
    <definedName name="IQRTickerConverterH1654" hidden="1">#REF!</definedName>
    <definedName name="IQRTickerConverterH1655" hidden="1">#REF!</definedName>
    <definedName name="IQRTickerConverterH1657" hidden="1">#REF!</definedName>
    <definedName name="IQRTickerConverterH1658" hidden="1">#REF!</definedName>
    <definedName name="IQRTickerConverterH1659" hidden="1">#REF!</definedName>
    <definedName name="IQRTickerConverterH166" hidden="1">#REF!</definedName>
    <definedName name="IQRTickerConverterH1660" hidden="1">#REF!</definedName>
    <definedName name="IQRTickerConverterH1661" hidden="1">#REF!</definedName>
    <definedName name="IQRTickerConverterH1662" hidden="1">#REF!</definedName>
    <definedName name="IQRTickerConverterH1663" hidden="1">#REF!</definedName>
    <definedName name="IQRTickerConverterH1664" hidden="1">#REF!</definedName>
    <definedName name="IQRTickerConverterH1665" hidden="1">#REF!</definedName>
    <definedName name="IQRTickerConverterH1667" hidden="1">#REF!</definedName>
    <definedName name="IQRTickerConverterH1669" hidden="1">#REF!</definedName>
    <definedName name="IQRTickerConverterH167" hidden="1">#REF!</definedName>
    <definedName name="IQRTickerConverterH1670" hidden="1">#REF!</definedName>
    <definedName name="IQRTickerConverterH1671" hidden="1">#REF!</definedName>
    <definedName name="IQRTickerConverterH1672" hidden="1">#REF!</definedName>
    <definedName name="IQRTickerConverterH1673" hidden="1">#REF!</definedName>
    <definedName name="IQRTickerConverterH1674" hidden="1">#REF!</definedName>
    <definedName name="IQRTickerConverterH1675" hidden="1">#REF!</definedName>
    <definedName name="IQRTickerConverterH1676" hidden="1">#REF!</definedName>
    <definedName name="IQRTickerConverterH1677" hidden="1">#REF!</definedName>
    <definedName name="IQRTickerConverterH1678" hidden="1">#REF!</definedName>
    <definedName name="IQRTickerConverterH1679" hidden="1">#REF!</definedName>
    <definedName name="IQRTickerConverterH168" hidden="1">#REF!</definedName>
    <definedName name="IQRTickerConverterH1680" hidden="1">#REF!</definedName>
    <definedName name="IQRTickerConverterH1681" hidden="1">#REF!</definedName>
    <definedName name="IQRTickerConverterH1682" hidden="1">#REF!</definedName>
    <definedName name="IQRTickerConverterH1683" hidden="1">#REF!</definedName>
    <definedName name="IQRTickerConverterH1684" hidden="1">#REF!</definedName>
    <definedName name="IQRTickerConverterH1685" hidden="1">#REF!</definedName>
    <definedName name="IQRTickerConverterH1686" hidden="1">#REF!</definedName>
    <definedName name="IQRTickerConverterH1687" hidden="1">#REF!</definedName>
    <definedName name="IQRTickerConverterH1688" hidden="1">#REF!</definedName>
    <definedName name="IQRTickerConverterH1689" hidden="1">#REF!</definedName>
    <definedName name="IQRTickerConverterH169" hidden="1">#REF!</definedName>
    <definedName name="IQRTickerConverterH1690" hidden="1">#REF!</definedName>
    <definedName name="IQRTickerConverterH1691" hidden="1">#REF!</definedName>
    <definedName name="IQRTickerConverterH1692" hidden="1">#REF!</definedName>
    <definedName name="IQRTickerConverterH1693" hidden="1">#REF!</definedName>
    <definedName name="IQRTickerConverterH1694" hidden="1">#REF!</definedName>
    <definedName name="IQRTickerConverterH1695" hidden="1">#REF!</definedName>
    <definedName name="IQRTickerConverterH1696" hidden="1">#REF!</definedName>
    <definedName name="IQRTickerConverterH1697" hidden="1">#REF!</definedName>
    <definedName name="IQRTickerConverterH1698" hidden="1">#REF!</definedName>
    <definedName name="IQRTickerConverterH1699" hidden="1">#REF!</definedName>
    <definedName name="IQRTickerConverterH17" hidden="1">#REF!</definedName>
    <definedName name="IQRTickerConverterH170" hidden="1">#REF!</definedName>
    <definedName name="IQRTickerConverterH1702" hidden="1">#REF!</definedName>
    <definedName name="IQRTickerConverterH1703" hidden="1">#REF!</definedName>
    <definedName name="IQRTickerConverterH1705" hidden="1">#REF!</definedName>
    <definedName name="IQRTickerConverterH1706" hidden="1">#REF!</definedName>
    <definedName name="IQRTickerConverterH1707" hidden="1">#REF!</definedName>
    <definedName name="IQRTickerConverterH1709" hidden="1">#REF!</definedName>
    <definedName name="IQRTickerConverterH171" hidden="1">#REF!</definedName>
    <definedName name="IQRTickerConverterH1710" hidden="1">#REF!</definedName>
    <definedName name="IQRTickerConverterH1711" hidden="1">#REF!</definedName>
    <definedName name="IQRTickerConverterH1712" hidden="1">#REF!</definedName>
    <definedName name="IQRTickerConverterH1713" hidden="1">#REF!</definedName>
    <definedName name="IQRTickerConverterH1714" hidden="1">#REF!</definedName>
    <definedName name="IQRTickerConverterH1715" hidden="1">#REF!</definedName>
    <definedName name="IQRTickerConverterH1716" hidden="1">#REF!</definedName>
    <definedName name="IQRTickerConverterH1717" hidden="1">#REF!</definedName>
    <definedName name="IQRTickerConverterH1718" hidden="1">#REF!</definedName>
    <definedName name="IQRTickerConverterH1719" hidden="1">#REF!</definedName>
    <definedName name="IQRTickerConverterH172" hidden="1">#REF!</definedName>
    <definedName name="IQRTickerConverterH1720" hidden="1">#REF!</definedName>
    <definedName name="IQRTickerConverterH1721" hidden="1">#REF!</definedName>
    <definedName name="IQRTickerConverterH1722" hidden="1">#REF!</definedName>
    <definedName name="IQRTickerConverterH1723" hidden="1">#REF!</definedName>
    <definedName name="IQRTickerConverterH1724" hidden="1">#REF!</definedName>
    <definedName name="IQRTickerConverterH1725" hidden="1">#REF!</definedName>
    <definedName name="IQRTickerConverterH1726" hidden="1">#REF!</definedName>
    <definedName name="IQRTickerConverterH1727" hidden="1">#REF!</definedName>
    <definedName name="IQRTickerConverterH1728" hidden="1">#REF!</definedName>
    <definedName name="IQRTickerConverterH1729" hidden="1">#REF!</definedName>
    <definedName name="IQRTickerConverterH173" hidden="1">#REF!</definedName>
    <definedName name="IQRTickerConverterH1730" hidden="1">#REF!</definedName>
    <definedName name="IQRTickerConverterH1731" hidden="1">#REF!</definedName>
    <definedName name="IQRTickerConverterH1732" hidden="1">#REF!</definedName>
    <definedName name="IQRTickerConverterH1735" hidden="1">#REF!</definedName>
    <definedName name="IQRTickerConverterH1736" hidden="1">#REF!</definedName>
    <definedName name="IQRTickerConverterH1737" hidden="1">#REF!</definedName>
    <definedName name="IQRTickerConverterH1738" hidden="1">#REF!</definedName>
    <definedName name="IQRTickerConverterH1739" hidden="1">#REF!</definedName>
    <definedName name="IQRTickerConverterH174" hidden="1">#REF!</definedName>
    <definedName name="IQRTickerConverterH1740" hidden="1">#REF!</definedName>
    <definedName name="IQRTickerConverterH1741" hidden="1">#REF!</definedName>
    <definedName name="IQRTickerConverterH1742" hidden="1">#REF!</definedName>
    <definedName name="IQRTickerConverterH1743" hidden="1">#REF!</definedName>
    <definedName name="IQRTickerConverterH1744" hidden="1">#REF!</definedName>
    <definedName name="IQRTickerConverterH1745" hidden="1">#REF!</definedName>
    <definedName name="IQRTickerConverterH1746" hidden="1">#REF!</definedName>
    <definedName name="IQRTickerConverterH1747" hidden="1">#REF!</definedName>
    <definedName name="IQRTickerConverterH1749" hidden="1">#REF!</definedName>
    <definedName name="IQRTickerConverterH175" hidden="1">#REF!</definedName>
    <definedName name="IQRTickerConverterH1750" hidden="1">#REF!</definedName>
    <definedName name="IQRTickerConverterH1752" hidden="1">#REF!</definedName>
    <definedName name="IQRTickerConverterH1753" hidden="1">#REF!</definedName>
    <definedName name="IQRTickerConverterH1754" hidden="1">#REF!</definedName>
    <definedName name="IQRTickerConverterH1755" hidden="1">#REF!</definedName>
    <definedName name="IQRTickerConverterH1756" hidden="1">#REF!</definedName>
    <definedName name="IQRTickerConverterH1757" hidden="1">#REF!</definedName>
    <definedName name="IQRTickerConverterH1758" hidden="1">#REF!</definedName>
    <definedName name="IQRTickerConverterH1759" hidden="1">#REF!</definedName>
    <definedName name="IQRTickerConverterH176" hidden="1">#REF!</definedName>
    <definedName name="IQRTickerConverterH1760" hidden="1">#REF!</definedName>
    <definedName name="IQRTickerConverterH1761" hidden="1">#REF!</definedName>
    <definedName name="IQRTickerConverterH1762" hidden="1">#REF!</definedName>
    <definedName name="IQRTickerConverterH1763" hidden="1">#REF!</definedName>
    <definedName name="IQRTickerConverterH1764" hidden="1">#REF!</definedName>
    <definedName name="IQRTickerConverterH1765" hidden="1">#REF!</definedName>
    <definedName name="IQRTickerConverterH1766" hidden="1">#REF!</definedName>
    <definedName name="IQRTickerConverterH1767" hidden="1">#REF!</definedName>
    <definedName name="IQRTickerConverterH1768" hidden="1">#REF!</definedName>
    <definedName name="IQRTickerConverterH177" hidden="1">#REF!</definedName>
    <definedName name="IQRTickerConverterH1771" hidden="1">#REF!</definedName>
    <definedName name="IQRTickerConverterH1772" hidden="1">#REF!</definedName>
    <definedName name="IQRTickerConverterH1773" hidden="1">#REF!</definedName>
    <definedName name="IQRTickerConverterH1774" hidden="1">#REF!</definedName>
    <definedName name="IQRTickerConverterH1775" hidden="1">#REF!</definedName>
    <definedName name="IQRTickerConverterH1776" hidden="1">#REF!</definedName>
    <definedName name="IQRTickerConverterH1777" hidden="1">#REF!</definedName>
    <definedName name="IQRTickerConverterH1779" hidden="1">#REF!</definedName>
    <definedName name="IQRTickerConverterH178" hidden="1">#REF!</definedName>
    <definedName name="IQRTickerConverterH1780" hidden="1">#REF!</definedName>
    <definedName name="IQRTickerConverterH1781" hidden="1">#REF!</definedName>
    <definedName name="IQRTickerConverterH1782" hidden="1">#REF!</definedName>
    <definedName name="IQRTickerConverterH1783" hidden="1">#REF!</definedName>
    <definedName name="IQRTickerConverterH1784" hidden="1">#REF!</definedName>
    <definedName name="IQRTickerConverterH1785" hidden="1">#REF!</definedName>
    <definedName name="IQRTickerConverterH1786" hidden="1">#REF!</definedName>
    <definedName name="IQRTickerConverterH1787" hidden="1">#REF!</definedName>
    <definedName name="IQRTickerConverterH1788" hidden="1">#REF!</definedName>
    <definedName name="IQRTickerConverterH1789" hidden="1">#REF!</definedName>
    <definedName name="IQRTickerConverterH179" hidden="1">#REF!</definedName>
    <definedName name="IQRTickerConverterH1790" hidden="1">#REF!</definedName>
    <definedName name="IQRTickerConverterH1791" hidden="1">#REF!</definedName>
    <definedName name="IQRTickerConverterH1792" hidden="1">#REF!</definedName>
    <definedName name="IQRTickerConverterH1793" hidden="1">#REF!</definedName>
    <definedName name="IQRTickerConverterH1794" hidden="1">#REF!</definedName>
    <definedName name="IQRTickerConverterH1795" hidden="1">#REF!</definedName>
    <definedName name="IQRTickerConverterH1796" hidden="1">#REF!</definedName>
    <definedName name="IQRTickerConverterH1797" hidden="1">#REF!</definedName>
    <definedName name="IQRTickerConverterH1798" hidden="1">#REF!</definedName>
    <definedName name="IQRTickerConverterH1799" hidden="1">#REF!</definedName>
    <definedName name="IQRTickerConverterH18" hidden="1">#REF!</definedName>
    <definedName name="IQRTickerConverterH180" hidden="1">#REF!</definedName>
    <definedName name="IQRTickerConverterH1800" hidden="1">#REF!</definedName>
    <definedName name="IQRTickerConverterH1801" hidden="1">#REF!</definedName>
    <definedName name="IQRTickerConverterH1802" hidden="1">#REF!</definedName>
    <definedName name="IQRTickerConverterH1803" hidden="1">#REF!</definedName>
    <definedName name="IQRTickerConverterH1804" hidden="1">#REF!</definedName>
    <definedName name="IQRTickerConverterH1805" hidden="1">#REF!</definedName>
    <definedName name="IQRTickerConverterH1806" hidden="1">#REF!</definedName>
    <definedName name="IQRTickerConverterH1807" hidden="1">#REF!</definedName>
    <definedName name="IQRTickerConverterH1808" hidden="1">#REF!</definedName>
    <definedName name="IQRTickerConverterH1809" hidden="1">#REF!</definedName>
    <definedName name="IQRTickerConverterH181" hidden="1">#REF!</definedName>
    <definedName name="IQRTickerConverterH1811" hidden="1">#REF!</definedName>
    <definedName name="IQRTickerConverterH1812" hidden="1">#REF!</definedName>
    <definedName name="IQRTickerConverterH1813" hidden="1">#REF!</definedName>
    <definedName name="IQRTickerConverterH1814" hidden="1">#REF!</definedName>
    <definedName name="IQRTickerConverterH1815" hidden="1">#REF!</definedName>
    <definedName name="IQRTickerConverterH1816" hidden="1">#REF!</definedName>
    <definedName name="IQRTickerConverterH1817" hidden="1">#REF!</definedName>
    <definedName name="IQRTickerConverterH1818" hidden="1">#REF!</definedName>
    <definedName name="IQRTickerConverterH1819" hidden="1">#REF!</definedName>
    <definedName name="IQRTickerConverterH182" hidden="1">#REF!</definedName>
    <definedName name="IQRTickerConverterH1820" hidden="1">#REF!</definedName>
    <definedName name="IQRTickerConverterH1821" hidden="1">#REF!</definedName>
    <definedName name="IQRTickerConverterH1822" hidden="1">#REF!</definedName>
    <definedName name="IQRTickerConverterH1823" hidden="1">#REF!</definedName>
    <definedName name="IQRTickerConverterH1824" hidden="1">#REF!</definedName>
    <definedName name="IQRTickerConverterH1825" hidden="1">#REF!</definedName>
    <definedName name="IQRTickerConverterH1826" hidden="1">#REF!</definedName>
    <definedName name="IQRTickerConverterH1827" hidden="1">#REF!</definedName>
    <definedName name="IQRTickerConverterH1828" hidden="1">#REF!</definedName>
    <definedName name="IQRTickerConverterH183" hidden="1">#REF!</definedName>
    <definedName name="IQRTickerConverterH1830" hidden="1">#REF!</definedName>
    <definedName name="IQRTickerConverterH1831" hidden="1">#REF!</definedName>
    <definedName name="IQRTickerConverterH1832" hidden="1">#REF!</definedName>
    <definedName name="IQRTickerConverterH1833" hidden="1">#REF!</definedName>
    <definedName name="IQRTickerConverterH1834" hidden="1">#REF!</definedName>
    <definedName name="IQRTickerConverterH1835" hidden="1">#REF!</definedName>
    <definedName name="IQRTickerConverterH1836" hidden="1">#REF!</definedName>
    <definedName name="IQRTickerConverterH1837" hidden="1">#REF!</definedName>
    <definedName name="IQRTickerConverterH1838" hidden="1">#REF!</definedName>
    <definedName name="IQRTickerConverterH1839" hidden="1">#REF!</definedName>
    <definedName name="IQRTickerConverterH184" hidden="1">#REF!</definedName>
    <definedName name="IQRTickerConverterH1840" hidden="1">#REF!</definedName>
    <definedName name="IQRTickerConverterH1841" hidden="1">#REF!</definedName>
    <definedName name="IQRTickerConverterH1842" hidden="1">#REF!</definedName>
    <definedName name="IQRTickerConverterH1843" hidden="1">#REF!</definedName>
    <definedName name="IQRTickerConverterH1844" hidden="1">#REF!</definedName>
    <definedName name="IQRTickerConverterH1846" hidden="1">#REF!</definedName>
    <definedName name="IQRTickerConverterH1847" hidden="1">#REF!</definedName>
    <definedName name="IQRTickerConverterH1848" hidden="1">#REF!</definedName>
    <definedName name="IQRTickerConverterH1849" hidden="1">#REF!</definedName>
    <definedName name="IQRTickerConverterH185" hidden="1">#REF!</definedName>
    <definedName name="IQRTickerConverterH1850" hidden="1">#REF!</definedName>
    <definedName name="IQRTickerConverterH1851" hidden="1">#REF!</definedName>
    <definedName name="IQRTickerConverterH1852" hidden="1">#REF!</definedName>
    <definedName name="IQRTickerConverterH1853" hidden="1">#REF!</definedName>
    <definedName name="IQRTickerConverterH1854" hidden="1">#REF!</definedName>
    <definedName name="IQRTickerConverterH1855" hidden="1">#REF!</definedName>
    <definedName name="IQRTickerConverterH1856" hidden="1">#REF!</definedName>
    <definedName name="IQRTickerConverterH1857" hidden="1">#REF!</definedName>
    <definedName name="IQRTickerConverterH1858" hidden="1">#REF!</definedName>
    <definedName name="IQRTickerConverterH1859" hidden="1">#REF!</definedName>
    <definedName name="IQRTickerConverterH186" hidden="1">#REF!</definedName>
    <definedName name="IQRTickerConverterH1860" hidden="1">#REF!</definedName>
    <definedName name="IQRTickerConverterH1861" hidden="1">#REF!</definedName>
    <definedName name="IQRTickerConverterH1862" hidden="1">#REF!</definedName>
    <definedName name="IQRTickerConverterH1863" hidden="1">#REF!</definedName>
    <definedName name="IQRTickerConverterH1864" hidden="1">#REF!</definedName>
    <definedName name="IQRTickerConverterH1865" hidden="1">#REF!</definedName>
    <definedName name="IQRTickerConverterH1866" hidden="1">#REF!</definedName>
    <definedName name="IQRTickerConverterH1867" hidden="1">#REF!</definedName>
    <definedName name="IQRTickerConverterH1868" hidden="1">#REF!</definedName>
    <definedName name="IQRTickerConverterH187" hidden="1">#REF!</definedName>
    <definedName name="IQRTickerConverterH1870" hidden="1">#REF!</definedName>
    <definedName name="IQRTickerConverterH1871" hidden="1">#REF!</definedName>
    <definedName name="IQRTickerConverterH1872" hidden="1">#REF!</definedName>
    <definedName name="IQRTickerConverterH1873" hidden="1">#REF!</definedName>
    <definedName name="IQRTickerConverterH1874" hidden="1">#REF!</definedName>
    <definedName name="IQRTickerConverterH1875" hidden="1">#REF!</definedName>
    <definedName name="IQRTickerConverterH1876" hidden="1">#REF!</definedName>
    <definedName name="IQRTickerConverterH1877" hidden="1">#REF!</definedName>
    <definedName name="IQRTickerConverterH1878" hidden="1">#REF!</definedName>
    <definedName name="IQRTickerConverterH1879" hidden="1">#REF!</definedName>
    <definedName name="IQRTickerConverterH1880" hidden="1">#REF!</definedName>
    <definedName name="IQRTickerConverterH1881" hidden="1">#REF!</definedName>
    <definedName name="IQRTickerConverterH1882" hidden="1">#REF!</definedName>
    <definedName name="IQRTickerConverterH1883" hidden="1">#REF!</definedName>
    <definedName name="IQRTickerConverterH1884" hidden="1">#REF!</definedName>
    <definedName name="IQRTickerConverterH1885" hidden="1">#REF!</definedName>
    <definedName name="IQRTickerConverterH1886" hidden="1">#REF!</definedName>
    <definedName name="IQRTickerConverterH1887" hidden="1">#REF!</definedName>
    <definedName name="IQRTickerConverterH1888" hidden="1">#REF!</definedName>
    <definedName name="IQRTickerConverterH1889" hidden="1">#REF!</definedName>
    <definedName name="IQRTickerConverterH189" hidden="1">#REF!</definedName>
    <definedName name="IQRTickerConverterH1892" hidden="1">#REF!</definedName>
    <definedName name="IQRTickerConverterH1893" hidden="1">#REF!</definedName>
    <definedName name="IQRTickerConverterH1894" hidden="1">#REF!</definedName>
    <definedName name="IQRTickerConverterH1895" hidden="1">#REF!</definedName>
    <definedName name="IQRTickerConverterH1896" hidden="1">#REF!</definedName>
    <definedName name="IQRTickerConverterH1897" hidden="1">#REF!</definedName>
    <definedName name="IQRTickerConverterH1898" hidden="1">#REF!</definedName>
    <definedName name="IQRTickerConverterH1899" hidden="1">#REF!</definedName>
    <definedName name="IQRTickerConverterH19" hidden="1">#REF!</definedName>
    <definedName name="IQRTickerConverterH190" hidden="1">#REF!</definedName>
    <definedName name="IQRTickerConverterH1900" hidden="1">#REF!</definedName>
    <definedName name="IQRTickerConverterH1901" hidden="1">#REF!</definedName>
    <definedName name="IQRTickerConverterH1902" hidden="1">#REF!</definedName>
    <definedName name="IQRTickerConverterH1903" hidden="1">#REF!</definedName>
    <definedName name="IQRTickerConverterH191" hidden="1">#REF!</definedName>
    <definedName name="IQRTickerConverterH192" hidden="1">#REF!</definedName>
    <definedName name="IQRTickerConverterH193" hidden="1">#REF!</definedName>
    <definedName name="IQRTickerConverterH194" hidden="1">#REF!</definedName>
    <definedName name="IQRTickerConverterH195" hidden="1">#REF!</definedName>
    <definedName name="IQRTickerConverterH196" hidden="1">#REF!</definedName>
    <definedName name="IQRTickerConverterH197" hidden="1">#REF!</definedName>
    <definedName name="IQRTickerConverterH198" hidden="1">#REF!</definedName>
    <definedName name="IQRTickerConverterH199" hidden="1">#REF!</definedName>
    <definedName name="IQRTickerConverterH20" hidden="1">#REF!</definedName>
    <definedName name="IQRTickerConverterH201" hidden="1">#REF!</definedName>
    <definedName name="IQRTickerConverterH203" hidden="1">#REF!</definedName>
    <definedName name="IQRTickerConverterH204" hidden="1">#REF!</definedName>
    <definedName name="IQRTickerConverterH205" hidden="1">#REF!</definedName>
    <definedName name="IQRTickerConverterH206" hidden="1">#REF!</definedName>
    <definedName name="IQRTickerConverterH208" hidden="1">#REF!</definedName>
    <definedName name="IQRTickerConverterH209" hidden="1">#REF!</definedName>
    <definedName name="IQRTickerConverterH21" hidden="1">#REF!</definedName>
    <definedName name="IQRTickerConverterH210" hidden="1">#REF!</definedName>
    <definedName name="IQRTickerConverterH211" hidden="1">#REF!</definedName>
    <definedName name="IQRTickerConverterH212" hidden="1">#REF!</definedName>
    <definedName name="IQRTickerConverterH213" hidden="1">#REF!</definedName>
    <definedName name="IQRTickerConverterH215" hidden="1">#REF!</definedName>
    <definedName name="IQRTickerConverterH216" hidden="1">#REF!</definedName>
    <definedName name="IQRTickerConverterH217" hidden="1">#REF!</definedName>
    <definedName name="IQRTickerConverterH218" hidden="1">#REF!</definedName>
    <definedName name="IQRTickerConverterH219" hidden="1">#REF!</definedName>
    <definedName name="IQRTickerConverterH22" hidden="1">#REF!</definedName>
    <definedName name="IQRTickerConverterH220" hidden="1">#REF!</definedName>
    <definedName name="IQRTickerConverterH221" hidden="1">#REF!</definedName>
    <definedName name="IQRTickerConverterH222" hidden="1">#REF!</definedName>
    <definedName name="IQRTickerConverterH223" hidden="1">#REF!</definedName>
    <definedName name="IQRTickerConverterH224" hidden="1">#REF!</definedName>
    <definedName name="IQRTickerConverterH225" hidden="1">#REF!</definedName>
    <definedName name="IQRTickerConverterH226" hidden="1">#REF!</definedName>
    <definedName name="IQRTickerConverterH227" hidden="1">#REF!</definedName>
    <definedName name="IQRTickerConverterH228" hidden="1">#REF!</definedName>
    <definedName name="IQRTickerConverterH229" hidden="1">#REF!</definedName>
    <definedName name="IQRTickerConverterH23" hidden="1">#REF!</definedName>
    <definedName name="IQRTickerConverterH230" hidden="1">#REF!</definedName>
    <definedName name="IQRTickerConverterH231" hidden="1">#REF!</definedName>
    <definedName name="IQRTickerConverterH232" hidden="1">#REF!</definedName>
    <definedName name="IQRTickerConverterH233" hidden="1">#REF!</definedName>
    <definedName name="IQRTickerConverterH234" hidden="1">#REF!</definedName>
    <definedName name="IQRTickerConverterH235" hidden="1">#REF!</definedName>
    <definedName name="IQRTickerConverterH238" hidden="1">#REF!</definedName>
    <definedName name="IQRTickerConverterH239" hidden="1">#REF!</definedName>
    <definedName name="IQRTickerConverterH24" hidden="1">#REF!</definedName>
    <definedName name="IQRTickerConverterH240" hidden="1">#REF!</definedName>
    <definedName name="IQRTickerConverterH241" hidden="1">#REF!</definedName>
    <definedName name="IQRTickerConverterH242" hidden="1">#REF!</definedName>
    <definedName name="IQRTickerConverterH243" hidden="1">#REF!</definedName>
    <definedName name="IQRTickerConverterH244" hidden="1">#REF!</definedName>
    <definedName name="IQRTickerConverterH245" hidden="1">#REF!</definedName>
    <definedName name="IQRTickerConverterH246" hidden="1">#REF!</definedName>
    <definedName name="IQRTickerConverterH247" hidden="1">#REF!</definedName>
    <definedName name="IQRTickerConverterH248" hidden="1">#REF!</definedName>
    <definedName name="IQRTickerConverterH249" hidden="1">#REF!</definedName>
    <definedName name="IQRTickerConverterH25" hidden="1">#REF!</definedName>
    <definedName name="IQRTickerConverterH250" hidden="1">#REF!</definedName>
    <definedName name="IQRTickerConverterH251" hidden="1">#REF!</definedName>
    <definedName name="IQRTickerConverterH252" hidden="1">#REF!</definedName>
    <definedName name="IQRTickerConverterH253" hidden="1">#REF!</definedName>
    <definedName name="IQRTickerConverterH255" hidden="1">#REF!</definedName>
    <definedName name="IQRTickerConverterH256" hidden="1">#REF!</definedName>
    <definedName name="IQRTickerConverterH257" hidden="1">#REF!</definedName>
    <definedName name="IQRTickerConverterH259" hidden="1">#REF!</definedName>
    <definedName name="IQRTickerConverterH26" hidden="1">#REF!</definedName>
    <definedName name="IQRTickerConverterH261" hidden="1">#REF!</definedName>
    <definedName name="IQRTickerConverterH262" hidden="1">#REF!</definedName>
    <definedName name="IQRTickerConverterH263" hidden="1">#REF!</definedName>
    <definedName name="IQRTickerConverterH264" hidden="1">#REF!</definedName>
    <definedName name="IQRTickerConverterH265" hidden="1">#REF!</definedName>
    <definedName name="IQRTickerConverterH266" hidden="1">#REF!</definedName>
    <definedName name="IQRTickerConverterH267" hidden="1">#REF!</definedName>
    <definedName name="IQRTickerConverterH268" hidden="1">#REF!</definedName>
    <definedName name="IQRTickerConverterH269" hidden="1">#REF!</definedName>
    <definedName name="IQRTickerConverterH27" hidden="1">#REF!</definedName>
    <definedName name="IQRTickerConverterH270" hidden="1">#REF!</definedName>
    <definedName name="IQRTickerConverterH271" hidden="1">#REF!</definedName>
    <definedName name="IQRTickerConverterH272" hidden="1">#REF!</definedName>
    <definedName name="IQRTickerConverterH273" hidden="1">#REF!</definedName>
    <definedName name="IQRTickerConverterH274" hidden="1">#REF!</definedName>
    <definedName name="IQRTickerConverterH275" hidden="1">#REF!</definedName>
    <definedName name="IQRTickerConverterH276" hidden="1">#REF!</definedName>
    <definedName name="IQRTickerConverterH277" hidden="1">#REF!</definedName>
    <definedName name="IQRTickerConverterH278" hidden="1">#REF!</definedName>
    <definedName name="IQRTickerConverterH279" hidden="1">#REF!</definedName>
    <definedName name="IQRTickerConverterH28" hidden="1">#REF!</definedName>
    <definedName name="IQRTickerConverterH280" hidden="1">#REF!</definedName>
    <definedName name="IQRTickerConverterH281" hidden="1">#REF!</definedName>
    <definedName name="IQRTickerConverterH282" hidden="1">#REF!</definedName>
    <definedName name="IQRTickerConverterH283" hidden="1">#REF!</definedName>
    <definedName name="IQRTickerConverterH284" hidden="1">#REF!</definedName>
    <definedName name="IQRTickerConverterH286" hidden="1">#REF!</definedName>
    <definedName name="IQRTickerConverterH287" hidden="1">#REF!</definedName>
    <definedName name="IQRTickerConverterH288" hidden="1">#REF!</definedName>
    <definedName name="IQRTickerConverterH289" hidden="1">#REF!</definedName>
    <definedName name="IQRTickerConverterH29" hidden="1">#REF!</definedName>
    <definedName name="IQRTickerConverterH290" hidden="1">#REF!</definedName>
    <definedName name="IQRTickerConverterH291" hidden="1">#REF!</definedName>
    <definedName name="IQRTickerConverterH292" hidden="1">#REF!</definedName>
    <definedName name="IQRTickerConverterH293" hidden="1">#REF!</definedName>
    <definedName name="IQRTickerConverterH294" hidden="1">#REF!</definedName>
    <definedName name="IQRTickerConverterH295" hidden="1">#REF!</definedName>
    <definedName name="IQRTickerConverterH296" hidden="1">#REF!</definedName>
    <definedName name="IQRTickerConverterH298" hidden="1">#REF!</definedName>
    <definedName name="IQRTickerConverterH299" hidden="1">#REF!</definedName>
    <definedName name="IQRTickerConverterH30" hidden="1">#REF!</definedName>
    <definedName name="IQRTickerConverterH300" hidden="1">#REF!</definedName>
    <definedName name="IQRTickerConverterH301" hidden="1">#REF!</definedName>
    <definedName name="IQRTickerConverterH303" hidden="1">#REF!</definedName>
    <definedName name="IQRTickerConverterH304" hidden="1">#REF!</definedName>
    <definedName name="IQRTickerConverterH305" hidden="1">#REF!</definedName>
    <definedName name="IQRTickerConverterH306" hidden="1">#REF!</definedName>
    <definedName name="IQRTickerConverterH307" hidden="1">#REF!</definedName>
    <definedName name="IQRTickerConverterH309" hidden="1">#REF!</definedName>
    <definedName name="IQRTickerConverterH31" hidden="1">#REF!</definedName>
    <definedName name="IQRTickerConverterH310" hidden="1">#REF!</definedName>
    <definedName name="IQRTickerConverterH312" hidden="1">#REF!</definedName>
    <definedName name="IQRTickerConverterH314" hidden="1">#REF!</definedName>
    <definedName name="IQRTickerConverterH315" hidden="1">#REF!</definedName>
    <definedName name="IQRTickerConverterH316" hidden="1">#REF!</definedName>
    <definedName name="IQRTickerConverterH317" hidden="1">#REF!</definedName>
    <definedName name="IQRTickerConverterH318" hidden="1">#REF!</definedName>
    <definedName name="IQRTickerConverterH319" hidden="1">#REF!</definedName>
    <definedName name="IQRTickerConverterH32" hidden="1">#REF!</definedName>
    <definedName name="IQRTickerConverterH320" hidden="1">#REF!</definedName>
    <definedName name="IQRTickerConverterH321" hidden="1">#REF!</definedName>
    <definedName name="IQRTickerConverterH322" hidden="1">#REF!</definedName>
    <definedName name="IQRTickerConverterH323" hidden="1">#REF!</definedName>
    <definedName name="IQRTickerConverterH324" hidden="1">#REF!</definedName>
    <definedName name="IQRTickerConverterH325" hidden="1">#REF!</definedName>
    <definedName name="IQRTickerConverterH326" hidden="1">#REF!</definedName>
    <definedName name="IQRTickerConverterH327" hidden="1">#REF!</definedName>
    <definedName name="IQRTickerConverterH328" hidden="1">#REF!</definedName>
    <definedName name="IQRTickerConverterH329" hidden="1">#REF!</definedName>
    <definedName name="IQRTickerConverterH33" hidden="1">#REF!</definedName>
    <definedName name="IQRTickerConverterH330" hidden="1">#REF!</definedName>
    <definedName name="IQRTickerConverterH331" hidden="1">#REF!</definedName>
    <definedName name="IQRTickerConverterH332" hidden="1">#REF!</definedName>
    <definedName name="IQRTickerConverterH333" hidden="1">#REF!</definedName>
    <definedName name="IQRTickerConverterH334" hidden="1">#REF!</definedName>
    <definedName name="IQRTickerConverterH335" hidden="1">#REF!</definedName>
    <definedName name="IQRTickerConverterH336" hidden="1">#REF!</definedName>
    <definedName name="IQRTickerConverterH337" hidden="1">#REF!</definedName>
    <definedName name="IQRTickerConverterH338" hidden="1">#REF!</definedName>
    <definedName name="IQRTickerConverterH339" hidden="1">#REF!</definedName>
    <definedName name="IQRTickerConverterH341" hidden="1">#REF!</definedName>
    <definedName name="IQRTickerConverterH342" hidden="1">#REF!</definedName>
    <definedName name="IQRTickerConverterH343" hidden="1">#REF!</definedName>
    <definedName name="IQRTickerConverterH344" hidden="1">#REF!</definedName>
    <definedName name="IQRTickerConverterH345" hidden="1">#REF!</definedName>
    <definedName name="IQRTickerConverterH346" hidden="1">#REF!</definedName>
    <definedName name="IQRTickerConverterH347" hidden="1">#REF!</definedName>
    <definedName name="IQRTickerConverterH348" hidden="1">#REF!</definedName>
    <definedName name="IQRTickerConverterH349" hidden="1">#REF!</definedName>
    <definedName name="IQRTickerConverterH35" hidden="1">#REF!</definedName>
    <definedName name="IQRTickerConverterH350" hidden="1">#REF!</definedName>
    <definedName name="IQRTickerConverterH351" hidden="1">#REF!</definedName>
    <definedName name="IQRTickerConverterH352" hidden="1">#REF!</definedName>
    <definedName name="IQRTickerConverterH353" hidden="1">#REF!</definedName>
    <definedName name="IQRTickerConverterH354" hidden="1">#REF!</definedName>
    <definedName name="IQRTickerConverterH355" hidden="1">#REF!</definedName>
    <definedName name="IQRTickerConverterH356" hidden="1">#REF!</definedName>
    <definedName name="IQRTickerConverterH357" hidden="1">#REF!</definedName>
    <definedName name="IQRTickerConverterH358" hidden="1">#REF!</definedName>
    <definedName name="IQRTickerConverterH359" hidden="1">#REF!</definedName>
    <definedName name="IQRTickerConverterH36" hidden="1">#REF!</definedName>
    <definedName name="IQRTickerConverterH360" hidden="1">#REF!</definedName>
    <definedName name="IQRTickerConverterH361" hidden="1">#REF!</definedName>
    <definedName name="IQRTickerConverterH363" hidden="1">#REF!</definedName>
    <definedName name="IQRTickerConverterH364" hidden="1">#REF!</definedName>
    <definedName name="IQRTickerConverterH365" hidden="1">#REF!</definedName>
    <definedName name="IQRTickerConverterH366" hidden="1">#REF!</definedName>
    <definedName name="IQRTickerConverterH367" hidden="1">#REF!</definedName>
    <definedName name="IQRTickerConverterH368" hidden="1">#REF!</definedName>
    <definedName name="IQRTickerConverterH369" hidden="1">#REF!</definedName>
    <definedName name="IQRTickerConverterH37" hidden="1">#REF!</definedName>
    <definedName name="IQRTickerConverterH370" hidden="1">#REF!</definedName>
    <definedName name="IQRTickerConverterH371" hidden="1">#REF!</definedName>
    <definedName name="IQRTickerConverterH372" hidden="1">#REF!</definedName>
    <definedName name="IQRTickerConverterH373" hidden="1">#REF!</definedName>
    <definedName name="IQRTickerConverterH374" hidden="1">#REF!</definedName>
    <definedName name="IQRTickerConverterH376" hidden="1">#REF!</definedName>
    <definedName name="IQRTickerConverterH377" hidden="1">#REF!</definedName>
    <definedName name="IQRTickerConverterH378" hidden="1">#REF!</definedName>
    <definedName name="IQRTickerConverterH379" hidden="1">#REF!</definedName>
    <definedName name="IQRTickerConverterH38" hidden="1">#REF!</definedName>
    <definedName name="IQRTickerConverterH380" hidden="1">#REF!</definedName>
    <definedName name="IQRTickerConverterH381" hidden="1">#REF!</definedName>
    <definedName name="IQRTickerConverterH383" hidden="1">#REF!</definedName>
    <definedName name="IQRTickerConverterH384" hidden="1">#REF!</definedName>
    <definedName name="IQRTickerConverterH385" hidden="1">#REF!</definedName>
    <definedName name="IQRTickerConverterH386" hidden="1">#REF!</definedName>
    <definedName name="IQRTickerConverterH387" hidden="1">#REF!</definedName>
    <definedName name="IQRTickerConverterH388" hidden="1">#REF!</definedName>
    <definedName name="IQRTickerConverterH389" hidden="1">#REF!</definedName>
    <definedName name="IQRTickerConverterH39" hidden="1">#REF!</definedName>
    <definedName name="IQRTickerConverterH390" hidden="1">#REF!</definedName>
    <definedName name="IQRTickerConverterH391" hidden="1">#REF!</definedName>
    <definedName name="IQRTickerConverterH392" hidden="1">#REF!</definedName>
    <definedName name="IQRTickerConverterH393" hidden="1">#REF!</definedName>
    <definedName name="IQRTickerConverterH394" hidden="1">#REF!</definedName>
    <definedName name="IQRTickerConverterH395" hidden="1">#REF!</definedName>
    <definedName name="IQRTickerConverterH397" hidden="1">#REF!</definedName>
    <definedName name="IQRTickerConverterH398" hidden="1">#REF!</definedName>
    <definedName name="IQRTickerConverterH399" hidden="1">#REF!</definedName>
    <definedName name="IQRTickerConverterH40" hidden="1">#REF!</definedName>
    <definedName name="IQRTickerConverterH400" hidden="1">#REF!</definedName>
    <definedName name="IQRTickerConverterH401" hidden="1">#REF!</definedName>
    <definedName name="IQRTickerConverterH402" hidden="1">#REF!</definedName>
    <definedName name="IQRTickerConverterH403" hidden="1">#REF!</definedName>
    <definedName name="IQRTickerConverterH404" hidden="1">#REF!</definedName>
    <definedName name="IQRTickerConverterH405" hidden="1">#REF!</definedName>
    <definedName name="IQRTickerConverterH406" hidden="1">#REF!</definedName>
    <definedName name="IQRTickerConverterH407" hidden="1">#REF!</definedName>
    <definedName name="IQRTickerConverterH408" hidden="1">#REF!</definedName>
    <definedName name="IQRTickerConverterH409" hidden="1">#REF!</definedName>
    <definedName name="IQRTickerConverterH41" hidden="1">#REF!</definedName>
    <definedName name="IQRTickerConverterH410" hidden="1">#REF!</definedName>
    <definedName name="IQRTickerConverterH411" hidden="1">#REF!</definedName>
    <definedName name="IQRTickerConverterH413" hidden="1">#REF!</definedName>
    <definedName name="IQRTickerConverterH414" hidden="1">#REF!</definedName>
    <definedName name="IQRTickerConverterH415" hidden="1">#REF!</definedName>
    <definedName name="IQRTickerConverterH417" hidden="1">#REF!</definedName>
    <definedName name="IQRTickerConverterH418" hidden="1">#REF!</definedName>
    <definedName name="IQRTickerConverterH419" hidden="1">#REF!</definedName>
    <definedName name="IQRTickerConverterH42" hidden="1">#REF!</definedName>
    <definedName name="IQRTickerConverterH420" hidden="1">#REF!</definedName>
    <definedName name="IQRTickerConverterH421" hidden="1">#REF!</definedName>
    <definedName name="IQRTickerConverterH422" hidden="1">#REF!</definedName>
    <definedName name="IQRTickerConverterH423" hidden="1">#REF!</definedName>
    <definedName name="IQRTickerConverterH424" hidden="1">#REF!</definedName>
    <definedName name="IQRTickerConverterH425" hidden="1">#REF!</definedName>
    <definedName name="IQRTickerConverterH426" hidden="1">#REF!</definedName>
    <definedName name="IQRTickerConverterH427" hidden="1">#REF!</definedName>
    <definedName name="IQRTickerConverterH428" hidden="1">#REF!</definedName>
    <definedName name="IQRTickerConverterH429" hidden="1">#REF!</definedName>
    <definedName name="IQRTickerConverterH43" hidden="1">#REF!</definedName>
    <definedName name="IQRTickerConverterH431" hidden="1">#REF!</definedName>
    <definedName name="IQRTickerConverterH432" hidden="1">#REF!</definedName>
    <definedName name="IQRTickerConverterH433" hidden="1">#REF!</definedName>
    <definedName name="IQRTickerConverterH434" hidden="1">#REF!</definedName>
    <definedName name="IQRTickerConverterH435" hidden="1">#REF!</definedName>
    <definedName name="IQRTickerConverterH436" hidden="1">#REF!</definedName>
    <definedName name="IQRTickerConverterH437" hidden="1">#REF!</definedName>
    <definedName name="IQRTickerConverterH438" hidden="1">#REF!</definedName>
    <definedName name="IQRTickerConverterH439" hidden="1">#REF!</definedName>
    <definedName name="IQRTickerConverterH44" hidden="1">#REF!</definedName>
    <definedName name="IQRTickerConverterH440" hidden="1">#REF!</definedName>
    <definedName name="IQRTickerConverterH441" hidden="1">#REF!</definedName>
    <definedName name="IQRTickerConverterH442" hidden="1">#REF!</definedName>
    <definedName name="IQRTickerConverterH443" hidden="1">#REF!</definedName>
    <definedName name="IQRTickerConverterH444" hidden="1">#REF!</definedName>
    <definedName name="IQRTickerConverterH445" hidden="1">#REF!</definedName>
    <definedName name="IQRTickerConverterH446" hidden="1">#REF!</definedName>
    <definedName name="IQRTickerConverterH447" hidden="1">#REF!</definedName>
    <definedName name="IQRTickerConverterH448" hidden="1">#REF!</definedName>
    <definedName name="IQRTickerConverterH449" hidden="1">#REF!</definedName>
    <definedName name="IQRTickerConverterH45" hidden="1">#REF!</definedName>
    <definedName name="IQRTickerConverterH450" hidden="1">#REF!</definedName>
    <definedName name="IQRTickerConverterH451" hidden="1">#REF!</definedName>
    <definedName name="IQRTickerConverterH452" hidden="1">#REF!</definedName>
    <definedName name="IQRTickerConverterH453" hidden="1">#REF!</definedName>
    <definedName name="IQRTickerConverterH455" hidden="1">#REF!</definedName>
    <definedName name="IQRTickerConverterH456" hidden="1">#REF!</definedName>
    <definedName name="IQRTickerConverterH457" hidden="1">#REF!</definedName>
    <definedName name="IQRTickerConverterH458" hidden="1">#REF!</definedName>
    <definedName name="IQRTickerConverterH459" hidden="1">#REF!</definedName>
    <definedName name="IQRTickerConverterH46" hidden="1">#REF!</definedName>
    <definedName name="IQRTickerConverterH460" hidden="1">#REF!</definedName>
    <definedName name="IQRTickerConverterH461" hidden="1">#REF!</definedName>
    <definedName name="IQRTickerConverterH462" hidden="1">#REF!</definedName>
    <definedName name="IQRTickerConverterH463" hidden="1">#REF!</definedName>
    <definedName name="IQRTickerConverterH464" hidden="1">#REF!</definedName>
    <definedName name="IQRTickerConverterH465" hidden="1">#REF!</definedName>
    <definedName name="IQRTickerConverterH466" hidden="1">#REF!</definedName>
    <definedName name="IQRTickerConverterH467" hidden="1">#REF!</definedName>
    <definedName name="IQRTickerConverterH468" hidden="1">#REF!</definedName>
    <definedName name="IQRTickerConverterH469" hidden="1">#REF!</definedName>
    <definedName name="IQRTickerConverterH47" hidden="1">#REF!</definedName>
    <definedName name="IQRTickerConverterH470" hidden="1">#REF!</definedName>
    <definedName name="IQRTickerConverterH471" hidden="1">#REF!</definedName>
    <definedName name="IQRTickerConverterH472" hidden="1">#REF!</definedName>
    <definedName name="IQRTickerConverterH473" hidden="1">#REF!</definedName>
    <definedName name="IQRTickerConverterH474" hidden="1">#REF!</definedName>
    <definedName name="IQRTickerConverterH475" hidden="1">#REF!</definedName>
    <definedName name="IQRTickerConverterH476" hidden="1">#REF!</definedName>
    <definedName name="IQRTickerConverterH477" hidden="1">#REF!</definedName>
    <definedName name="IQRTickerConverterH478" hidden="1">#REF!</definedName>
    <definedName name="IQRTickerConverterH479" hidden="1">#REF!</definedName>
    <definedName name="IQRTickerConverterH48" hidden="1">#REF!</definedName>
    <definedName name="IQRTickerConverterH480" hidden="1">#REF!</definedName>
    <definedName name="IQRTickerConverterH481" hidden="1">#REF!</definedName>
    <definedName name="IQRTickerConverterH482" hidden="1">#REF!</definedName>
    <definedName name="IQRTickerConverterH483" hidden="1">#REF!</definedName>
    <definedName name="IQRTickerConverterH484" hidden="1">#REF!</definedName>
    <definedName name="IQRTickerConverterH485" hidden="1">#REF!</definedName>
    <definedName name="IQRTickerConverterH486" hidden="1">#REF!</definedName>
    <definedName name="IQRTickerConverterH487" hidden="1">#REF!</definedName>
    <definedName name="IQRTickerConverterH488" hidden="1">#REF!</definedName>
    <definedName name="IQRTickerConverterH489" hidden="1">#REF!</definedName>
    <definedName name="IQRTickerConverterH49" hidden="1">#REF!</definedName>
    <definedName name="IQRTickerConverterH490" hidden="1">#REF!</definedName>
    <definedName name="IQRTickerConverterH491" hidden="1">#REF!</definedName>
    <definedName name="IQRTickerConverterH492" hidden="1">#REF!</definedName>
    <definedName name="IQRTickerConverterH493" hidden="1">#REF!</definedName>
    <definedName name="IQRTickerConverterH494" hidden="1">#REF!</definedName>
    <definedName name="IQRTickerConverterH495" hidden="1">#REF!</definedName>
    <definedName name="IQRTickerConverterH496" hidden="1">#REF!</definedName>
    <definedName name="IQRTickerConverterH497" hidden="1">#REF!</definedName>
    <definedName name="IQRTickerConverterH498" hidden="1">#REF!</definedName>
    <definedName name="IQRTickerConverterH499" hidden="1">#REF!</definedName>
    <definedName name="IQRTickerConverterH5" hidden="1">#REF!</definedName>
    <definedName name="IQRTickerConverterH50" hidden="1">#REF!</definedName>
    <definedName name="IQRTickerConverterH500" hidden="1">#REF!</definedName>
    <definedName name="IQRTickerConverterH501" hidden="1">#REF!</definedName>
    <definedName name="IQRTickerConverterH502" hidden="1">#REF!</definedName>
    <definedName name="IQRTickerConverterH503" hidden="1">#REF!</definedName>
    <definedName name="IQRTickerConverterH504" hidden="1">#REF!</definedName>
    <definedName name="IQRTickerConverterH505" hidden="1">#REF!</definedName>
    <definedName name="IQRTickerConverterH506" hidden="1">#REF!</definedName>
    <definedName name="IQRTickerConverterH507" hidden="1">#REF!</definedName>
    <definedName name="IQRTickerConverterH508" hidden="1">#REF!</definedName>
    <definedName name="IQRTickerConverterH509" hidden="1">#REF!</definedName>
    <definedName name="IQRTickerConverterH51" hidden="1">#REF!</definedName>
    <definedName name="IQRTickerConverterH510" hidden="1">#REF!</definedName>
    <definedName name="IQRTickerConverterH511" hidden="1">#REF!</definedName>
    <definedName name="IQRTickerConverterH512" hidden="1">#REF!</definedName>
    <definedName name="IQRTickerConverterH513" hidden="1">#REF!</definedName>
    <definedName name="IQRTickerConverterH514" hidden="1">#REF!</definedName>
    <definedName name="IQRTickerConverterH515" hidden="1">#REF!</definedName>
    <definedName name="IQRTickerConverterH516" hidden="1">#REF!</definedName>
    <definedName name="IQRTickerConverterH517" hidden="1">#REF!</definedName>
    <definedName name="IQRTickerConverterH518" hidden="1">#REF!</definedName>
    <definedName name="IQRTickerConverterH519" hidden="1">#REF!</definedName>
    <definedName name="IQRTickerConverterH52" hidden="1">#REF!</definedName>
    <definedName name="IQRTickerConverterH521" hidden="1">#REF!</definedName>
    <definedName name="IQRTickerConverterH522" hidden="1">#REF!</definedName>
    <definedName name="IQRTickerConverterH523" hidden="1">#REF!</definedName>
    <definedName name="IQRTickerConverterH524" hidden="1">#REF!</definedName>
    <definedName name="IQRTickerConverterH525" hidden="1">#REF!</definedName>
    <definedName name="IQRTickerConverterH526" hidden="1">#REF!</definedName>
    <definedName name="IQRTickerConverterH527" hidden="1">#REF!</definedName>
    <definedName name="IQRTickerConverterH528" hidden="1">#REF!</definedName>
    <definedName name="IQRTickerConverterH529" hidden="1">#REF!</definedName>
    <definedName name="IQRTickerConverterH53" hidden="1">#REF!</definedName>
    <definedName name="IQRTickerConverterH530" hidden="1">#REF!</definedName>
    <definedName name="IQRTickerConverterH532" hidden="1">#REF!</definedName>
    <definedName name="IQRTickerConverterH533" hidden="1">#REF!</definedName>
    <definedName name="IQRTickerConverterH534" hidden="1">#REF!</definedName>
    <definedName name="IQRTickerConverterH535" hidden="1">#REF!</definedName>
    <definedName name="IQRTickerConverterH536" hidden="1">#REF!</definedName>
    <definedName name="IQRTickerConverterH538" hidden="1">#REF!</definedName>
    <definedName name="IQRTickerConverterH539" hidden="1">#REF!</definedName>
    <definedName name="IQRTickerConverterH54" hidden="1">#REF!</definedName>
    <definedName name="IQRTickerConverterH540" hidden="1">#REF!</definedName>
    <definedName name="IQRTickerConverterH541" hidden="1">#REF!</definedName>
    <definedName name="IQRTickerConverterH542" hidden="1">#REF!</definedName>
    <definedName name="IQRTickerConverterH543" hidden="1">#REF!</definedName>
    <definedName name="IQRTickerConverterH544" hidden="1">#REF!</definedName>
    <definedName name="IQRTickerConverterH545" hidden="1">#REF!</definedName>
    <definedName name="IQRTickerConverterH546" hidden="1">#REF!</definedName>
    <definedName name="IQRTickerConverterH547" hidden="1">#REF!</definedName>
    <definedName name="IQRTickerConverterH548" hidden="1">#REF!</definedName>
    <definedName name="IQRTickerConverterH549" hidden="1">#REF!</definedName>
    <definedName name="IQRTickerConverterH55" hidden="1">#REF!</definedName>
    <definedName name="IQRTickerConverterH550" hidden="1">#REF!</definedName>
    <definedName name="IQRTickerConverterH552" hidden="1">#REF!</definedName>
    <definedName name="IQRTickerConverterH553" hidden="1">#REF!</definedName>
    <definedName name="IQRTickerConverterH554" hidden="1">#REF!</definedName>
    <definedName name="IQRTickerConverterH555" hidden="1">#REF!</definedName>
    <definedName name="IQRTickerConverterH556" hidden="1">#REF!</definedName>
    <definedName name="IQRTickerConverterH557" hidden="1">#REF!</definedName>
    <definedName name="IQRTickerConverterH558" hidden="1">#REF!</definedName>
    <definedName name="IQRTickerConverterH559" hidden="1">#REF!</definedName>
    <definedName name="IQRTickerConverterH560" hidden="1">#REF!</definedName>
    <definedName name="IQRTickerConverterH562" hidden="1">#REF!</definedName>
    <definedName name="IQRTickerConverterH563" hidden="1">#REF!</definedName>
    <definedName name="IQRTickerConverterH564" hidden="1">#REF!</definedName>
    <definedName name="IQRTickerConverterH565" hidden="1">#REF!</definedName>
    <definedName name="IQRTickerConverterH566" hidden="1">#REF!</definedName>
    <definedName name="IQRTickerConverterH567" hidden="1">#REF!</definedName>
    <definedName name="IQRTickerConverterH568" hidden="1">#REF!</definedName>
    <definedName name="IQRTickerConverterH569" hidden="1">#REF!</definedName>
    <definedName name="IQRTickerConverterH57" hidden="1">#REF!</definedName>
    <definedName name="IQRTickerConverterH570" hidden="1">#REF!</definedName>
    <definedName name="IQRTickerConverterH571" hidden="1">#REF!</definedName>
    <definedName name="IQRTickerConverterH572" hidden="1">#REF!</definedName>
    <definedName name="IQRTickerConverterH573" hidden="1">#REF!</definedName>
    <definedName name="IQRTickerConverterH574" hidden="1">#REF!</definedName>
    <definedName name="IQRTickerConverterH575" hidden="1">#REF!</definedName>
    <definedName name="IQRTickerConverterH576" hidden="1">#REF!</definedName>
    <definedName name="IQRTickerConverterH577" hidden="1">#REF!</definedName>
    <definedName name="IQRTickerConverterH578" hidden="1">#REF!</definedName>
    <definedName name="IQRTickerConverterH579" hidden="1">#REF!</definedName>
    <definedName name="IQRTickerConverterH580" hidden="1">#REF!</definedName>
    <definedName name="IQRTickerConverterH581" hidden="1">#REF!</definedName>
    <definedName name="IQRTickerConverterH582" hidden="1">#REF!</definedName>
    <definedName name="IQRTickerConverterH584" hidden="1">#REF!</definedName>
    <definedName name="IQRTickerConverterH585" hidden="1">#REF!</definedName>
    <definedName name="IQRTickerConverterH586" hidden="1">#REF!</definedName>
    <definedName name="IQRTickerConverterH587" hidden="1">#REF!</definedName>
    <definedName name="IQRTickerConverterH588" hidden="1">#REF!</definedName>
    <definedName name="IQRTickerConverterH589" hidden="1">#REF!</definedName>
    <definedName name="IQRTickerConverterH59" hidden="1">#REF!</definedName>
    <definedName name="IQRTickerConverterH590" hidden="1">#REF!</definedName>
    <definedName name="IQRTickerConverterH592" hidden="1">#REF!</definedName>
    <definedName name="IQRTickerConverterH593" hidden="1">#REF!</definedName>
    <definedName name="IQRTickerConverterH594" hidden="1">#REF!</definedName>
    <definedName name="IQRTickerConverterH595" hidden="1">#REF!</definedName>
    <definedName name="IQRTickerConverterH596" hidden="1">#REF!</definedName>
    <definedName name="IQRTickerConverterH598" hidden="1">#REF!</definedName>
    <definedName name="IQRTickerConverterH599" hidden="1">#REF!</definedName>
    <definedName name="IQRTickerConverterH6" hidden="1">#REF!</definedName>
    <definedName name="IQRTickerConverterH60" hidden="1">#REF!</definedName>
    <definedName name="IQRTickerConverterH600" hidden="1">#REF!</definedName>
    <definedName name="IQRTickerConverterH601" hidden="1">#REF!</definedName>
    <definedName name="IQRTickerConverterH602" hidden="1">#REF!</definedName>
    <definedName name="IQRTickerConverterH603" hidden="1">#REF!</definedName>
    <definedName name="IQRTickerConverterH604" hidden="1">#REF!</definedName>
    <definedName name="IQRTickerConverterH605" hidden="1">#REF!</definedName>
    <definedName name="IQRTickerConverterH606" hidden="1">#REF!</definedName>
    <definedName name="IQRTickerConverterH607" hidden="1">#REF!</definedName>
    <definedName name="IQRTickerConverterH608" hidden="1">#REF!</definedName>
    <definedName name="IQRTickerConverterH609" hidden="1">#REF!</definedName>
    <definedName name="IQRTickerConverterH61" hidden="1">#REF!</definedName>
    <definedName name="IQRTickerConverterH610" hidden="1">#REF!</definedName>
    <definedName name="IQRTickerConverterH612" hidden="1">#REF!</definedName>
    <definedName name="IQRTickerConverterH613" hidden="1">#REF!</definedName>
    <definedName name="IQRTickerConverterH614" hidden="1">#REF!</definedName>
    <definedName name="IQRTickerConverterH615" hidden="1">#REF!</definedName>
    <definedName name="IQRTickerConverterH616" hidden="1">#REF!</definedName>
    <definedName name="IQRTickerConverterH617" hidden="1">#REF!</definedName>
    <definedName name="IQRTickerConverterH618" hidden="1">#REF!</definedName>
    <definedName name="IQRTickerConverterH619" hidden="1">#REF!</definedName>
    <definedName name="IQRTickerConverterH62" hidden="1">#REF!</definedName>
    <definedName name="IQRTickerConverterH620" hidden="1">#REF!</definedName>
    <definedName name="IQRTickerConverterH621" hidden="1">#REF!</definedName>
    <definedName name="IQRTickerConverterH622" hidden="1">#REF!</definedName>
    <definedName name="IQRTickerConverterH623" hidden="1">#REF!</definedName>
    <definedName name="IQRTickerConverterH624" hidden="1">#REF!</definedName>
    <definedName name="IQRTickerConverterH625" hidden="1">#REF!</definedName>
    <definedName name="IQRTickerConverterH626" hidden="1">#REF!</definedName>
    <definedName name="IQRTickerConverterH627" hidden="1">#REF!</definedName>
    <definedName name="IQRTickerConverterH628" hidden="1">#REF!</definedName>
    <definedName name="IQRTickerConverterH629" hidden="1">#REF!</definedName>
    <definedName name="IQRTickerConverterH63" hidden="1">#REF!</definedName>
    <definedName name="IQRTickerConverterH630" hidden="1">#REF!</definedName>
    <definedName name="IQRTickerConverterH631" hidden="1">#REF!</definedName>
    <definedName name="IQRTickerConverterH632" hidden="1">#REF!</definedName>
    <definedName name="IQRTickerConverterH633" hidden="1">#REF!</definedName>
    <definedName name="IQRTickerConverterH634" hidden="1">#REF!</definedName>
    <definedName name="IQRTickerConverterH635" hidden="1">#REF!</definedName>
    <definedName name="IQRTickerConverterH636" hidden="1">#REF!</definedName>
    <definedName name="IQRTickerConverterH637" hidden="1">#REF!</definedName>
    <definedName name="IQRTickerConverterH638" hidden="1">#REF!</definedName>
    <definedName name="IQRTickerConverterH639" hidden="1">#REF!</definedName>
    <definedName name="IQRTickerConverterH64" hidden="1">#REF!</definedName>
    <definedName name="IQRTickerConverterH640" hidden="1">#REF!</definedName>
    <definedName name="IQRTickerConverterH641" hidden="1">#REF!</definedName>
    <definedName name="IQRTickerConverterH642" hidden="1">#REF!</definedName>
    <definedName name="IQRTickerConverterH643" hidden="1">#REF!</definedName>
    <definedName name="IQRTickerConverterH644" hidden="1">#REF!</definedName>
    <definedName name="IQRTickerConverterH645" hidden="1">#REF!</definedName>
    <definedName name="IQRTickerConverterH646" hidden="1">#REF!</definedName>
    <definedName name="IQRTickerConverterH647" hidden="1">#REF!</definedName>
    <definedName name="IQRTickerConverterH648" hidden="1">#REF!</definedName>
    <definedName name="IQRTickerConverterH649" hidden="1">#REF!</definedName>
    <definedName name="IQRTickerConverterH65" hidden="1">#REF!</definedName>
    <definedName name="IQRTickerConverterH650" hidden="1">#REF!</definedName>
    <definedName name="IQRTickerConverterH651" hidden="1">#REF!</definedName>
    <definedName name="IQRTickerConverterH652" hidden="1">#REF!</definedName>
    <definedName name="IQRTickerConverterH653" hidden="1">#REF!</definedName>
    <definedName name="IQRTickerConverterH654" hidden="1">#REF!</definedName>
    <definedName name="IQRTickerConverterH655" hidden="1">#REF!</definedName>
    <definedName name="IQRTickerConverterH656" hidden="1">#REF!</definedName>
    <definedName name="IQRTickerConverterH657" hidden="1">#REF!</definedName>
    <definedName name="IQRTickerConverterH658" hidden="1">#REF!</definedName>
    <definedName name="IQRTickerConverterH659" hidden="1">#REF!</definedName>
    <definedName name="IQRTickerConverterH66" hidden="1">#REF!</definedName>
    <definedName name="IQRTickerConverterH660" hidden="1">#REF!</definedName>
    <definedName name="IQRTickerConverterH661" hidden="1">#REF!</definedName>
    <definedName name="IQRTickerConverterH662" hidden="1">#REF!</definedName>
    <definedName name="IQRTickerConverterH663" hidden="1">#REF!</definedName>
    <definedName name="IQRTickerConverterH664" hidden="1">#REF!</definedName>
    <definedName name="IQRTickerConverterH665" hidden="1">#REF!</definedName>
    <definedName name="IQRTickerConverterH667" hidden="1">#REF!</definedName>
    <definedName name="IQRTickerConverterH668" hidden="1">#REF!</definedName>
    <definedName name="IQRTickerConverterH669" hidden="1">#REF!</definedName>
    <definedName name="IQRTickerConverterH67" hidden="1">#REF!</definedName>
    <definedName name="IQRTickerConverterH671" hidden="1">#REF!</definedName>
    <definedName name="IQRTickerConverterH672" hidden="1">#REF!</definedName>
    <definedName name="IQRTickerConverterH673" hidden="1">#REF!</definedName>
    <definedName name="IQRTickerConverterH674" hidden="1">#REF!</definedName>
    <definedName name="IQRTickerConverterH675" hidden="1">#REF!</definedName>
    <definedName name="IQRTickerConverterH676" hidden="1">#REF!</definedName>
    <definedName name="IQRTickerConverterH677" hidden="1">#REF!</definedName>
    <definedName name="IQRTickerConverterH678" hidden="1">#REF!</definedName>
    <definedName name="IQRTickerConverterH679" hidden="1">#REF!</definedName>
    <definedName name="IQRTickerConverterH68" hidden="1">#REF!</definedName>
    <definedName name="IQRTickerConverterH681" hidden="1">#REF!</definedName>
    <definedName name="IQRTickerConverterH682" hidden="1">#REF!</definedName>
    <definedName name="IQRTickerConverterH683" hidden="1">#REF!</definedName>
    <definedName name="IQRTickerConverterH684" hidden="1">#REF!</definedName>
    <definedName name="IQRTickerConverterH685" hidden="1">#REF!</definedName>
    <definedName name="IQRTickerConverterH686" hidden="1">#REF!</definedName>
    <definedName name="IQRTickerConverterH687" hidden="1">#REF!</definedName>
    <definedName name="IQRTickerConverterH688" hidden="1">#REF!</definedName>
    <definedName name="IQRTickerConverterH689" hidden="1">#REF!</definedName>
    <definedName name="IQRTickerConverterH690" hidden="1">#REF!</definedName>
    <definedName name="IQRTickerConverterH691" hidden="1">#REF!</definedName>
    <definedName name="IQRTickerConverterH692" hidden="1">#REF!</definedName>
    <definedName name="IQRTickerConverterH693" hidden="1">#REF!</definedName>
    <definedName name="IQRTickerConverterH694" hidden="1">#REF!</definedName>
    <definedName name="IQRTickerConverterH695" hidden="1">#REF!</definedName>
    <definedName name="IQRTickerConverterH696" hidden="1">#REF!</definedName>
    <definedName name="IQRTickerConverterH697" hidden="1">#REF!</definedName>
    <definedName name="IQRTickerConverterH699" hidden="1">#REF!</definedName>
    <definedName name="IQRTickerConverterH7" hidden="1">#REF!</definedName>
    <definedName name="IQRTickerConverterH70" hidden="1">#REF!</definedName>
    <definedName name="IQRTickerConverterH700" hidden="1">#REF!</definedName>
    <definedName name="IQRTickerConverterH702" hidden="1">#REF!</definedName>
    <definedName name="IQRTickerConverterH703" hidden="1">#REF!</definedName>
    <definedName name="IQRTickerConverterH704" hidden="1">#REF!</definedName>
    <definedName name="IQRTickerConverterH705" hidden="1">#REF!</definedName>
    <definedName name="IQRTickerConverterH706" hidden="1">#REF!</definedName>
    <definedName name="IQRTickerConverterH707" hidden="1">#REF!</definedName>
    <definedName name="IQRTickerConverterH708" hidden="1">#REF!</definedName>
    <definedName name="IQRTickerConverterH709" hidden="1">#REF!</definedName>
    <definedName name="IQRTickerConverterH71" hidden="1">#REF!</definedName>
    <definedName name="IQRTickerConverterH710" hidden="1">#REF!</definedName>
    <definedName name="IQRTickerConverterH711" hidden="1">#REF!</definedName>
    <definedName name="IQRTickerConverterH712" hidden="1">#REF!</definedName>
    <definedName name="IQRTickerConverterH713" hidden="1">#REF!</definedName>
    <definedName name="IQRTickerConverterH714" hidden="1">#REF!</definedName>
    <definedName name="IQRTickerConverterH715" hidden="1">#REF!</definedName>
    <definedName name="IQRTickerConverterH716" hidden="1">#REF!</definedName>
    <definedName name="IQRTickerConverterH717" hidden="1">#REF!</definedName>
    <definedName name="IQRTickerConverterH718" hidden="1">#REF!</definedName>
    <definedName name="IQRTickerConverterH72" hidden="1">#REF!</definedName>
    <definedName name="IQRTickerConverterH720" hidden="1">#REF!</definedName>
    <definedName name="IQRTickerConverterH721" hidden="1">#REF!</definedName>
    <definedName name="IQRTickerConverterH722" hidden="1">#REF!</definedName>
    <definedName name="IQRTickerConverterH723" hidden="1">#REF!</definedName>
    <definedName name="IQRTickerConverterH724" hidden="1">#REF!</definedName>
    <definedName name="IQRTickerConverterH725" hidden="1">#REF!</definedName>
    <definedName name="IQRTickerConverterH726" hidden="1">#REF!</definedName>
    <definedName name="IQRTickerConverterH727" hidden="1">#REF!</definedName>
    <definedName name="IQRTickerConverterH729" hidden="1">#REF!</definedName>
    <definedName name="IQRTickerConverterH73" hidden="1">#REF!</definedName>
    <definedName name="IQRTickerConverterH730" hidden="1">#REF!</definedName>
    <definedName name="IQRTickerConverterH731" hidden="1">#REF!</definedName>
    <definedName name="IQRTickerConverterH732" hidden="1">#REF!</definedName>
    <definedName name="IQRTickerConverterH733" hidden="1">#REF!</definedName>
    <definedName name="IQRTickerConverterH734" hidden="1">#REF!</definedName>
    <definedName name="IQRTickerConverterH735" hidden="1">#REF!</definedName>
    <definedName name="IQRTickerConverterH736" hidden="1">#REF!</definedName>
    <definedName name="IQRTickerConverterH737" hidden="1">#REF!</definedName>
    <definedName name="IQRTickerConverterH739" hidden="1">#REF!</definedName>
    <definedName name="IQRTickerConverterH74" hidden="1">#REF!</definedName>
    <definedName name="IQRTickerConverterH740" hidden="1">#REF!</definedName>
    <definedName name="IQRTickerConverterH741" hidden="1">#REF!</definedName>
    <definedName name="IQRTickerConverterH742" hidden="1">#REF!</definedName>
    <definedName name="IQRTickerConverterH743" hidden="1">#REF!</definedName>
    <definedName name="IQRTickerConverterH744" hidden="1">#REF!</definedName>
    <definedName name="IQRTickerConverterH745" hidden="1">#REF!</definedName>
    <definedName name="IQRTickerConverterH746" hidden="1">#REF!</definedName>
    <definedName name="IQRTickerConverterH747" hidden="1">#REF!</definedName>
    <definedName name="IQRTickerConverterH749" hidden="1">#REF!</definedName>
    <definedName name="IQRTickerConverterH75" hidden="1">#REF!</definedName>
    <definedName name="IQRTickerConverterH750" hidden="1">#REF!</definedName>
    <definedName name="IQRTickerConverterH751" hidden="1">#REF!</definedName>
    <definedName name="IQRTickerConverterH752" hidden="1">#REF!</definedName>
    <definedName name="IQRTickerConverterH753" hidden="1">#REF!</definedName>
    <definedName name="IQRTickerConverterH754" hidden="1">#REF!</definedName>
    <definedName name="IQRTickerConverterH755" hidden="1">#REF!</definedName>
    <definedName name="IQRTickerConverterH756" hidden="1">#REF!</definedName>
    <definedName name="IQRTickerConverterH757" hidden="1">#REF!</definedName>
    <definedName name="IQRTickerConverterH758" hidden="1">#REF!</definedName>
    <definedName name="IQRTickerConverterH759" hidden="1">#REF!</definedName>
    <definedName name="IQRTickerConverterH76" hidden="1">#REF!</definedName>
    <definedName name="IQRTickerConverterH760" hidden="1">#REF!</definedName>
    <definedName name="IQRTickerConverterH761" hidden="1">#REF!</definedName>
    <definedName name="IQRTickerConverterH762" hidden="1">#REF!</definedName>
    <definedName name="IQRTickerConverterH763" hidden="1">#REF!</definedName>
    <definedName name="IQRTickerConverterH764" hidden="1">#REF!</definedName>
    <definedName name="IQRTickerConverterH765" hidden="1">#REF!</definedName>
    <definedName name="IQRTickerConverterH766" hidden="1">#REF!</definedName>
    <definedName name="IQRTickerConverterH767" hidden="1">#REF!</definedName>
    <definedName name="IQRTickerConverterH768" hidden="1">#REF!</definedName>
    <definedName name="IQRTickerConverterH769" hidden="1">#REF!</definedName>
    <definedName name="IQRTickerConverterH77" hidden="1">#REF!</definedName>
    <definedName name="IQRTickerConverterH770" hidden="1">#REF!</definedName>
    <definedName name="IQRTickerConverterH771" hidden="1">#REF!</definedName>
    <definedName name="IQRTickerConverterH772" hidden="1">#REF!</definedName>
    <definedName name="IQRTickerConverterH773" hidden="1">#REF!</definedName>
    <definedName name="IQRTickerConverterH774" hidden="1">#REF!</definedName>
    <definedName name="IQRTickerConverterH775" hidden="1">#REF!</definedName>
    <definedName name="IQRTickerConverterH776" hidden="1">#REF!</definedName>
    <definedName name="IQRTickerConverterH777" hidden="1">#REF!</definedName>
    <definedName name="IQRTickerConverterH778" hidden="1">#REF!</definedName>
    <definedName name="IQRTickerConverterH779" hidden="1">#REF!</definedName>
    <definedName name="IQRTickerConverterH78" hidden="1">#REF!</definedName>
    <definedName name="IQRTickerConverterH780" hidden="1">#REF!</definedName>
    <definedName name="IQRTickerConverterH781" hidden="1">#REF!</definedName>
    <definedName name="IQRTickerConverterH782" hidden="1">#REF!</definedName>
    <definedName name="IQRTickerConverterH783" hidden="1">#REF!</definedName>
    <definedName name="IQRTickerConverterH784" hidden="1">#REF!</definedName>
    <definedName name="IQRTickerConverterH785" hidden="1">#REF!</definedName>
    <definedName name="IQRTickerConverterH786" hidden="1">#REF!</definedName>
    <definedName name="IQRTickerConverterH788" hidden="1">#REF!</definedName>
    <definedName name="IQRTickerConverterH79" hidden="1">#REF!</definedName>
    <definedName name="IQRTickerConverterH790" hidden="1">#REF!</definedName>
    <definedName name="IQRTickerConverterH791" hidden="1">#REF!</definedName>
    <definedName name="IQRTickerConverterH792" hidden="1">#REF!</definedName>
    <definedName name="IQRTickerConverterH793" hidden="1">#REF!</definedName>
    <definedName name="IQRTickerConverterH794" hidden="1">#REF!</definedName>
    <definedName name="IQRTickerConverterH795" hidden="1">#REF!</definedName>
    <definedName name="IQRTickerConverterH796" hidden="1">#REF!</definedName>
    <definedName name="IQRTickerConverterH797" hidden="1">#REF!</definedName>
    <definedName name="IQRTickerConverterH798" hidden="1">#REF!</definedName>
    <definedName name="IQRTickerConverterH799" hidden="1">#REF!</definedName>
    <definedName name="IQRTickerConverterH8" hidden="1">#REF!</definedName>
    <definedName name="IQRTickerConverterH80" hidden="1">#REF!</definedName>
    <definedName name="IQRTickerConverterH800" hidden="1">#REF!</definedName>
    <definedName name="IQRTickerConverterH801" hidden="1">#REF!</definedName>
    <definedName name="IQRTickerConverterH802" hidden="1">#REF!</definedName>
    <definedName name="IQRTickerConverterH803" hidden="1">#REF!</definedName>
    <definedName name="IQRTickerConverterH805" hidden="1">#REF!</definedName>
    <definedName name="IQRTickerConverterH806" hidden="1">#REF!</definedName>
    <definedName name="IQRTickerConverterH807" hidden="1">#REF!</definedName>
    <definedName name="IQRTickerConverterH809" hidden="1">#REF!</definedName>
    <definedName name="IQRTickerConverterH81" hidden="1">#REF!</definedName>
    <definedName name="IQRTickerConverterH810" hidden="1">#REF!</definedName>
    <definedName name="IQRTickerConverterH811" hidden="1">#REF!</definedName>
    <definedName name="IQRTickerConverterH812" hidden="1">#REF!</definedName>
    <definedName name="IQRTickerConverterH813" hidden="1">#REF!</definedName>
    <definedName name="IQRTickerConverterH814" hidden="1">#REF!</definedName>
    <definedName name="IQRTickerConverterH815" hidden="1">#REF!</definedName>
    <definedName name="IQRTickerConverterH816" hidden="1">#REF!</definedName>
    <definedName name="IQRTickerConverterH818" hidden="1">#REF!</definedName>
    <definedName name="IQRTickerConverterH82" hidden="1">#REF!</definedName>
    <definedName name="IQRTickerConverterH820" hidden="1">#REF!</definedName>
    <definedName name="IQRTickerConverterH821" hidden="1">#REF!</definedName>
    <definedName name="IQRTickerConverterH822" hidden="1">#REF!</definedName>
    <definedName name="IQRTickerConverterH823" hidden="1">#REF!</definedName>
    <definedName name="IQRTickerConverterH825" hidden="1">#REF!</definedName>
    <definedName name="IQRTickerConverterH826" hidden="1">#REF!</definedName>
    <definedName name="IQRTickerConverterH827" hidden="1">#REF!</definedName>
    <definedName name="IQRTickerConverterH828" hidden="1">#REF!</definedName>
    <definedName name="IQRTickerConverterH829" hidden="1">#REF!</definedName>
    <definedName name="IQRTickerConverterH83" hidden="1">#REF!</definedName>
    <definedName name="IQRTickerConverterH830" hidden="1">#REF!</definedName>
    <definedName name="IQRTickerConverterH831" hidden="1">#REF!</definedName>
    <definedName name="IQRTickerConverterH832" hidden="1">#REF!</definedName>
    <definedName name="IQRTickerConverterH834" hidden="1">#REF!</definedName>
    <definedName name="IQRTickerConverterH835" hidden="1">#REF!</definedName>
    <definedName name="IQRTickerConverterH836" hidden="1">#REF!</definedName>
    <definedName name="IQRTickerConverterH837" hidden="1">#REF!</definedName>
    <definedName name="IQRTickerConverterH838" hidden="1">#REF!</definedName>
    <definedName name="IQRTickerConverterH839" hidden="1">#REF!</definedName>
    <definedName name="IQRTickerConverterH84" hidden="1">#REF!</definedName>
    <definedName name="IQRTickerConverterH840" hidden="1">#REF!</definedName>
    <definedName name="IQRTickerConverterH842" hidden="1">#REF!</definedName>
    <definedName name="IQRTickerConverterH843" hidden="1">#REF!</definedName>
    <definedName name="IQRTickerConverterH845" hidden="1">#REF!</definedName>
    <definedName name="IQRTickerConverterH846" hidden="1">#REF!</definedName>
    <definedName name="IQRTickerConverterH847" hidden="1">#REF!</definedName>
    <definedName name="IQRTickerConverterH848" hidden="1">#REF!</definedName>
    <definedName name="IQRTickerConverterH849" hidden="1">#REF!</definedName>
    <definedName name="IQRTickerConverterH85" hidden="1">#REF!</definedName>
    <definedName name="IQRTickerConverterH850" hidden="1">#REF!</definedName>
    <definedName name="IQRTickerConverterH851" hidden="1">#REF!</definedName>
    <definedName name="IQRTickerConverterH852" hidden="1">#REF!</definedName>
    <definedName name="IQRTickerConverterH853" hidden="1">#REF!</definedName>
    <definedName name="IQRTickerConverterH854" hidden="1">#REF!</definedName>
    <definedName name="IQRTickerConverterH855" hidden="1">#REF!</definedName>
    <definedName name="IQRTickerConverterH856" hidden="1">#REF!</definedName>
    <definedName name="IQRTickerConverterH857" hidden="1">#REF!</definedName>
    <definedName name="IQRTickerConverterH858" hidden="1">#REF!</definedName>
    <definedName name="IQRTickerConverterH859" hidden="1">#REF!</definedName>
    <definedName name="IQRTickerConverterH86" hidden="1">#REF!</definedName>
    <definedName name="IQRTickerConverterH860" hidden="1">#REF!</definedName>
    <definedName name="IQRTickerConverterH861" hidden="1">#REF!</definedName>
    <definedName name="IQRTickerConverterH862" hidden="1">#REF!</definedName>
    <definedName name="IQRTickerConverterH863" hidden="1">#REF!</definedName>
    <definedName name="IQRTickerConverterH865" hidden="1">#REF!</definedName>
    <definedName name="IQRTickerConverterH866" hidden="1">#REF!</definedName>
    <definedName name="IQRTickerConverterH867" hidden="1">#REF!</definedName>
    <definedName name="IQRTickerConverterH868" hidden="1">#REF!</definedName>
    <definedName name="IQRTickerConverterH869" hidden="1">#REF!</definedName>
    <definedName name="IQRTickerConverterH87" hidden="1">#REF!</definedName>
    <definedName name="IQRTickerConverterH870" hidden="1">#REF!</definedName>
    <definedName name="IQRTickerConverterH871" hidden="1">#REF!</definedName>
    <definedName name="IQRTickerConverterH872" hidden="1">#REF!</definedName>
    <definedName name="IQRTickerConverterH874" hidden="1">#REF!</definedName>
    <definedName name="IQRTickerConverterH875" hidden="1">#REF!</definedName>
    <definedName name="IQRTickerConverterH876" hidden="1">#REF!</definedName>
    <definedName name="IQRTickerConverterH877" hidden="1">#REF!</definedName>
    <definedName name="IQRTickerConverterH878" hidden="1">#REF!</definedName>
    <definedName name="IQRTickerConverterH879" hidden="1">#REF!</definedName>
    <definedName name="IQRTickerConverterH88" hidden="1">#REF!</definedName>
    <definedName name="IQRTickerConverterH880" hidden="1">#REF!</definedName>
    <definedName name="IQRTickerConverterH882" hidden="1">#REF!</definedName>
    <definedName name="IQRTickerConverterH883" hidden="1">#REF!</definedName>
    <definedName name="IQRTickerConverterH884" hidden="1">#REF!</definedName>
    <definedName name="IQRTickerConverterH886" hidden="1">#REF!</definedName>
    <definedName name="IQRTickerConverterH887" hidden="1">#REF!</definedName>
    <definedName name="IQRTickerConverterH888" hidden="1">#REF!</definedName>
    <definedName name="IQRTickerConverterH889" hidden="1">#REF!</definedName>
    <definedName name="IQRTickerConverterH89" hidden="1">#REF!</definedName>
    <definedName name="IQRTickerConverterH890" hidden="1">#REF!</definedName>
    <definedName name="IQRTickerConverterH891" hidden="1">#REF!</definedName>
    <definedName name="IQRTickerConverterH892" hidden="1">#REF!</definedName>
    <definedName name="IQRTickerConverterH893" hidden="1">#REF!</definedName>
    <definedName name="IQRTickerConverterH895" hidden="1">#REF!</definedName>
    <definedName name="IQRTickerConverterH896" hidden="1">#REF!</definedName>
    <definedName name="IQRTickerConverterH897" hidden="1">#REF!</definedName>
    <definedName name="IQRTickerConverterH898" hidden="1">#REF!</definedName>
    <definedName name="IQRTickerConverterH899" hidden="1">#REF!</definedName>
    <definedName name="IQRTickerConverterH9" hidden="1">#REF!</definedName>
    <definedName name="IQRTickerConverterH90" hidden="1">#REF!</definedName>
    <definedName name="IQRTickerConverterH900" hidden="1">#REF!</definedName>
    <definedName name="IQRTickerConverterH902" hidden="1">#REF!</definedName>
    <definedName name="IQRTickerConverterH903" hidden="1">#REF!</definedName>
    <definedName name="IQRTickerConverterH904" hidden="1">#REF!</definedName>
    <definedName name="IQRTickerConverterH905" hidden="1">#REF!</definedName>
    <definedName name="IQRTickerConverterH906" hidden="1">#REF!</definedName>
    <definedName name="IQRTickerConverterH907" hidden="1">#REF!</definedName>
    <definedName name="IQRTickerConverterH908" hidden="1">#REF!</definedName>
    <definedName name="IQRTickerConverterH909" hidden="1">#REF!</definedName>
    <definedName name="IQRTickerConverterH910" hidden="1">#REF!</definedName>
    <definedName name="IQRTickerConverterH911" hidden="1">#REF!</definedName>
    <definedName name="IQRTickerConverterH912" hidden="1">#REF!</definedName>
    <definedName name="IQRTickerConverterH913" hidden="1">#REF!</definedName>
    <definedName name="IQRTickerConverterH914" hidden="1">#REF!</definedName>
    <definedName name="IQRTickerConverterH916" hidden="1">#REF!</definedName>
    <definedName name="IQRTickerConverterH917" hidden="1">#REF!</definedName>
    <definedName name="IQRTickerConverterH918" hidden="1">#REF!</definedName>
    <definedName name="IQRTickerConverterH919" hidden="1">#REF!</definedName>
    <definedName name="IQRTickerConverterH92" hidden="1">#REF!</definedName>
    <definedName name="IQRTickerConverterH920" hidden="1">#REF!</definedName>
    <definedName name="IQRTickerConverterH921" hidden="1">#REF!</definedName>
    <definedName name="IQRTickerConverterH922" hidden="1">#REF!</definedName>
    <definedName name="IQRTickerConverterH923" hidden="1">#REF!</definedName>
    <definedName name="IQRTickerConverterH924" hidden="1">#REF!</definedName>
    <definedName name="IQRTickerConverterH925" hidden="1">#REF!</definedName>
    <definedName name="IQRTickerConverterH926" hidden="1">#REF!</definedName>
    <definedName name="IQRTickerConverterH927" hidden="1">#REF!</definedName>
    <definedName name="IQRTickerConverterH928" hidden="1">#REF!</definedName>
    <definedName name="IQRTickerConverterH929" hidden="1">#REF!</definedName>
    <definedName name="IQRTickerConverterH93" hidden="1">#REF!</definedName>
    <definedName name="IQRTickerConverterH930" hidden="1">#REF!</definedName>
    <definedName name="IQRTickerConverterH931" hidden="1">#REF!</definedName>
    <definedName name="IQRTickerConverterH932" hidden="1">#REF!</definedName>
    <definedName name="IQRTickerConverterH933" hidden="1">#REF!</definedName>
    <definedName name="IQRTickerConverterH934" hidden="1">#REF!</definedName>
    <definedName name="IQRTickerConverterH935" hidden="1">#REF!</definedName>
    <definedName name="IQRTickerConverterH936" hidden="1">#REF!</definedName>
    <definedName name="IQRTickerConverterH937" hidden="1">#REF!</definedName>
    <definedName name="IQRTickerConverterH939" hidden="1">#REF!</definedName>
    <definedName name="IQRTickerConverterH94" hidden="1">#REF!</definedName>
    <definedName name="IQRTickerConverterH940" hidden="1">#REF!</definedName>
    <definedName name="IQRTickerConverterH941" hidden="1">#REF!</definedName>
    <definedName name="IQRTickerConverterH942" hidden="1">#REF!</definedName>
    <definedName name="IQRTickerConverterH943" hidden="1">#REF!</definedName>
    <definedName name="IQRTickerConverterH944" hidden="1">#REF!</definedName>
    <definedName name="IQRTickerConverterH945" hidden="1">#REF!</definedName>
    <definedName name="IQRTickerConverterH946" hidden="1">#REF!</definedName>
    <definedName name="IQRTickerConverterH947" hidden="1">#REF!</definedName>
    <definedName name="IQRTickerConverterH948" hidden="1">#REF!</definedName>
    <definedName name="IQRTickerConverterH949" hidden="1">#REF!</definedName>
    <definedName name="IQRTickerConverterH95" hidden="1">#REF!</definedName>
    <definedName name="IQRTickerConverterH950" hidden="1">#REF!</definedName>
    <definedName name="IQRTickerConverterH951" hidden="1">#REF!</definedName>
    <definedName name="IQRTickerConverterH952" hidden="1">#REF!</definedName>
    <definedName name="IQRTickerConverterH953" hidden="1">#REF!</definedName>
    <definedName name="IQRTickerConverterH954" hidden="1">#REF!</definedName>
    <definedName name="IQRTickerConverterH955" hidden="1">#REF!</definedName>
    <definedName name="IQRTickerConverterH956" hidden="1">#REF!</definedName>
    <definedName name="IQRTickerConverterH957" hidden="1">#REF!</definedName>
    <definedName name="IQRTickerConverterH958" hidden="1">#REF!</definedName>
    <definedName name="IQRTickerConverterH959" hidden="1">#REF!</definedName>
    <definedName name="IQRTickerConverterH96" hidden="1">#REF!</definedName>
    <definedName name="IQRTickerConverterH960" hidden="1">#REF!</definedName>
    <definedName name="IQRTickerConverterH961" hidden="1">#REF!</definedName>
    <definedName name="IQRTickerConverterH962" hidden="1">#REF!</definedName>
    <definedName name="IQRTickerConverterH963" hidden="1">#REF!</definedName>
    <definedName name="IQRTickerConverterH964" hidden="1">#REF!</definedName>
    <definedName name="IQRTickerConverterH965" hidden="1">#REF!</definedName>
    <definedName name="IQRTickerConverterH966" hidden="1">#REF!</definedName>
    <definedName name="IQRTickerConverterH967" hidden="1">#REF!</definedName>
    <definedName name="IQRTickerConverterH968" hidden="1">#REF!</definedName>
    <definedName name="IQRTickerConverterH969" hidden="1">#REF!</definedName>
    <definedName name="IQRTickerConverterH97" hidden="1">#REF!</definedName>
    <definedName name="IQRTickerConverterH970" hidden="1">#REF!</definedName>
    <definedName name="IQRTickerConverterH971" hidden="1">#REF!</definedName>
    <definedName name="IQRTickerConverterH972" hidden="1">#REF!</definedName>
    <definedName name="IQRTickerConverterH973" hidden="1">#REF!</definedName>
    <definedName name="IQRTickerConverterH974" hidden="1">#REF!</definedName>
    <definedName name="IQRTickerConverterH975" hidden="1">#REF!</definedName>
    <definedName name="IQRTickerConverterH977" hidden="1">#REF!</definedName>
    <definedName name="IQRTickerConverterH978" hidden="1">#REF!</definedName>
    <definedName name="IQRTickerConverterH979" hidden="1">#REF!</definedName>
    <definedName name="IQRTickerConverterH98" hidden="1">#REF!</definedName>
    <definedName name="IQRTickerConverterH980" hidden="1">#REF!</definedName>
    <definedName name="IQRTickerConverterH981" hidden="1">#REF!</definedName>
    <definedName name="IQRTickerConverterH982" hidden="1">#REF!</definedName>
    <definedName name="IQRTickerConverterH983" hidden="1">#REF!</definedName>
    <definedName name="IQRTickerConverterH985" hidden="1">#REF!</definedName>
    <definedName name="IQRTickerConverterH986" hidden="1">#REF!</definedName>
    <definedName name="IQRTickerConverterH988" hidden="1">#REF!</definedName>
    <definedName name="IQRTickerConverterH989" hidden="1">#REF!</definedName>
    <definedName name="IQRTickerConverterH99" hidden="1">#REF!</definedName>
    <definedName name="IQRTickerConverterH990" hidden="1">#REF!</definedName>
    <definedName name="IQRTickerConverterH991" hidden="1">#REF!</definedName>
    <definedName name="IQRTickerConverterH993" hidden="1">#REF!</definedName>
    <definedName name="IQRTickerConverterH994" hidden="1">#REF!</definedName>
    <definedName name="IQRTickerConverterH995" hidden="1">#REF!</definedName>
    <definedName name="IQRTickerConverterH996" hidden="1">#REF!</definedName>
    <definedName name="IQRTickerConverterH998" hidden="1">#REF!</definedName>
    <definedName name="IQRTickerConverterH999" hidden="1">#REF!</definedName>
    <definedName name="ListOffset" hidden="1">1</definedName>
    <definedName name="o" localSheetId="1" hidden="1">{#N/A,#N/A,FALSE,"New Depr Sch-150% DB";#N/A,#N/A,FALSE,"Cash Flows RLP";#N/A,#N/A,FALSE,"IRR";#N/A,#N/A,FALSE,"Proforma IS";#N/A,#N/A,FALSE,"Assumptions"}</definedName>
    <definedName name="o" localSheetId="3" hidden="1">{#N/A,#N/A,FALSE,"New Depr Sch-150% DB";#N/A,#N/A,FALSE,"Cash Flows RLP";#N/A,#N/A,FALSE,"IRR";#N/A,#N/A,FALSE,"Proforma IS";#N/A,#N/A,FALSE,"Assumptions"}</definedName>
    <definedName name="o" hidden="1">{#N/A,#N/A,FALSE,"New Depr Sch-150% DB";#N/A,#N/A,FALSE,"Cash Flows RLP";#N/A,#N/A,FALSE,"IRR";#N/A,#N/A,FALSE,"Proforma IS";#N/A,#N/A,FALSE,"Assumptions"}</definedName>
    <definedName name="wrn.Basic._.Report." localSheetId="1" hidden="1">{#N/A,#N/A,FALSE,"New Depr Sch-150% DB";#N/A,#N/A,FALSE,"Cash Flows RLP";#N/A,#N/A,FALSE,"IRR";#N/A,#N/A,FALSE,"Proforma IS";#N/A,#N/A,FALSE,"Assumptions"}</definedName>
    <definedName name="wrn.Basic._.Report." localSheetId="3" hidden="1">{#N/A,#N/A,FALSE,"New Depr Sch-150% DB";#N/A,#N/A,FALSE,"Cash Flows RLP";#N/A,#N/A,FALSE,"IRR";#N/A,#N/A,FALSE,"Proforma IS";#N/A,#N/A,FALSE,"Assumptions"}</definedName>
    <definedName name="wrn.Basic._.Report." hidden="1">{#N/A,#N/A,FALSE,"New Depr Sch-150% DB";#N/A,#N/A,FALSE,"Cash Flows RLP";#N/A,#N/A,FALSE,"IRR";#N/A,#N/A,FALSE,"Proforma IS";#N/A,#N/A,FALSE,"Assumptions"}</definedName>
    <definedName name="wrn.clientcopy." localSheetId="1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localSheetId="3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lientcopy." hidden="1">{"Multiples_clientcopy",#N/A,FALSE,"Multiples";"Adjustments_clientcopy",#N/A,FALSE,"Adjustments to Multiples";"GrowthAdj_clientcopy",#N/A,FALSE,"Growth Adjustments";"RiskAdj_clientcopy",#N/A,FALSE,"Risk Adjustments ";"MarginAdj_clientcopy",#N/A,FALSE,"Margin Adjustments";"Regression_clientcopy",#N/A,FALSE,"Regression";"Ratios_clientcopy",#N/A,FALSE,"Ratios"}</definedName>
    <definedName name="wrn.Complete._.Report." localSheetId="1" hidden="1">{#N/A,#N/A,FALSE,"Assumptions";#N/A,#N/A,FALSE,"Proforma IS";#N/A,#N/A,FALSE,"Cash Flows RLP";#N/A,#N/A,FALSE,"IRR";#N/A,#N/A,FALSE,"New Depr Sch-150% DB";#N/A,#N/A,FALSE,"Comments"}</definedName>
    <definedName name="wrn.Complete._.Report." localSheetId="3" hidden="1">{#N/A,#N/A,FALSE,"Assumptions";#N/A,#N/A,FALSE,"Proforma IS";#N/A,#N/A,FALSE,"Cash Flows RLP";#N/A,#N/A,FALSE,"IRR";#N/A,#N/A,FALSE,"New Depr Sch-150% DB";#N/A,#N/A,FALSE,"Comments"}</definedName>
    <definedName name="wrn.Complete._.Report." hidden="1">{#N/A,#N/A,FALSE,"Assumptions";#N/A,#N/A,FALSE,"Proforma IS";#N/A,#N/A,FALSE,"Cash Flows RLP";#N/A,#N/A,FALSE,"IRR";#N/A,#N/A,FALSE,"New Depr Sch-150% DB";#N/A,#N/A,FALSE,"Comments"}</definedName>
    <definedName name="wrn.filecopy." localSheetId="1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localSheetId="3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filecopy." hidden="1">{"Multiples_filecopy",#N/A,FALSE,"Multiples";"Adjustments_filecopy",#N/A,FALSE,"Adjustments to Multiples";"GrowthAdj_filecopy",#N/A,FALSE,"Growth Adjustments";"RiskAdj_filecopy",#N/A,FALSE,"Risk Adjustments ";"MarginAdj_filecopy",#N/A,FALSE,"Margin Adjustments";"Regression_filecopy",#N/A,FALSE,"Regression";"Ratios_filecopy",#N/A,FALSE,"Ratios"}</definedName>
    <definedName name="wrn.print." localSheetId="1" hidden="1">{#N/A,#N/A,FALSE,"Japan 2003";#N/A,#N/A,FALSE,"Sheet2"}</definedName>
    <definedName name="wrn.print." localSheetId="3" hidden="1">{#N/A,#N/A,FALSE,"Japan 2003";#N/A,#N/A,FALSE,"Sheet2"}</definedName>
    <definedName name="wrn.print." hidden="1">{#N/A,#N/A,FALSE,"Japan 2003";#N/A,#N/A,FALSE,"Sheet2"}</definedName>
  </definedNames>
  <calcPr calcId="191029" calcMode="autoNoTable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85" i="260" l="1"/>
  <c r="AF34" i="259"/>
  <c r="AG34" i="259" s="1"/>
  <c r="AH34" i="259" s="1"/>
  <c r="AI34" i="259" s="1"/>
  <c r="AJ34" i="259" s="1"/>
  <c r="AK34" i="259" s="1"/>
  <c r="AL34" i="259" s="1"/>
  <c r="AE36" i="259"/>
  <c r="AF36" i="259" s="1"/>
  <c r="AG36" i="259" s="1"/>
  <c r="AH36" i="259" s="1"/>
  <c r="AI36" i="259" s="1"/>
  <c r="AJ36" i="259" s="1"/>
  <c r="AK36" i="259" s="1"/>
  <c r="AL36" i="259" s="1"/>
  <c r="AD36" i="259"/>
  <c r="AK61" i="259"/>
  <c r="AL61" i="259" s="1"/>
  <c r="AJ61" i="259"/>
  <c r="AD38" i="259"/>
  <c r="AE38" i="259" s="1"/>
  <c r="AF38" i="259" s="1"/>
  <c r="AG38" i="259" s="1"/>
  <c r="AH38" i="259" s="1"/>
  <c r="AI38" i="259" s="1"/>
  <c r="AJ38" i="259" s="1"/>
  <c r="AK38" i="259" s="1"/>
  <c r="AL38" i="259" s="1"/>
  <c r="AB409" i="43"/>
  <c r="AA409" i="43"/>
  <c r="Z409" i="43"/>
  <c r="Y409" i="43"/>
  <c r="X409" i="43"/>
  <c r="W409" i="43"/>
  <c r="V409" i="43"/>
  <c r="U409" i="43"/>
  <c r="T409" i="43"/>
  <c r="AC409" i="43"/>
  <c r="AH314" i="43"/>
  <c r="AI314" i="43" s="1"/>
  <c r="AJ314" i="43" s="1"/>
  <c r="AK314" i="43" s="1"/>
  <c r="AH279" i="43"/>
  <c r="AI279" i="43" s="1"/>
  <c r="AJ279" i="43" s="1"/>
  <c r="AK279" i="43" s="1"/>
  <c r="AL279" i="43" s="1"/>
  <c r="AM279" i="43" s="1"/>
  <c r="AN279" i="43" s="1"/>
  <c r="AD282" i="259"/>
  <c r="AE282" i="259" s="1"/>
  <c r="AF282" i="259" s="1"/>
  <c r="AG282" i="259" s="1"/>
  <c r="AH282" i="259" s="1"/>
  <c r="AI282" i="259" s="1"/>
  <c r="AJ282" i="259" s="1"/>
  <c r="AK282" i="259" s="1"/>
  <c r="AL282" i="259" s="1"/>
  <c r="AJ72" i="259"/>
  <c r="AK72" i="259" s="1"/>
  <c r="AL72" i="259" s="1"/>
  <c r="AD56" i="259"/>
  <c r="AE56" i="259" s="1"/>
  <c r="AF56" i="259" s="1"/>
  <c r="AG56" i="259" s="1"/>
  <c r="AH56" i="259" s="1"/>
  <c r="AI56" i="259" s="1"/>
  <c r="AJ56" i="259" s="1"/>
  <c r="AK56" i="259" s="1"/>
  <c r="AL56" i="259" s="1"/>
  <c r="AB219" i="259"/>
  <c r="AB19" i="259"/>
  <c r="AA19" i="259"/>
  <c r="AB234" i="259"/>
  <c r="AB233" i="259"/>
  <c r="AB235" i="259" s="1"/>
  <c r="AB228" i="259"/>
  <c r="AB227" i="259"/>
  <c r="AB229" i="259" s="1"/>
  <c r="AB315" i="259"/>
  <c r="AB314" i="259"/>
  <c r="AB311" i="259"/>
  <c r="AB297" i="259"/>
  <c r="AB295" i="259"/>
  <c r="AB288" i="259"/>
  <c r="AB289" i="259" s="1"/>
  <c r="AB290" i="259" s="1"/>
  <c r="AB287" i="259"/>
  <c r="AB284" i="259"/>
  <c r="AB285" i="259" s="1"/>
  <c r="AB283" i="259"/>
  <c r="AB280" i="259"/>
  <c r="AB279" i="259"/>
  <c r="AD275" i="259"/>
  <c r="AB162" i="259"/>
  <c r="AB157" i="259"/>
  <c r="AB307" i="259"/>
  <c r="AB304" i="259"/>
  <c r="AB302" i="259"/>
  <c r="AB301" i="259"/>
  <c r="AB271" i="259"/>
  <c r="AB321" i="259"/>
  <c r="AB148" i="259"/>
  <c r="AB212" i="259" s="1"/>
  <c r="AB118" i="259"/>
  <c r="AB202" i="259"/>
  <c r="AB200" i="259"/>
  <c r="AB189" i="259"/>
  <c r="AB206" i="259" s="1"/>
  <c r="AB185" i="259"/>
  <c r="AB178" i="259"/>
  <c r="AB208" i="259" s="1"/>
  <c r="AB262" i="259"/>
  <c r="AB264" i="259" s="1"/>
  <c r="AB265" i="259" s="1"/>
  <c r="AB67" i="259"/>
  <c r="AB60" i="259"/>
  <c r="AB56" i="259"/>
  <c r="AB97" i="259"/>
  <c r="AB99" i="259" s="1"/>
  <c r="AB90" i="259"/>
  <c r="AB88" i="259"/>
  <c r="AB93" i="259" s="1"/>
  <c r="AB24" i="259"/>
  <c r="AB23" i="259" s="1"/>
  <c r="AB247" i="259"/>
  <c r="AB143" i="259" s="1"/>
  <c r="AB403" i="43"/>
  <c r="AA403" i="43"/>
  <c r="Z403" i="43"/>
  <c r="Y403" i="43"/>
  <c r="X403" i="43"/>
  <c r="W403" i="43"/>
  <c r="V403" i="43"/>
  <c r="U403" i="43"/>
  <c r="T403" i="43"/>
  <c r="AC403" i="43"/>
  <c r="AB390" i="43"/>
  <c r="AC390" i="43"/>
  <c r="AB384" i="43"/>
  <c r="AA384" i="43"/>
  <c r="Z384" i="43"/>
  <c r="Y384" i="43"/>
  <c r="X384" i="43"/>
  <c r="W384" i="43"/>
  <c r="V384" i="43"/>
  <c r="U384" i="43"/>
  <c r="T384" i="43"/>
  <c r="AC384" i="43"/>
  <c r="AB360" i="43"/>
  <c r="AA360" i="43"/>
  <c r="Z360" i="43"/>
  <c r="Y360" i="43"/>
  <c r="X360" i="43"/>
  <c r="W360" i="43"/>
  <c r="V360" i="43"/>
  <c r="U360" i="43"/>
  <c r="T360" i="43"/>
  <c r="AC360" i="43"/>
  <c r="AA594" i="43"/>
  <c r="X593" i="43"/>
  <c r="W593" i="43"/>
  <c r="V593" i="43"/>
  <c r="U593" i="43"/>
  <c r="T593" i="43"/>
  <c r="S593" i="43"/>
  <c r="R593" i="43"/>
  <c r="R588" i="43"/>
  <c r="S588" i="43"/>
  <c r="T588" i="43"/>
  <c r="U588" i="43"/>
  <c r="V588" i="43"/>
  <c r="W588" i="43"/>
  <c r="X588" i="43"/>
  <c r="Y588" i="43"/>
  <c r="Z588" i="43"/>
  <c r="AA588" i="43"/>
  <c r="AB588" i="43"/>
  <c r="AC588" i="43"/>
  <c r="R587" i="43"/>
  <c r="S587" i="43"/>
  <c r="T587" i="43"/>
  <c r="U587" i="43"/>
  <c r="V587" i="43"/>
  <c r="W587" i="43"/>
  <c r="X587" i="43"/>
  <c r="Y587" i="43"/>
  <c r="Z587" i="43"/>
  <c r="AA587" i="43"/>
  <c r="AB587" i="43"/>
  <c r="AC587" i="43"/>
  <c r="AB119" i="259" l="1"/>
  <c r="AB246" i="259"/>
  <c r="AB249" i="259" s="1"/>
  <c r="AB308" i="259"/>
  <c r="AL314" i="43"/>
  <c r="AM314" i="43" s="1"/>
  <c r="AN314" i="43" s="1"/>
  <c r="AB240" i="259"/>
  <c r="AB313" i="259"/>
  <c r="AB291" i="259"/>
  <c r="AB98" i="259"/>
  <c r="AB91" i="259"/>
  <c r="AB92" i="259"/>
  <c r="AB89" i="259"/>
  <c r="X366" i="43"/>
  <c r="AB366" i="43"/>
  <c r="V366" i="43"/>
  <c r="Z366" i="43"/>
  <c r="AC366" i="43"/>
  <c r="W366" i="43"/>
  <c r="AA366" i="43"/>
  <c r="U366" i="43"/>
  <c r="Y366" i="43"/>
  <c r="AC555" i="43"/>
  <c r="AC554" i="43"/>
  <c r="U555" i="43"/>
  <c r="T555" i="43"/>
  <c r="S555" i="43"/>
  <c r="R555" i="43"/>
  <c r="V554" i="43"/>
  <c r="U554" i="43"/>
  <c r="T554" i="43"/>
  <c r="S554" i="43"/>
  <c r="AB554" i="43"/>
  <c r="AA554" i="43"/>
  <c r="Z554" i="43"/>
  <c r="Y554" i="43"/>
  <c r="X554" i="43"/>
  <c r="W554" i="43"/>
  <c r="W555" i="43"/>
  <c r="V555" i="43"/>
  <c r="AA555" i="43"/>
  <c r="Z555" i="43"/>
  <c r="Y555" i="43"/>
  <c r="X555" i="43"/>
  <c r="AB555" i="43"/>
  <c r="AB573" i="43"/>
  <c r="AA573" i="43"/>
  <c r="Z573" i="43"/>
  <c r="Y573" i="43"/>
  <c r="X573" i="43"/>
  <c r="W573" i="43"/>
  <c r="V573" i="43"/>
  <c r="U573" i="43"/>
  <c r="T573" i="43"/>
  <c r="S573" i="43"/>
  <c r="R573" i="43"/>
  <c r="AB572" i="43"/>
  <c r="AA572" i="43"/>
  <c r="Z572" i="43"/>
  <c r="Y572" i="43"/>
  <c r="X572" i="43"/>
  <c r="W572" i="43"/>
  <c r="V572" i="43"/>
  <c r="U572" i="43"/>
  <c r="T572" i="43"/>
  <c r="S572" i="43"/>
  <c r="R572" i="43"/>
  <c r="AC573" i="43"/>
  <c r="AC572" i="43"/>
  <c r="AB570" i="43"/>
  <c r="AA570" i="43"/>
  <c r="Z570" i="43"/>
  <c r="Y570" i="43"/>
  <c r="X570" i="43"/>
  <c r="W570" i="43"/>
  <c r="V570" i="43"/>
  <c r="U570" i="43"/>
  <c r="T570" i="43"/>
  <c r="S570" i="43"/>
  <c r="R570" i="43"/>
  <c r="AC570" i="43"/>
  <c r="R582" i="43"/>
  <c r="S582" i="43"/>
  <c r="T582" i="43"/>
  <c r="AB571" i="43"/>
  <c r="AA571" i="43"/>
  <c r="Z571" i="43"/>
  <c r="Y571" i="43"/>
  <c r="X571" i="43"/>
  <c r="W571" i="43"/>
  <c r="V571" i="43"/>
  <c r="U571" i="43"/>
  <c r="T571" i="43"/>
  <c r="S571" i="43"/>
  <c r="R571" i="43"/>
  <c r="AB567" i="43"/>
  <c r="AA567" i="43"/>
  <c r="Z567" i="43"/>
  <c r="Y567" i="43"/>
  <c r="X567" i="43"/>
  <c r="W567" i="43"/>
  <c r="V567" i="43"/>
  <c r="U567" i="43"/>
  <c r="T567" i="43"/>
  <c r="S567" i="43"/>
  <c r="R567" i="43"/>
  <c r="W578" i="43"/>
  <c r="W564" i="43" s="1"/>
  <c r="W574" i="43" s="1"/>
  <c r="V578" i="43"/>
  <c r="V564" i="43" s="1"/>
  <c r="V574" i="43" s="1"/>
  <c r="U578" i="43"/>
  <c r="U564" i="43" s="1"/>
  <c r="U574" i="43" s="1"/>
  <c r="T578" i="43"/>
  <c r="T564" i="43" s="1"/>
  <c r="T574" i="43" s="1"/>
  <c r="S578" i="43"/>
  <c r="S564" i="43" s="1"/>
  <c r="S574" i="43" s="1"/>
  <c r="R578" i="43"/>
  <c r="R564" i="43" s="1"/>
  <c r="R574" i="43" s="1"/>
  <c r="W560" i="43"/>
  <c r="W568" i="43" s="1"/>
  <c r="W372" i="43" s="1"/>
  <c r="V560" i="43"/>
  <c r="V568" i="43" s="1"/>
  <c r="V372" i="43" s="1"/>
  <c r="U560" i="43"/>
  <c r="U568" i="43" s="1"/>
  <c r="U372" i="43" s="1"/>
  <c r="T560" i="43"/>
  <c r="T568" i="43" s="1"/>
  <c r="T372" i="43" s="1"/>
  <c r="S560" i="43"/>
  <c r="S568" i="43" s="1"/>
  <c r="R560" i="43"/>
  <c r="R568" i="43" s="1"/>
  <c r="AB583" i="43"/>
  <c r="AB581" i="43" s="1"/>
  <c r="AA583" i="43"/>
  <c r="AA581" i="43" s="1"/>
  <c r="Z583" i="43"/>
  <c r="Z581" i="43" s="1"/>
  <c r="Y583" i="43"/>
  <c r="Y581" i="43" s="1"/>
  <c r="X583" i="43"/>
  <c r="X581" i="43" s="1"/>
  <c r="W583" i="43"/>
  <c r="W581" i="43" s="1"/>
  <c r="V583" i="43"/>
  <c r="V581" i="43" s="1"/>
  <c r="U583" i="43"/>
  <c r="U581" i="43" s="1"/>
  <c r="T583" i="43"/>
  <c r="S583" i="43"/>
  <c r="R583" i="43"/>
  <c r="AC583" i="43"/>
  <c r="AC581" i="43" s="1"/>
  <c r="AC578" i="43"/>
  <c r="AC564" i="43" s="1"/>
  <c r="AC574" i="43" s="1"/>
  <c r="AB578" i="43"/>
  <c r="AB564" i="43" s="1"/>
  <c r="AB574" i="43" s="1"/>
  <c r="AA578" i="43"/>
  <c r="AA564" i="43" s="1"/>
  <c r="AA574" i="43" s="1"/>
  <c r="Z578" i="43"/>
  <c r="Z564" i="43" s="1"/>
  <c r="Z574" i="43" s="1"/>
  <c r="Y578" i="43"/>
  <c r="Y564" i="43" s="1"/>
  <c r="Y574" i="43" s="1"/>
  <c r="X578" i="43"/>
  <c r="X564" i="43" s="1"/>
  <c r="X574" i="43" s="1"/>
  <c r="AD33" i="259"/>
  <c r="AE33" i="259" s="1"/>
  <c r="AF33" i="259" s="1"/>
  <c r="AG33" i="259" s="1"/>
  <c r="AH33" i="259" s="1"/>
  <c r="AI33" i="259" s="1"/>
  <c r="AJ33" i="259" s="1"/>
  <c r="AK33" i="259" s="1"/>
  <c r="AL33" i="259" s="1"/>
  <c r="AD29" i="259"/>
  <c r="AE29" i="259" s="1"/>
  <c r="AF29" i="259" s="1"/>
  <c r="AG29" i="259" s="1"/>
  <c r="AH29" i="259" s="1"/>
  <c r="AI29" i="259" s="1"/>
  <c r="AJ29" i="259" s="1"/>
  <c r="AK29" i="259" s="1"/>
  <c r="AL29" i="259" s="1"/>
  <c r="AA28" i="259"/>
  <c r="Z28" i="259"/>
  <c r="Y28" i="259"/>
  <c r="X28" i="259"/>
  <c r="W28" i="259"/>
  <c r="V28" i="259"/>
  <c r="U28" i="259"/>
  <c r="T28" i="259"/>
  <c r="S28" i="259"/>
  <c r="R28" i="259"/>
  <c r="Q28" i="259"/>
  <c r="P28" i="259"/>
  <c r="O28" i="259"/>
  <c r="N28" i="259"/>
  <c r="M28" i="259"/>
  <c r="L28" i="259"/>
  <c r="K28" i="259"/>
  <c r="J28" i="259"/>
  <c r="I28" i="259"/>
  <c r="H28" i="259"/>
  <c r="G28" i="259"/>
  <c r="AA64" i="259"/>
  <c r="AA65" i="259"/>
  <c r="AA63" i="259"/>
  <c r="Z63" i="259" s="1"/>
  <c r="Y63" i="259" s="1"/>
  <c r="X63" i="259" s="1"/>
  <c r="W63" i="259" s="1"/>
  <c r="V63" i="259" s="1"/>
  <c r="U63" i="259" s="1"/>
  <c r="T63" i="259" s="1"/>
  <c r="S63" i="259" s="1"/>
  <c r="R63" i="259" s="1"/>
  <c r="Q63" i="259" s="1"/>
  <c r="P63" i="259" s="1"/>
  <c r="O63" i="259" s="1"/>
  <c r="N63" i="259" s="1"/>
  <c r="M63" i="259" s="1"/>
  <c r="L63" i="259" s="1"/>
  <c r="W361" i="43"/>
  <c r="X608" i="43"/>
  <c r="X609" i="43" s="1"/>
  <c r="X603" i="43"/>
  <c r="X604" i="43" s="1"/>
  <c r="X642" i="43"/>
  <c r="X622" i="43" s="1"/>
  <c r="X639" i="43"/>
  <c r="X623" i="43" s="1"/>
  <c r="Y608" i="43"/>
  <c r="Y609" i="43" s="1"/>
  <c r="Y603" i="43"/>
  <c r="Y604" i="43" s="1"/>
  <c r="Z603" i="43"/>
  <c r="Z604" i="43" s="1"/>
  <c r="Z608" i="43"/>
  <c r="Z617" i="43" s="1"/>
  <c r="X620" i="43"/>
  <c r="X618" i="43"/>
  <c r="Z642" i="43"/>
  <c r="Z622" i="43" s="1"/>
  <c r="Y642" i="43"/>
  <c r="Y622" i="43" s="1"/>
  <c r="Y620" i="43"/>
  <c r="Z620" i="43"/>
  <c r="AA620" i="43"/>
  <c r="AB620" i="43"/>
  <c r="AC620" i="43"/>
  <c r="Y618" i="43"/>
  <c r="Z618" i="43"/>
  <c r="AA618" i="43"/>
  <c r="AB618" i="43"/>
  <c r="AC618" i="43"/>
  <c r="AA621" i="43"/>
  <c r="AB621" i="43"/>
  <c r="AC621" i="43"/>
  <c r="Z639" i="43"/>
  <c r="Z623" i="43" s="1"/>
  <c r="Y639" i="43"/>
  <c r="Y623" i="43" s="1"/>
  <c r="AB75" i="259"/>
  <c r="Y151" i="43"/>
  <c r="X151" i="43"/>
  <c r="AD306" i="259"/>
  <c r="AE306" i="259" s="1"/>
  <c r="AD291" i="259"/>
  <c r="AE291" i="259" s="1"/>
  <c r="AF291" i="259" s="1"/>
  <c r="AG291" i="259" s="1"/>
  <c r="AH291" i="259" s="1"/>
  <c r="AI291" i="259" s="1"/>
  <c r="AJ291" i="259" s="1"/>
  <c r="AK291" i="259" s="1"/>
  <c r="AL291" i="259" s="1"/>
  <c r="AD273" i="259"/>
  <c r="AE273" i="259" s="1"/>
  <c r="AF273" i="259" s="1"/>
  <c r="AG273" i="259" s="1"/>
  <c r="AH273" i="259" s="1"/>
  <c r="AI273" i="259" s="1"/>
  <c r="AJ273" i="259" s="1"/>
  <c r="AK273" i="259" s="1"/>
  <c r="AL273" i="259" s="1"/>
  <c r="AE275" i="259"/>
  <c r="AF275" i="259" s="1"/>
  <c r="AG275" i="259" s="1"/>
  <c r="AH275" i="259" s="1"/>
  <c r="AI275" i="259" s="1"/>
  <c r="AJ275" i="259" s="1"/>
  <c r="AK275" i="259" s="1"/>
  <c r="AL275" i="259" s="1"/>
  <c r="AG61" i="259"/>
  <c r="AH61" i="259" s="1"/>
  <c r="AC221" i="259"/>
  <c r="AA315" i="259"/>
  <c r="AA314" i="259"/>
  <c r="AA313" i="259" s="1"/>
  <c r="AB310" i="259" s="1"/>
  <c r="AA311" i="259"/>
  <c r="AA297" i="259"/>
  <c r="AB293" i="259" s="1"/>
  <c r="AB296" i="259" s="1"/>
  <c r="AA295" i="259"/>
  <c r="AA288" i="259"/>
  <c r="AA287" i="259"/>
  <c r="AA284" i="259"/>
  <c r="AA280" i="259"/>
  <c r="AB277" i="259" s="1"/>
  <c r="AB278" i="259" s="1"/>
  <c r="AA279" i="259"/>
  <c r="AA275" i="259"/>
  <c r="AA271" i="259"/>
  <c r="AB267" i="259" s="1"/>
  <c r="AA268" i="259"/>
  <c r="AA262" i="259"/>
  <c r="AA264" i="259" s="1"/>
  <c r="AA234" i="259"/>
  <c r="AA233" i="259"/>
  <c r="AA228" i="259"/>
  <c r="AA227" i="259"/>
  <c r="AA219" i="259"/>
  <c r="AD209" i="259"/>
  <c r="AE209" i="259" s="1"/>
  <c r="AF209" i="259" s="1"/>
  <c r="AG209" i="259" s="1"/>
  <c r="AH209" i="259" s="1"/>
  <c r="AI209" i="259" s="1"/>
  <c r="AJ209" i="259" s="1"/>
  <c r="AK209" i="259" s="1"/>
  <c r="AL209" i="259" s="1"/>
  <c r="AA198" i="259"/>
  <c r="AA202" i="259"/>
  <c r="AA200" i="259"/>
  <c r="AA189" i="259"/>
  <c r="AA185" i="259"/>
  <c r="AA178" i="259"/>
  <c r="AA162" i="259"/>
  <c r="AA157" i="259"/>
  <c r="AA302" i="259"/>
  <c r="AA301" i="259"/>
  <c r="AA148" i="259"/>
  <c r="AA143" i="259"/>
  <c r="AA119" i="259"/>
  <c r="Z119" i="259"/>
  <c r="AA97" i="259"/>
  <c r="AA99" i="259" s="1"/>
  <c r="AA88" i="259"/>
  <c r="AA92" i="259" s="1"/>
  <c r="AA67" i="259"/>
  <c r="AA60" i="259"/>
  <c r="AA56" i="259"/>
  <c r="AA75" i="259" s="1"/>
  <c r="AA23" i="259"/>
  <c r="AA118" i="259" s="1"/>
  <c r="AA246" i="259"/>
  <c r="AA249" i="259" s="1"/>
  <c r="AA321" i="259"/>
  <c r="AD398" i="43"/>
  <c r="AD399" i="43" s="1"/>
  <c r="AC398" i="43"/>
  <c r="AC399" i="43" s="1"/>
  <c r="AB398" i="43"/>
  <c r="AB399" i="43" s="1"/>
  <c r="AA398" i="43"/>
  <c r="AA399" i="43" s="1"/>
  <c r="Z398" i="43"/>
  <c r="Z399" i="43" s="1"/>
  <c r="Y398" i="43"/>
  <c r="Y399" i="43" s="1"/>
  <c r="X398" i="43"/>
  <c r="X399" i="43" s="1"/>
  <c r="AB64" i="259" l="1"/>
  <c r="Z64" i="259"/>
  <c r="Y64" i="259" s="1"/>
  <c r="X64" i="259" s="1"/>
  <c r="W64" i="259" s="1"/>
  <c r="V64" i="259" s="1"/>
  <c r="U64" i="259" s="1"/>
  <c r="T64" i="259" s="1"/>
  <c r="S64" i="259" s="1"/>
  <c r="R64" i="259" s="1"/>
  <c r="Q64" i="259" s="1"/>
  <c r="P64" i="259" s="1"/>
  <c r="O64" i="259" s="1"/>
  <c r="N64" i="259" s="1"/>
  <c r="M64" i="259" s="1"/>
  <c r="L64" i="259" s="1"/>
  <c r="AA323" i="259"/>
  <c r="AB323" i="259" s="1"/>
  <c r="AB298" i="259"/>
  <c r="AB281" i="259"/>
  <c r="AB65" i="259"/>
  <c r="Z65" i="259"/>
  <c r="Y65" i="259" s="1"/>
  <c r="X65" i="259" s="1"/>
  <c r="W65" i="259" s="1"/>
  <c r="V65" i="259" s="1"/>
  <c r="U65" i="259" s="1"/>
  <c r="T65" i="259" s="1"/>
  <c r="S65" i="259" s="1"/>
  <c r="R65" i="259" s="1"/>
  <c r="Q65" i="259" s="1"/>
  <c r="P65" i="259" s="1"/>
  <c r="O65" i="259" s="1"/>
  <c r="N65" i="259" s="1"/>
  <c r="M65" i="259" s="1"/>
  <c r="L65" i="259" s="1"/>
  <c r="Z410" i="43"/>
  <c r="AB312" i="259"/>
  <c r="AB317" i="259"/>
  <c r="AC317" i="259" s="1"/>
  <c r="AD317" i="259" s="1"/>
  <c r="AE317" i="259" s="1"/>
  <c r="AF317" i="259" s="1"/>
  <c r="AG317" i="259" s="1"/>
  <c r="AH317" i="259" s="1"/>
  <c r="AI317" i="259" s="1"/>
  <c r="AJ317" i="259" s="1"/>
  <c r="AK317" i="259" s="1"/>
  <c r="AL317" i="259" s="1"/>
  <c r="AB316" i="259"/>
  <c r="AB318" i="259"/>
  <c r="Z655" i="43"/>
  <c r="Z404" i="43"/>
  <c r="AB556" i="43"/>
  <c r="Y556" i="43"/>
  <c r="X556" i="43"/>
  <c r="T556" i="43"/>
  <c r="AC556" i="43"/>
  <c r="U556" i="43"/>
  <c r="S556" i="43"/>
  <c r="Z556" i="43"/>
  <c r="AA556" i="43"/>
  <c r="W556" i="43"/>
  <c r="V556" i="43"/>
  <c r="T581" i="43"/>
  <c r="Z614" i="43"/>
  <c r="Z632" i="43"/>
  <c r="Z629" i="43"/>
  <c r="S581" i="43"/>
  <c r="Z631" i="43"/>
  <c r="Z633" i="43"/>
  <c r="R581" i="43"/>
  <c r="T565" i="43"/>
  <c r="T569" i="43" s="1"/>
  <c r="T378" i="43" s="1"/>
  <c r="U565" i="43"/>
  <c r="U569" i="43" s="1"/>
  <c r="U378" i="43" s="1"/>
  <c r="R565" i="43"/>
  <c r="R569" i="43" s="1"/>
  <c r="V565" i="43"/>
  <c r="V569" i="43" s="1"/>
  <c r="V378" i="43" s="1"/>
  <c r="S565" i="43"/>
  <c r="S569" i="43" s="1"/>
  <c r="W565" i="43"/>
  <c r="W569" i="43" s="1"/>
  <c r="W378" i="43" s="1"/>
  <c r="Z593" i="43"/>
  <c r="Z560" i="43"/>
  <c r="Z568" i="43" s="1"/>
  <c r="Z372" i="43" s="1"/>
  <c r="AA593" i="43"/>
  <c r="AA560" i="43"/>
  <c r="AA568" i="43" s="1"/>
  <c r="AA372" i="43" s="1"/>
  <c r="AB63" i="259"/>
  <c r="AA69" i="259"/>
  <c r="AA265" i="259"/>
  <c r="Z361" i="43"/>
  <c r="Z385" i="43" s="1"/>
  <c r="Y617" i="43"/>
  <c r="Y404" i="43" s="1"/>
  <c r="X617" i="43"/>
  <c r="X404" i="43" s="1"/>
  <c r="Z630" i="43"/>
  <c r="Z609" i="43"/>
  <c r="Z619" i="43"/>
  <c r="Z627" i="43" s="1"/>
  <c r="Z373" i="43" s="1"/>
  <c r="AA318" i="259"/>
  <c r="AA206" i="259"/>
  <c r="AA208" i="259"/>
  <c r="AB211" i="259" s="1"/>
  <c r="AB213" i="259" s="1"/>
  <c r="AA269" i="259"/>
  <c r="AA235" i="259"/>
  <c r="AB236" i="259" s="1"/>
  <c r="AA317" i="259"/>
  <c r="AA324" i="259"/>
  <c r="AA14" i="259"/>
  <c r="AA33" i="259" s="1"/>
  <c r="AA43" i="259" s="1"/>
  <c r="AA283" i="259"/>
  <c r="AA289" i="259"/>
  <c r="AA290" i="259" s="1"/>
  <c r="AA229" i="259"/>
  <c r="AB230" i="259" s="1"/>
  <c r="AB231" i="259" s="1"/>
  <c r="AA273" i="259"/>
  <c r="AA285" i="259"/>
  <c r="AF306" i="259"/>
  <c r="AA91" i="259"/>
  <c r="AA93" i="259"/>
  <c r="AA89" i="259"/>
  <c r="AA90" i="259"/>
  <c r="AA98" i="259"/>
  <c r="AA12" i="259"/>
  <c r="AA13" i="259" s="1"/>
  <c r="AA29" i="259" s="1"/>
  <c r="AB15" i="259" l="1"/>
  <c r="AB34" i="259" s="1"/>
  <c r="AB14" i="259"/>
  <c r="AB12" i="259"/>
  <c r="AB13" i="259" s="1"/>
  <c r="AB29" i="259" s="1"/>
  <c r="AB324" i="259"/>
  <c r="AB17" i="259" s="1"/>
  <c r="AB269" i="259"/>
  <c r="AB272" i="259" s="1"/>
  <c r="AC65" i="259"/>
  <c r="AB71" i="259"/>
  <c r="AB237" i="259"/>
  <c r="AB238" i="259"/>
  <c r="AC63" i="259"/>
  <c r="AB69" i="259"/>
  <c r="AB70" i="259"/>
  <c r="AC64" i="259"/>
  <c r="AD64" i="259" s="1"/>
  <c r="AE64" i="259" s="1"/>
  <c r="AA15" i="259"/>
  <c r="AA34" i="259" s="1"/>
  <c r="X410" i="43"/>
  <c r="Y410" i="43"/>
  <c r="X631" i="43"/>
  <c r="X629" i="43"/>
  <c r="Y361" i="43"/>
  <c r="Y385" i="43" s="1"/>
  <c r="Y633" i="43"/>
  <c r="Y631" i="43"/>
  <c r="Y629" i="43"/>
  <c r="X632" i="43"/>
  <c r="X633" i="43"/>
  <c r="Y632" i="43"/>
  <c r="AC594" i="43"/>
  <c r="AC567" i="43"/>
  <c r="AC593" i="43"/>
  <c r="AC560" i="43"/>
  <c r="X560" i="43"/>
  <c r="X568" i="43" s="1"/>
  <c r="X372" i="43" s="1"/>
  <c r="Y593" i="43"/>
  <c r="Y560" i="43"/>
  <c r="Y568" i="43" s="1"/>
  <c r="Y372" i="43" s="1"/>
  <c r="AC571" i="43"/>
  <c r="AA565" i="43"/>
  <c r="AA569" i="43" s="1"/>
  <c r="AA378" i="43" s="1"/>
  <c r="Z565" i="43"/>
  <c r="Z569" i="43" s="1"/>
  <c r="Z378" i="43" s="1"/>
  <c r="AB593" i="43"/>
  <c r="AB560" i="43"/>
  <c r="AB568" i="43" s="1"/>
  <c r="AB372" i="43" s="1"/>
  <c r="AB594" i="43"/>
  <c r="Z69" i="259"/>
  <c r="AA291" i="259"/>
  <c r="Z626" i="43"/>
  <c r="X626" i="43"/>
  <c r="X361" i="43"/>
  <c r="X367" i="43" s="1"/>
  <c r="X630" i="43"/>
  <c r="Y630" i="43"/>
  <c r="Y655" i="43"/>
  <c r="X619" i="43"/>
  <c r="X627" i="43" s="1"/>
  <c r="X373" i="43" s="1"/>
  <c r="Y626" i="43"/>
  <c r="Y619" i="43"/>
  <c r="Z624" i="43"/>
  <c r="Z628" i="43" s="1"/>
  <c r="Z379" i="43" s="1"/>
  <c r="AG306" i="259"/>
  <c r="E697" i="43"/>
  <c r="E696" i="43"/>
  <c r="E695" i="43"/>
  <c r="E694" i="43"/>
  <c r="AR689" i="43"/>
  <c r="AQ689" i="43"/>
  <c r="AP689" i="43"/>
  <c r="AR687" i="43"/>
  <c r="AQ687" i="43"/>
  <c r="AP687" i="43"/>
  <c r="E685" i="43"/>
  <c r="E693" i="43" s="1"/>
  <c r="E684" i="43"/>
  <c r="E692" i="43" s="1"/>
  <c r="E683" i="43"/>
  <c r="E691" i="43" s="1"/>
  <c r="AR680" i="43"/>
  <c r="AR679" i="43"/>
  <c r="AR676" i="43"/>
  <c r="AR675" i="43"/>
  <c r="AR674" i="43"/>
  <c r="AR673" i="43"/>
  <c r="AR670" i="43"/>
  <c r="AR669" i="43"/>
  <c r="AR668" i="43"/>
  <c r="AR667" i="43"/>
  <c r="AR666" i="43"/>
  <c r="AR665" i="43"/>
  <c r="AR664" i="43"/>
  <c r="AR663" i="43"/>
  <c r="AG681" i="43"/>
  <c r="AG685" i="43" s="1"/>
  <c r="AF681" i="43"/>
  <c r="AF685" i="43" s="1"/>
  <c r="AE681" i="43"/>
  <c r="AE685" i="43" s="1"/>
  <c r="AD681" i="43"/>
  <c r="AD685" i="43" s="1"/>
  <c r="AC681" i="43"/>
  <c r="AC685" i="43" s="1"/>
  <c r="AB681" i="43"/>
  <c r="AB685" i="43" s="1"/>
  <c r="AA681" i="43"/>
  <c r="AA685" i="43" s="1"/>
  <c r="Z681" i="43"/>
  <c r="Z685" i="43" s="1"/>
  <c r="Y681" i="43"/>
  <c r="Y685" i="43" s="1"/>
  <c r="X681" i="43"/>
  <c r="X685" i="43" s="1"/>
  <c r="W681" i="43"/>
  <c r="W685" i="43" s="1"/>
  <c r="AQ680" i="43"/>
  <c r="AP680" i="43"/>
  <c r="AQ679" i="43"/>
  <c r="AP679" i="43"/>
  <c r="AQ676" i="43"/>
  <c r="AP676" i="43"/>
  <c r="AQ675" i="43"/>
  <c r="AP675" i="43"/>
  <c r="AQ674" i="43"/>
  <c r="AP674" i="43"/>
  <c r="AQ673" i="43"/>
  <c r="AP673" i="43"/>
  <c r="AQ670" i="43"/>
  <c r="AP670" i="43"/>
  <c r="AQ669" i="43"/>
  <c r="AP669" i="43"/>
  <c r="AQ668" i="43"/>
  <c r="AP668" i="43"/>
  <c r="AQ667" i="43"/>
  <c r="AP667" i="43"/>
  <c r="AQ666" i="43"/>
  <c r="AP666" i="43"/>
  <c r="AQ665" i="43"/>
  <c r="AP665" i="43"/>
  <c r="AQ664" i="43"/>
  <c r="AP664" i="43"/>
  <c r="AQ663" i="43"/>
  <c r="AP663" i="43"/>
  <c r="AF677" i="43"/>
  <c r="AF684" i="43" s="1"/>
  <c r="AE677" i="43"/>
  <c r="AE684" i="43" s="1"/>
  <c r="AD677" i="43"/>
  <c r="AD684" i="43" s="1"/>
  <c r="AC677" i="43"/>
  <c r="AC684" i="43" s="1"/>
  <c r="AB677" i="43"/>
  <c r="AA677" i="43"/>
  <c r="AA684" i="43" s="1"/>
  <c r="Z677" i="43"/>
  <c r="Z684" i="43" s="1"/>
  <c r="Y677" i="43"/>
  <c r="Y684" i="43" s="1"/>
  <c r="X677" i="43"/>
  <c r="X684" i="43" s="1"/>
  <c r="W677" i="43"/>
  <c r="W684" i="43" s="1"/>
  <c r="AG677" i="43"/>
  <c r="AG684" i="43" s="1"/>
  <c r="AG671" i="43"/>
  <c r="AG683" i="43" s="1"/>
  <c r="AF671" i="43"/>
  <c r="AE671" i="43"/>
  <c r="AE683" i="43" s="1"/>
  <c r="AD671" i="43"/>
  <c r="AD683" i="43" s="1"/>
  <c r="AC671" i="43"/>
  <c r="AC683" i="43" s="1"/>
  <c r="AB671" i="43"/>
  <c r="AA671" i="43"/>
  <c r="AA683" i="43" s="1"/>
  <c r="Z671" i="43"/>
  <c r="Z683" i="43" s="1"/>
  <c r="Y671" i="43"/>
  <c r="Y683" i="43" s="1"/>
  <c r="X671" i="43"/>
  <c r="W671" i="43"/>
  <c r="W683" i="43" s="1"/>
  <c r="AC642" i="43"/>
  <c r="AC622" i="43" s="1"/>
  <c r="AB642" i="43"/>
  <c r="AB622" i="43" s="1"/>
  <c r="AA642" i="43"/>
  <c r="AA622" i="43" s="1"/>
  <c r="AC639" i="43"/>
  <c r="AC623" i="43" s="1"/>
  <c r="AB639" i="43"/>
  <c r="AB623" i="43" s="1"/>
  <c r="AA639" i="43"/>
  <c r="AA623" i="43" s="1"/>
  <c r="AB608" i="43"/>
  <c r="AB617" i="43" s="1"/>
  <c r="AB410" i="43" s="1"/>
  <c r="AA608" i="43"/>
  <c r="AA609" i="43" s="1"/>
  <c r="AC608" i="43"/>
  <c r="AC609" i="43" s="1"/>
  <c r="AC603" i="43"/>
  <c r="AB603" i="43"/>
  <c r="AA603" i="43"/>
  <c r="C4" i="260"/>
  <c r="T10" i="260"/>
  <c r="U10" i="260" s="1"/>
  <c r="V10" i="260"/>
  <c r="R11" i="260"/>
  <c r="C12" i="260" a="1"/>
  <c r="C12" i="260" s="1"/>
  <c r="G12" i="260"/>
  <c r="R12" i="260"/>
  <c r="G13" i="260"/>
  <c r="R13" i="260"/>
  <c r="G14" i="260"/>
  <c r="R14" i="260"/>
  <c r="G15" i="260"/>
  <c r="C25" i="260"/>
  <c r="C29" i="260"/>
  <c r="C33" i="260" s="1"/>
  <c r="J34" i="260"/>
  <c r="J36" i="260" s="1"/>
  <c r="K34" i="260"/>
  <c r="K36" i="260" s="1"/>
  <c r="L34" i="260"/>
  <c r="L36" i="260" s="1"/>
  <c r="L22" i="260" s="1"/>
  <c r="C47" i="260"/>
  <c r="D50" i="260"/>
  <c r="E50" i="260"/>
  <c r="F50" i="260" s="1"/>
  <c r="G50" i="260" s="1"/>
  <c r="H50" i="260" s="1"/>
  <c r="I50" i="260" s="1"/>
  <c r="J50" i="260" s="1"/>
  <c r="K50" i="260" s="1"/>
  <c r="L50" i="260" s="1"/>
  <c r="M50" i="260" s="1"/>
  <c r="C51" i="260"/>
  <c r="S279" i="259"/>
  <c r="AF64" i="259" l="1"/>
  <c r="AE70" i="259"/>
  <c r="AD63" i="259"/>
  <c r="AC69" i="259"/>
  <c r="AD65" i="259"/>
  <c r="AC71" i="259"/>
  <c r="AB33" i="259"/>
  <c r="AB43" i="259" s="1"/>
  <c r="AD70" i="259"/>
  <c r="AC70" i="259"/>
  <c r="AB614" i="43"/>
  <c r="AB404" i="43"/>
  <c r="AB632" i="43"/>
  <c r="AB361" i="43"/>
  <c r="AB631" i="43"/>
  <c r="AB629" i="43"/>
  <c r="AB633" i="43"/>
  <c r="Z367" i="43"/>
  <c r="AC565" i="43"/>
  <c r="AC569" i="43" s="1"/>
  <c r="AC378" i="43" s="1"/>
  <c r="AC568" i="43"/>
  <c r="AC372" i="43" s="1"/>
  <c r="X565" i="43"/>
  <c r="X569" i="43" s="1"/>
  <c r="X378" i="43" s="1"/>
  <c r="AB565" i="43"/>
  <c r="AB569" i="43" s="1"/>
  <c r="AB378" i="43" s="1"/>
  <c r="Y565" i="43"/>
  <c r="Y569" i="43" s="1"/>
  <c r="Y378" i="43" s="1"/>
  <c r="AA71" i="259"/>
  <c r="Y69" i="259"/>
  <c r="AA70" i="259"/>
  <c r="Y367" i="43"/>
  <c r="X624" i="43"/>
  <c r="X628" i="43" s="1"/>
  <c r="X379" i="43" s="1"/>
  <c r="AB656" i="43"/>
  <c r="AB655" i="43"/>
  <c r="Y627" i="43"/>
  <c r="Y373" i="43" s="1"/>
  <c r="Y624" i="43"/>
  <c r="Y628" i="43" s="1"/>
  <c r="Y379" i="43" s="1"/>
  <c r="K22" i="260"/>
  <c r="AH306" i="259"/>
  <c r="AR681" i="43"/>
  <c r="AR684" i="43"/>
  <c r="AA686" i="43"/>
  <c r="AP685" i="43"/>
  <c r="AP677" i="43"/>
  <c r="W686" i="43"/>
  <c r="AR683" i="43"/>
  <c r="AR685" i="43"/>
  <c r="AQ685" i="43"/>
  <c r="AQ677" i="43"/>
  <c r="AQ681" i="43"/>
  <c r="AE686" i="43"/>
  <c r="AP671" i="43"/>
  <c r="AB684" i="43"/>
  <c r="AB609" i="43"/>
  <c r="AP681" i="43"/>
  <c r="X683" i="43"/>
  <c r="AB683" i="43"/>
  <c r="AF683" i="43"/>
  <c r="AF686" i="43" s="1"/>
  <c r="Y686" i="43"/>
  <c r="AC686" i="43"/>
  <c r="Z686" i="43"/>
  <c r="AD686" i="43"/>
  <c r="AG686" i="43"/>
  <c r="AB630" i="43"/>
  <c r="AC617" i="43"/>
  <c r="AC410" i="43" s="1"/>
  <c r="AQ671" i="43"/>
  <c r="AR677" i="43"/>
  <c r="AR671" i="43"/>
  <c r="AA617" i="43"/>
  <c r="AB619" i="43"/>
  <c r="AA604" i="43"/>
  <c r="AB604" i="43"/>
  <c r="AC604" i="43"/>
  <c r="C14" i="260"/>
  <c r="C13" i="260"/>
  <c r="D51" i="260"/>
  <c r="D12" i="260" a="1"/>
  <c r="W10" i="260"/>
  <c r="J22" i="260"/>
  <c r="AN338" i="43"/>
  <c r="AM338" i="43"/>
  <c r="AL338" i="43"/>
  <c r="AK338" i="43"/>
  <c r="AJ338" i="43"/>
  <c r="AI338" i="43"/>
  <c r="AH338" i="43"/>
  <c r="AG338" i="43"/>
  <c r="AF338" i="43"/>
  <c r="AE338" i="43"/>
  <c r="AD338" i="43"/>
  <c r="AC338" i="43"/>
  <c r="AB338" i="43"/>
  <c r="AA338" i="43"/>
  <c r="Z338" i="43"/>
  <c r="Y338" i="43"/>
  <c r="E64" i="43"/>
  <c r="E63" i="43"/>
  <c r="E62" i="43"/>
  <c r="Z67" i="259"/>
  <c r="H3" i="259"/>
  <c r="I3" i="259" s="1"/>
  <c r="I4" i="259" s="1"/>
  <c r="G4" i="259"/>
  <c r="H5" i="259"/>
  <c r="G6" i="259"/>
  <c r="M19" i="259"/>
  <c r="M112" i="259" s="1"/>
  <c r="S19" i="259"/>
  <c r="T19" i="259"/>
  <c r="T112" i="259" s="1"/>
  <c r="Y19" i="259"/>
  <c r="Y112" i="259" s="1"/>
  <c r="K23" i="259"/>
  <c r="K118" i="259" s="1"/>
  <c r="L23" i="259"/>
  <c r="L118" i="259" s="1"/>
  <c r="M23" i="259"/>
  <c r="N23" i="259"/>
  <c r="N118" i="259" s="1"/>
  <c r="O23" i="259"/>
  <c r="O118" i="259" s="1"/>
  <c r="P23" i="259"/>
  <c r="P118" i="259" s="1"/>
  <c r="Q23" i="259"/>
  <c r="Q118" i="259" s="1"/>
  <c r="R23" i="259"/>
  <c r="R118" i="259" s="1"/>
  <c r="S23" i="259"/>
  <c r="S118" i="259" s="1"/>
  <c r="T23" i="259"/>
  <c r="T118" i="259" s="1"/>
  <c r="U23" i="259"/>
  <c r="U118" i="259" s="1"/>
  <c r="V23" i="259"/>
  <c r="V118" i="259" s="1"/>
  <c r="W23" i="259"/>
  <c r="W118" i="259" s="1"/>
  <c r="X23" i="259"/>
  <c r="X118" i="259" s="1"/>
  <c r="Y23" i="259"/>
  <c r="Y118" i="259" s="1"/>
  <c r="Z23" i="259"/>
  <c r="Z118" i="259" s="1"/>
  <c r="G24" i="259"/>
  <c r="H24" i="259"/>
  <c r="H23" i="259" s="1"/>
  <c r="H118" i="259" s="1"/>
  <c r="I24" i="259"/>
  <c r="I23" i="259" s="1"/>
  <c r="I118" i="259" s="1"/>
  <c r="J24" i="259"/>
  <c r="J23" i="259" s="1"/>
  <c r="J118" i="259" s="1"/>
  <c r="D33" i="259"/>
  <c r="D34" i="259"/>
  <c r="D36" i="259"/>
  <c r="D37" i="259"/>
  <c r="L50" i="259"/>
  <c r="L51" i="259"/>
  <c r="L53" i="259"/>
  <c r="M53" i="259"/>
  <c r="N53" i="259"/>
  <c r="O53" i="259"/>
  <c r="P53" i="259"/>
  <c r="Q53" i="259"/>
  <c r="R53" i="259"/>
  <c r="S53" i="259"/>
  <c r="T53" i="259"/>
  <c r="U53" i="259"/>
  <c r="V53" i="259"/>
  <c r="W53" i="259"/>
  <c r="X53" i="259"/>
  <c r="Y53" i="259"/>
  <c r="Z53" i="259"/>
  <c r="P56" i="259"/>
  <c r="P75" i="259" s="1"/>
  <c r="Q56" i="259"/>
  <c r="Q75" i="259" s="1"/>
  <c r="R56" i="259"/>
  <c r="R75" i="259" s="1"/>
  <c r="S56" i="259"/>
  <c r="S75" i="259" s="1"/>
  <c r="T56" i="259"/>
  <c r="T75" i="259" s="1"/>
  <c r="U56" i="259"/>
  <c r="U75" i="259" s="1"/>
  <c r="V56" i="259"/>
  <c r="V75" i="259" s="1"/>
  <c r="W56" i="259"/>
  <c r="W75" i="259" s="1"/>
  <c r="X56" i="259"/>
  <c r="X75" i="259" s="1"/>
  <c r="Y56" i="259"/>
  <c r="Y75" i="259" s="1"/>
  <c r="Z56" i="259"/>
  <c r="Z75" i="259" s="1"/>
  <c r="M57" i="259"/>
  <c r="M50" i="259" s="1"/>
  <c r="M58" i="259"/>
  <c r="L60" i="259"/>
  <c r="M60" i="259"/>
  <c r="N60" i="259"/>
  <c r="O60" i="259"/>
  <c r="P60" i="259"/>
  <c r="P61" i="259" s="1"/>
  <c r="Q60" i="259"/>
  <c r="Q61" i="259" s="1"/>
  <c r="R60" i="259"/>
  <c r="R61" i="259" s="1"/>
  <c r="S60" i="259"/>
  <c r="S61" i="259" s="1"/>
  <c r="T60" i="259"/>
  <c r="T61" i="259" s="1"/>
  <c r="U60" i="259"/>
  <c r="U61" i="259" s="1"/>
  <c r="V60" i="259"/>
  <c r="V61" i="259" s="1"/>
  <c r="W60" i="259"/>
  <c r="X60" i="259"/>
  <c r="Y60" i="259"/>
  <c r="Y61" i="259" s="1"/>
  <c r="Z60" i="259"/>
  <c r="Z61" i="259" s="1"/>
  <c r="L67" i="259"/>
  <c r="L68" i="259" s="1"/>
  <c r="M67" i="259"/>
  <c r="M68" i="259" s="1"/>
  <c r="N67" i="259"/>
  <c r="N68" i="259" s="1"/>
  <c r="O67" i="259"/>
  <c r="O68" i="259" s="1"/>
  <c r="P67" i="259"/>
  <c r="P68" i="259" s="1"/>
  <c r="Q67" i="259"/>
  <c r="R67" i="259"/>
  <c r="R68" i="259" s="1"/>
  <c r="S67" i="259"/>
  <c r="S68" i="259" s="1"/>
  <c r="T67" i="259"/>
  <c r="T68" i="259" s="1"/>
  <c r="U67" i="259"/>
  <c r="U68" i="259" s="1"/>
  <c r="V67" i="259"/>
  <c r="V68" i="259" s="1"/>
  <c r="W67" i="259"/>
  <c r="X67" i="259"/>
  <c r="Y67" i="259"/>
  <c r="Y68" i="259" s="1"/>
  <c r="AG73" i="259"/>
  <c r="AH73" i="259"/>
  <c r="AI73" i="259"/>
  <c r="AJ73" i="259"/>
  <c r="AK73" i="259"/>
  <c r="AL73" i="259"/>
  <c r="K77" i="259"/>
  <c r="L77" i="259"/>
  <c r="M77" i="259"/>
  <c r="N77" i="259"/>
  <c r="O77" i="259"/>
  <c r="P77" i="259"/>
  <c r="Q77" i="259"/>
  <c r="R77" i="259"/>
  <c r="S77" i="259"/>
  <c r="T77" i="259"/>
  <c r="U77" i="259"/>
  <c r="V77" i="259"/>
  <c r="W77" i="259"/>
  <c r="X77" i="259"/>
  <c r="Y77" i="259"/>
  <c r="Z77" i="259"/>
  <c r="H78" i="259"/>
  <c r="I78" i="259"/>
  <c r="J78" i="259"/>
  <c r="K78" i="259"/>
  <c r="L78" i="259"/>
  <c r="M78" i="259"/>
  <c r="N78" i="259"/>
  <c r="O78" i="259"/>
  <c r="P78" i="259"/>
  <c r="Q78" i="259"/>
  <c r="R78" i="259"/>
  <c r="S78" i="259"/>
  <c r="T78" i="259"/>
  <c r="U78" i="259"/>
  <c r="V78" i="259"/>
  <c r="W78" i="259"/>
  <c r="X78" i="259"/>
  <c r="Y78" i="259"/>
  <c r="Z78" i="259"/>
  <c r="N84" i="259"/>
  <c r="K88" i="259"/>
  <c r="L88" i="259"/>
  <c r="M88" i="259"/>
  <c r="N88" i="259"/>
  <c r="O88" i="259"/>
  <c r="P88" i="259"/>
  <c r="Q88" i="259"/>
  <c r="R88" i="259"/>
  <c r="S88" i="259"/>
  <c r="T88" i="259"/>
  <c r="U88" i="259"/>
  <c r="V88" i="259"/>
  <c r="W88" i="259"/>
  <c r="X88" i="259"/>
  <c r="Y88" i="259"/>
  <c r="Z88" i="259"/>
  <c r="K89" i="259"/>
  <c r="L89" i="259"/>
  <c r="M89" i="259"/>
  <c r="N89" i="259"/>
  <c r="O89" i="259"/>
  <c r="P89" i="259"/>
  <c r="Q89" i="259"/>
  <c r="R89" i="259"/>
  <c r="S89" i="259"/>
  <c r="T89" i="259"/>
  <c r="U89" i="259"/>
  <c r="V89" i="259"/>
  <c r="W89" i="259"/>
  <c r="X89" i="259"/>
  <c r="Y89" i="259"/>
  <c r="Z89" i="259"/>
  <c r="K90" i="259"/>
  <c r="L90" i="259"/>
  <c r="M90" i="259"/>
  <c r="N90" i="259"/>
  <c r="O90" i="259"/>
  <c r="P90" i="259"/>
  <c r="Q90" i="259"/>
  <c r="R90" i="259"/>
  <c r="S90" i="259"/>
  <c r="T90" i="259"/>
  <c r="U90" i="259"/>
  <c r="V90" i="259"/>
  <c r="W90" i="259"/>
  <c r="X90" i="259"/>
  <c r="Y90" i="259"/>
  <c r="Z90" i="259"/>
  <c r="K91" i="259"/>
  <c r="L91" i="259"/>
  <c r="M91" i="259"/>
  <c r="N91" i="259"/>
  <c r="O91" i="259"/>
  <c r="P91" i="259"/>
  <c r="Q91" i="259"/>
  <c r="R91" i="259"/>
  <c r="S91" i="259"/>
  <c r="T91" i="259"/>
  <c r="U91" i="259"/>
  <c r="V91" i="259"/>
  <c r="W91" i="259"/>
  <c r="X91" i="259"/>
  <c r="Y91" i="259"/>
  <c r="Z91" i="259"/>
  <c r="K92" i="259"/>
  <c r="L92" i="259"/>
  <c r="M92" i="259"/>
  <c r="N92" i="259"/>
  <c r="O92" i="259"/>
  <c r="P92" i="259"/>
  <c r="Q92" i="259"/>
  <c r="R92" i="259"/>
  <c r="S92" i="259"/>
  <c r="T92" i="259"/>
  <c r="U92" i="259"/>
  <c r="V92" i="259"/>
  <c r="W92" i="259"/>
  <c r="X92" i="259"/>
  <c r="Y92" i="259"/>
  <c r="Z92" i="259"/>
  <c r="K93" i="259"/>
  <c r="L93" i="259"/>
  <c r="M93" i="259"/>
  <c r="N93" i="259"/>
  <c r="O93" i="259"/>
  <c r="P93" i="259"/>
  <c r="Q93" i="259"/>
  <c r="R93" i="259"/>
  <c r="S93" i="259"/>
  <c r="T93" i="259"/>
  <c r="U93" i="259"/>
  <c r="V93" i="259"/>
  <c r="W93" i="259"/>
  <c r="X93" i="259"/>
  <c r="Y93" i="259"/>
  <c r="Z93" i="259"/>
  <c r="K97" i="259"/>
  <c r="L97" i="259"/>
  <c r="L99" i="259" s="1"/>
  <c r="M97" i="259"/>
  <c r="N97" i="259"/>
  <c r="O97" i="259"/>
  <c r="P97" i="259"/>
  <c r="P99" i="259" s="1"/>
  <c r="Q97" i="259"/>
  <c r="R97" i="259"/>
  <c r="R98" i="259" s="1"/>
  <c r="S97" i="259"/>
  <c r="S98" i="259" s="1"/>
  <c r="T97" i="259"/>
  <c r="T99" i="259" s="1"/>
  <c r="U97" i="259"/>
  <c r="V97" i="259"/>
  <c r="V98" i="259" s="1"/>
  <c r="W97" i="259"/>
  <c r="W99" i="259" s="1"/>
  <c r="X97" i="259"/>
  <c r="X98" i="259" s="1"/>
  <c r="Y97" i="259"/>
  <c r="Z97" i="259"/>
  <c r="K98" i="259"/>
  <c r="L98" i="259"/>
  <c r="M98" i="259"/>
  <c r="N98" i="259"/>
  <c r="O98" i="259"/>
  <c r="P98" i="259"/>
  <c r="Q98" i="259"/>
  <c r="U98" i="259"/>
  <c r="W98" i="259"/>
  <c r="Y98" i="259"/>
  <c r="Z98" i="259"/>
  <c r="K99" i="259"/>
  <c r="M99" i="259"/>
  <c r="N99" i="259"/>
  <c r="O99" i="259"/>
  <c r="Q99" i="259"/>
  <c r="S99" i="259"/>
  <c r="U99" i="259"/>
  <c r="Y99" i="259"/>
  <c r="Z99" i="259"/>
  <c r="G104" i="259"/>
  <c r="H104" i="259"/>
  <c r="I104" i="259"/>
  <c r="J104" i="259"/>
  <c r="K104" i="259"/>
  <c r="L104" i="259"/>
  <c r="M104" i="259"/>
  <c r="N104" i="259"/>
  <c r="O104" i="259"/>
  <c r="P104" i="259"/>
  <c r="Q104" i="259"/>
  <c r="R104" i="259"/>
  <c r="S104" i="259"/>
  <c r="T104" i="259"/>
  <c r="U104" i="259"/>
  <c r="V104" i="259"/>
  <c r="W104" i="259"/>
  <c r="X104" i="259"/>
  <c r="Y104" i="259"/>
  <c r="Z104" i="259"/>
  <c r="D107" i="259"/>
  <c r="D108" i="259"/>
  <c r="D109" i="259"/>
  <c r="G112" i="259"/>
  <c r="H112" i="259"/>
  <c r="I112" i="259"/>
  <c r="J112" i="259"/>
  <c r="K112" i="259"/>
  <c r="L112" i="259"/>
  <c r="N112" i="259"/>
  <c r="O112" i="259"/>
  <c r="P112" i="259"/>
  <c r="Q112" i="259"/>
  <c r="R112" i="259"/>
  <c r="S112" i="259"/>
  <c r="U112" i="259"/>
  <c r="V112" i="259"/>
  <c r="W112" i="259"/>
  <c r="X112" i="259"/>
  <c r="Z112" i="259"/>
  <c r="AA112" i="259"/>
  <c r="AB112" i="259"/>
  <c r="AC112" i="259"/>
  <c r="AD112" i="259"/>
  <c r="AE112" i="259"/>
  <c r="AF112" i="259"/>
  <c r="AG112" i="259"/>
  <c r="AH112" i="259"/>
  <c r="AI112" i="259"/>
  <c r="AJ112" i="259"/>
  <c r="AK112" i="259"/>
  <c r="AL112" i="259"/>
  <c r="G114" i="259"/>
  <c r="H114" i="259"/>
  <c r="I114" i="259"/>
  <c r="J114" i="259"/>
  <c r="K114" i="259"/>
  <c r="L114" i="259"/>
  <c r="M114" i="259"/>
  <c r="N114" i="259"/>
  <c r="O114" i="259"/>
  <c r="P114" i="259"/>
  <c r="Q114" i="259"/>
  <c r="R114" i="259"/>
  <c r="S114" i="259"/>
  <c r="T114" i="259"/>
  <c r="U114" i="259"/>
  <c r="V114" i="259"/>
  <c r="W114" i="259"/>
  <c r="X114" i="259"/>
  <c r="Y114" i="259"/>
  <c r="Z114" i="259"/>
  <c r="G115" i="259"/>
  <c r="H115" i="259"/>
  <c r="I115" i="259"/>
  <c r="J115" i="259"/>
  <c r="K115" i="259"/>
  <c r="L115" i="259"/>
  <c r="M115" i="259"/>
  <c r="N115" i="259"/>
  <c r="O115" i="259"/>
  <c r="P115" i="259"/>
  <c r="Q115" i="259"/>
  <c r="G116" i="259"/>
  <c r="H116" i="259"/>
  <c r="I116" i="259"/>
  <c r="J116" i="259"/>
  <c r="K116" i="259"/>
  <c r="L116" i="259"/>
  <c r="M116" i="259"/>
  <c r="N116" i="259"/>
  <c r="O116" i="259"/>
  <c r="P116" i="259"/>
  <c r="Q116" i="259"/>
  <c r="R116" i="259"/>
  <c r="S116" i="259"/>
  <c r="T116" i="259"/>
  <c r="U116" i="259"/>
  <c r="V116" i="259"/>
  <c r="W116" i="259"/>
  <c r="X116" i="259"/>
  <c r="Y116" i="259"/>
  <c r="Z116" i="259"/>
  <c r="M118" i="259"/>
  <c r="K119" i="259"/>
  <c r="K137" i="259" s="1"/>
  <c r="L119" i="259"/>
  <c r="M119" i="259"/>
  <c r="N119" i="259"/>
  <c r="N137" i="259" s="1"/>
  <c r="O119" i="259"/>
  <c r="O137" i="259" s="1"/>
  <c r="P119" i="259"/>
  <c r="P137" i="259" s="1"/>
  <c r="Q119" i="259"/>
  <c r="Q137" i="259" s="1"/>
  <c r="R119" i="259"/>
  <c r="R137" i="259" s="1"/>
  <c r="S119" i="259"/>
  <c r="S137" i="259" s="1"/>
  <c r="T119" i="259"/>
  <c r="T137" i="259" s="1"/>
  <c r="U119" i="259"/>
  <c r="U137" i="259" s="1"/>
  <c r="V119" i="259"/>
  <c r="V137" i="259" s="1"/>
  <c r="W119" i="259"/>
  <c r="W137" i="259" s="1"/>
  <c r="X119" i="259"/>
  <c r="Y119" i="259"/>
  <c r="Y137" i="259" s="1"/>
  <c r="Z137" i="259"/>
  <c r="AC123" i="259"/>
  <c r="AD123" i="259" s="1"/>
  <c r="AE123" i="259" s="1"/>
  <c r="AF123" i="259" s="1"/>
  <c r="AG123" i="259" s="1"/>
  <c r="AH123" i="259" s="1"/>
  <c r="AI123" i="259" s="1"/>
  <c r="AJ123" i="259" s="1"/>
  <c r="AK123" i="259" s="1"/>
  <c r="AL123" i="259" s="1"/>
  <c r="K127" i="259"/>
  <c r="K129" i="259" s="1"/>
  <c r="L127" i="259"/>
  <c r="L129" i="259" s="1"/>
  <c r="M127" i="259"/>
  <c r="N127" i="259"/>
  <c r="N129" i="259" s="1"/>
  <c r="O127" i="259"/>
  <c r="O129" i="259" s="1"/>
  <c r="P127" i="259"/>
  <c r="P129" i="259" s="1"/>
  <c r="Q127" i="259"/>
  <c r="Q129" i="259" s="1"/>
  <c r="R127" i="259"/>
  <c r="R129" i="259" s="1"/>
  <c r="S127" i="259"/>
  <c r="S129" i="259" s="1"/>
  <c r="T127" i="259"/>
  <c r="T129" i="259" s="1"/>
  <c r="U127" i="259"/>
  <c r="U129" i="259" s="1"/>
  <c r="V127" i="259"/>
  <c r="V129" i="259" s="1"/>
  <c r="W127" i="259"/>
  <c r="W129" i="259" s="1"/>
  <c r="X127" i="259"/>
  <c r="X129" i="259" s="1"/>
  <c r="M129" i="259"/>
  <c r="Y129" i="259"/>
  <c r="Z129" i="259"/>
  <c r="U141" i="259"/>
  <c r="K143" i="259"/>
  <c r="L143" i="259"/>
  <c r="M143" i="259"/>
  <c r="N143" i="259"/>
  <c r="O143" i="259"/>
  <c r="P143" i="259"/>
  <c r="Q143" i="259"/>
  <c r="S143" i="259"/>
  <c r="T143" i="259"/>
  <c r="U143" i="259"/>
  <c r="V143" i="259"/>
  <c r="W143" i="259"/>
  <c r="X143" i="259"/>
  <c r="Y143" i="259"/>
  <c r="Z143" i="259"/>
  <c r="K148" i="259"/>
  <c r="K212" i="259" s="1"/>
  <c r="L148" i="259"/>
  <c r="L212" i="259" s="1"/>
  <c r="M148" i="259"/>
  <c r="M212" i="259" s="1"/>
  <c r="N148" i="259"/>
  <c r="N212" i="259" s="1"/>
  <c r="O148" i="259"/>
  <c r="O212" i="259" s="1"/>
  <c r="P148" i="259"/>
  <c r="P212" i="259" s="1"/>
  <c r="Q148" i="259"/>
  <c r="Q212" i="259" s="1"/>
  <c r="R148" i="259"/>
  <c r="R212" i="259" s="1"/>
  <c r="S148" i="259"/>
  <c r="S212" i="259" s="1"/>
  <c r="T148" i="259"/>
  <c r="T212" i="259" s="1"/>
  <c r="U148" i="259"/>
  <c r="U212" i="259" s="1"/>
  <c r="V148" i="259"/>
  <c r="V212" i="259" s="1"/>
  <c r="W148" i="259"/>
  <c r="W212" i="259" s="1"/>
  <c r="X148" i="259"/>
  <c r="X212" i="259" s="1"/>
  <c r="Y148" i="259"/>
  <c r="Y212" i="259" s="1"/>
  <c r="Z148" i="259"/>
  <c r="Z212" i="259" s="1"/>
  <c r="K157" i="259"/>
  <c r="K159" i="259" s="1"/>
  <c r="L157" i="259"/>
  <c r="L159" i="259" s="1"/>
  <c r="M157" i="259"/>
  <c r="M159" i="259" s="1"/>
  <c r="N157" i="259"/>
  <c r="N159" i="259" s="1"/>
  <c r="O157" i="259"/>
  <c r="O159" i="259" s="1"/>
  <c r="P157" i="259"/>
  <c r="P159" i="259" s="1"/>
  <c r="Q157" i="259"/>
  <c r="Q159" i="259" s="1"/>
  <c r="R157" i="259"/>
  <c r="R159" i="259" s="1"/>
  <c r="S157" i="259"/>
  <c r="S159" i="259" s="1"/>
  <c r="T157" i="259"/>
  <c r="T159" i="259" s="1"/>
  <c r="U157" i="259"/>
  <c r="U159" i="259" s="1"/>
  <c r="V157" i="259"/>
  <c r="V159" i="259" s="1"/>
  <c r="W157" i="259"/>
  <c r="W159" i="259" s="1"/>
  <c r="X157" i="259"/>
  <c r="X159" i="259" s="1"/>
  <c r="Y157" i="259"/>
  <c r="Y159" i="259" s="1"/>
  <c r="Z157" i="259"/>
  <c r="Z159" i="259" s="1"/>
  <c r="T161" i="259"/>
  <c r="Y161" i="259"/>
  <c r="K162" i="259"/>
  <c r="K165" i="259" s="1"/>
  <c r="L162" i="259"/>
  <c r="L165" i="259" s="1"/>
  <c r="M162" i="259"/>
  <c r="N162" i="259"/>
  <c r="N165" i="259" s="1"/>
  <c r="O162" i="259"/>
  <c r="O165" i="259" s="1"/>
  <c r="P162" i="259"/>
  <c r="Q162" i="259"/>
  <c r="R162" i="259"/>
  <c r="S162" i="259"/>
  <c r="S165" i="259" s="1"/>
  <c r="T162" i="259"/>
  <c r="U162" i="259"/>
  <c r="U165" i="259" s="1"/>
  <c r="V162" i="259"/>
  <c r="V165" i="259" s="1"/>
  <c r="W162" i="259"/>
  <c r="W165" i="259" s="1"/>
  <c r="X162" i="259"/>
  <c r="X165" i="259" s="1"/>
  <c r="Y162" i="259"/>
  <c r="Z162" i="259"/>
  <c r="Z165" i="259" s="1"/>
  <c r="AB163" i="259"/>
  <c r="AC163" i="259" s="1"/>
  <c r="AD163" i="259" s="1"/>
  <c r="AE163" i="259" s="1"/>
  <c r="AF163" i="259" s="1"/>
  <c r="AG163" i="259" s="1"/>
  <c r="AH163" i="259" s="1"/>
  <c r="AI163" i="259" s="1"/>
  <c r="AJ163" i="259" s="1"/>
  <c r="AK163" i="259" s="1"/>
  <c r="AL163" i="259" s="1"/>
  <c r="M164" i="259"/>
  <c r="P164" i="259"/>
  <c r="Q164" i="259"/>
  <c r="R164" i="259"/>
  <c r="T164" i="259"/>
  <c r="Y164" i="259"/>
  <c r="U178" i="259"/>
  <c r="V178" i="259"/>
  <c r="V179" i="259" s="1"/>
  <c r="W178" i="259"/>
  <c r="W179" i="259" s="1"/>
  <c r="X178" i="259"/>
  <c r="X179" i="259" s="1"/>
  <c r="Y178" i="259"/>
  <c r="Z178" i="259"/>
  <c r="K179" i="259"/>
  <c r="L179" i="259"/>
  <c r="M179" i="259"/>
  <c r="N179" i="259"/>
  <c r="O179" i="259"/>
  <c r="P179" i="259"/>
  <c r="Q179" i="259"/>
  <c r="R179" i="259"/>
  <c r="S179" i="259"/>
  <c r="T179" i="259"/>
  <c r="AC182" i="259"/>
  <c r="AD182" i="259" s="1"/>
  <c r="AE182" i="259" s="1"/>
  <c r="AF182" i="259" s="1"/>
  <c r="AG182" i="259" s="1"/>
  <c r="AH182" i="259" s="1"/>
  <c r="AI182" i="259" s="1"/>
  <c r="AJ182" i="259" s="1"/>
  <c r="AK182" i="259" s="1"/>
  <c r="AL182" i="259" s="1"/>
  <c r="K185" i="259"/>
  <c r="L185" i="259"/>
  <c r="M185" i="259"/>
  <c r="N185" i="259"/>
  <c r="O185" i="259"/>
  <c r="P185" i="259"/>
  <c r="Q185" i="259"/>
  <c r="R185" i="259"/>
  <c r="S185" i="259"/>
  <c r="T185" i="259"/>
  <c r="U185" i="259"/>
  <c r="V185" i="259"/>
  <c r="W185" i="259"/>
  <c r="X185" i="259"/>
  <c r="Y185" i="259"/>
  <c r="Z185" i="259"/>
  <c r="AC185" i="259" s="1"/>
  <c r="AD185" i="259" s="1"/>
  <c r="AE185" i="259" s="1"/>
  <c r="AF185" i="259" s="1"/>
  <c r="AG185" i="259" s="1"/>
  <c r="AH185" i="259" s="1"/>
  <c r="AI185" i="259" s="1"/>
  <c r="AJ185" i="259" s="1"/>
  <c r="AK185" i="259" s="1"/>
  <c r="AL185" i="259" s="1"/>
  <c r="K189" i="259"/>
  <c r="K208" i="259" s="1"/>
  <c r="L189" i="259"/>
  <c r="L206" i="259" s="1"/>
  <c r="M189" i="259"/>
  <c r="M193" i="259" s="1"/>
  <c r="N189" i="259"/>
  <c r="N193" i="259" s="1"/>
  <c r="O189" i="259"/>
  <c r="O208" i="259" s="1"/>
  <c r="P189" i="259"/>
  <c r="P193" i="259" s="1"/>
  <c r="Q189" i="259"/>
  <c r="Q206" i="259" s="1"/>
  <c r="R189" i="259"/>
  <c r="R193" i="259" s="1"/>
  <c r="R199" i="259" s="1"/>
  <c r="S189" i="259"/>
  <c r="S208" i="259" s="1"/>
  <c r="T189" i="259"/>
  <c r="U189" i="259"/>
  <c r="U193" i="259" s="1"/>
  <c r="U199" i="259" s="1"/>
  <c r="V189" i="259"/>
  <c r="V193" i="259" s="1"/>
  <c r="V199" i="259" s="1"/>
  <c r="W189" i="259"/>
  <c r="X189" i="259"/>
  <c r="X193" i="259" s="1"/>
  <c r="X199" i="259" s="1"/>
  <c r="Y189" i="259"/>
  <c r="Y193" i="259" s="1"/>
  <c r="Y199" i="259" s="1"/>
  <c r="Z189" i="259"/>
  <c r="Z193" i="259" s="1"/>
  <c r="Z199" i="259" s="1"/>
  <c r="T191" i="259"/>
  <c r="T314" i="259" s="1"/>
  <c r="AC192" i="259"/>
  <c r="AD192" i="259" s="1"/>
  <c r="AE192" i="259" s="1"/>
  <c r="AF192" i="259" s="1"/>
  <c r="AG192" i="259" s="1"/>
  <c r="AH192" i="259" s="1"/>
  <c r="AI192" i="259" s="1"/>
  <c r="AJ192" i="259" s="1"/>
  <c r="AK192" i="259" s="1"/>
  <c r="AL192" i="259" s="1"/>
  <c r="K194" i="259"/>
  <c r="K228" i="259" s="1"/>
  <c r="L194" i="259"/>
  <c r="L228" i="259" s="1"/>
  <c r="M194" i="259"/>
  <c r="M228" i="259" s="1"/>
  <c r="K198" i="259"/>
  <c r="L198" i="259"/>
  <c r="M198" i="259"/>
  <c r="N198" i="259"/>
  <c r="O198" i="259"/>
  <c r="P198" i="259"/>
  <c r="AC198" i="259"/>
  <c r="AD198" i="259" s="1"/>
  <c r="AE198" i="259" s="1"/>
  <c r="AF198" i="259" s="1"/>
  <c r="AG198" i="259" s="1"/>
  <c r="AH198" i="259" s="1"/>
  <c r="AI198" i="259" s="1"/>
  <c r="AJ198" i="259" s="1"/>
  <c r="AK198" i="259" s="1"/>
  <c r="AL198" i="259" s="1"/>
  <c r="Q200" i="259"/>
  <c r="R200" i="259"/>
  <c r="S200" i="259"/>
  <c r="T200" i="259"/>
  <c r="U200" i="259"/>
  <c r="V200" i="259"/>
  <c r="W200" i="259"/>
  <c r="X200" i="259"/>
  <c r="Y200" i="259"/>
  <c r="Z200" i="259"/>
  <c r="AC200" i="259" s="1"/>
  <c r="AC201" i="259"/>
  <c r="AD201" i="259" s="1"/>
  <c r="AE201" i="259" s="1"/>
  <c r="AF201" i="259" s="1"/>
  <c r="AG201" i="259" s="1"/>
  <c r="AH201" i="259" s="1"/>
  <c r="AI201" i="259" s="1"/>
  <c r="AJ201" i="259" s="1"/>
  <c r="AK201" i="259" s="1"/>
  <c r="AL201" i="259" s="1"/>
  <c r="K202" i="259"/>
  <c r="L202" i="259"/>
  <c r="L333" i="259" s="1"/>
  <c r="M202" i="259"/>
  <c r="M333" i="259" s="1"/>
  <c r="M335" i="259" s="1"/>
  <c r="N202" i="259"/>
  <c r="N333" i="259" s="1"/>
  <c r="N334" i="259" s="1"/>
  <c r="O202" i="259"/>
  <c r="O333" i="259" s="1"/>
  <c r="P202" i="259"/>
  <c r="P333" i="259" s="1"/>
  <c r="Q202" i="259"/>
  <c r="R202" i="259"/>
  <c r="S202" i="259"/>
  <c r="T202" i="259"/>
  <c r="U202" i="259"/>
  <c r="V202" i="259"/>
  <c r="W202" i="259"/>
  <c r="X202" i="259"/>
  <c r="Y202" i="259"/>
  <c r="Z202" i="259"/>
  <c r="N206" i="259"/>
  <c r="G217" i="259"/>
  <c r="G218" i="259" s="1"/>
  <c r="H217" i="259"/>
  <c r="H218" i="259" s="1"/>
  <c r="I217" i="259"/>
  <c r="I218" i="259" s="1"/>
  <c r="J217" i="259"/>
  <c r="J218" i="259" s="1"/>
  <c r="K217" i="259"/>
  <c r="K218" i="259" s="1"/>
  <c r="L217" i="259"/>
  <c r="L218" i="259" s="1"/>
  <c r="M217" i="259"/>
  <c r="M218" i="259" s="1"/>
  <c r="N217" i="259"/>
  <c r="N218" i="259" s="1"/>
  <c r="O217" i="259"/>
  <c r="O218" i="259" s="1"/>
  <c r="P217" i="259"/>
  <c r="P218" i="259" s="1"/>
  <c r="Q217" i="259"/>
  <c r="Q222" i="259" s="1"/>
  <c r="Q219" i="259"/>
  <c r="R217" i="259" s="1"/>
  <c r="R222" i="259" s="1"/>
  <c r="R219" i="259"/>
  <c r="S217" i="259" s="1"/>
  <c r="S222" i="259" s="1"/>
  <c r="S219" i="259"/>
  <c r="T219" i="259"/>
  <c r="U217" i="259" s="1"/>
  <c r="U222" i="259" s="1"/>
  <c r="U219" i="259"/>
  <c r="V217" i="259" s="1"/>
  <c r="V222" i="259" s="1"/>
  <c r="V219" i="259"/>
  <c r="W219" i="259"/>
  <c r="X217" i="259" s="1"/>
  <c r="X219" i="259"/>
  <c r="Y217" i="259" s="1"/>
  <c r="Y222" i="259" s="1"/>
  <c r="Y219" i="259"/>
  <c r="Z219" i="259"/>
  <c r="K227" i="259"/>
  <c r="L227" i="259"/>
  <c r="M227" i="259"/>
  <c r="N227" i="259"/>
  <c r="O227" i="259"/>
  <c r="P227" i="259"/>
  <c r="Q227" i="259"/>
  <c r="R227" i="259"/>
  <c r="S227" i="259"/>
  <c r="T227" i="259"/>
  <c r="U227" i="259"/>
  <c r="V227" i="259"/>
  <c r="W227" i="259"/>
  <c r="X227" i="259"/>
  <c r="Y227" i="259"/>
  <c r="Z227" i="259"/>
  <c r="N228" i="259"/>
  <c r="O228" i="259"/>
  <c r="P228" i="259"/>
  <c r="Q228" i="259"/>
  <c r="R228" i="259"/>
  <c r="S228" i="259"/>
  <c r="T228" i="259"/>
  <c r="U228" i="259"/>
  <c r="V228" i="259"/>
  <c r="W228" i="259"/>
  <c r="X228" i="259"/>
  <c r="Y228" i="259"/>
  <c r="Z228" i="259"/>
  <c r="D233" i="259"/>
  <c r="K233" i="259"/>
  <c r="L233" i="259"/>
  <c r="M233" i="259"/>
  <c r="N233" i="259"/>
  <c r="O233" i="259"/>
  <c r="P233" i="259"/>
  <c r="Q233" i="259"/>
  <c r="R233" i="259"/>
  <c r="S233" i="259"/>
  <c r="T233" i="259"/>
  <c r="U233" i="259"/>
  <c r="V233" i="259"/>
  <c r="W233" i="259"/>
  <c r="X233" i="259"/>
  <c r="Y233" i="259"/>
  <c r="Z233" i="259"/>
  <c r="D234" i="259"/>
  <c r="K234" i="259"/>
  <c r="L234" i="259"/>
  <c r="M234" i="259"/>
  <c r="N234" i="259"/>
  <c r="O234" i="259"/>
  <c r="P234" i="259"/>
  <c r="Q234" i="259"/>
  <c r="R234" i="259"/>
  <c r="S234" i="259"/>
  <c r="T234" i="259"/>
  <c r="U234" i="259"/>
  <c r="V234" i="259"/>
  <c r="W234" i="259"/>
  <c r="X234" i="259"/>
  <c r="Y234" i="259"/>
  <c r="Z234" i="259"/>
  <c r="AC237" i="259"/>
  <c r="AD237" i="259" s="1"/>
  <c r="AE237" i="259" s="1"/>
  <c r="AF237" i="259" s="1"/>
  <c r="AG237" i="259" s="1"/>
  <c r="AH237" i="259" s="1"/>
  <c r="AI237" i="259" s="1"/>
  <c r="AJ237" i="259" s="1"/>
  <c r="AK237" i="259" s="1"/>
  <c r="AL237" i="259" s="1"/>
  <c r="R246" i="259"/>
  <c r="R249" i="259" s="1"/>
  <c r="S246" i="259"/>
  <c r="S115" i="259" s="1"/>
  <c r="T246" i="259"/>
  <c r="T249" i="259" s="1"/>
  <c r="U246" i="259"/>
  <c r="U115" i="259" s="1"/>
  <c r="V246" i="259"/>
  <c r="V249" i="259" s="1"/>
  <c r="W246" i="259"/>
  <c r="W115" i="259" s="1"/>
  <c r="X246" i="259"/>
  <c r="Y246" i="259"/>
  <c r="Y115" i="259" s="1"/>
  <c r="Z246" i="259"/>
  <c r="Z249" i="259" s="1"/>
  <c r="G248" i="259"/>
  <c r="G21" i="259" s="1"/>
  <c r="H248" i="259"/>
  <c r="H21" i="259" s="1"/>
  <c r="I248" i="259"/>
  <c r="I21" i="259" s="1"/>
  <c r="J248" i="259"/>
  <c r="J21" i="259" s="1"/>
  <c r="K248" i="259"/>
  <c r="K21" i="259" s="1"/>
  <c r="L248" i="259"/>
  <c r="L21" i="259" s="1"/>
  <c r="M248" i="259"/>
  <c r="M21" i="259" s="1"/>
  <c r="N248" i="259"/>
  <c r="N21" i="259" s="1"/>
  <c r="O248" i="259"/>
  <c r="O21" i="259" s="1"/>
  <c r="P248" i="259"/>
  <c r="P21" i="259" s="1"/>
  <c r="Q248" i="259"/>
  <c r="Q21" i="259" s="1"/>
  <c r="G249" i="259"/>
  <c r="H249" i="259"/>
  <c r="I249" i="259"/>
  <c r="J249" i="259"/>
  <c r="K249" i="259"/>
  <c r="L249" i="259"/>
  <c r="M249" i="259"/>
  <c r="N249" i="259"/>
  <c r="O249" i="259"/>
  <c r="P249" i="259"/>
  <c r="Q249" i="259"/>
  <c r="AD249" i="259"/>
  <c r="AE249" i="259" s="1"/>
  <c r="AF249" i="259" s="1"/>
  <c r="AG249" i="259" s="1"/>
  <c r="AH249" i="259" s="1"/>
  <c r="AI249" i="259" s="1"/>
  <c r="AJ249" i="259" s="1"/>
  <c r="AK249" i="259" s="1"/>
  <c r="AL249" i="259" s="1"/>
  <c r="K262" i="259"/>
  <c r="L262" i="259"/>
  <c r="M262" i="259"/>
  <c r="N262" i="259"/>
  <c r="O262" i="259"/>
  <c r="P262" i="259"/>
  <c r="Q262" i="259"/>
  <c r="R262" i="259"/>
  <c r="S262" i="259"/>
  <c r="T262" i="259"/>
  <c r="U262" i="259"/>
  <c r="V262" i="259"/>
  <c r="W262" i="259"/>
  <c r="X262" i="259"/>
  <c r="Y262" i="259"/>
  <c r="Z262" i="259"/>
  <c r="K264" i="259"/>
  <c r="L264" i="259"/>
  <c r="M264" i="259"/>
  <c r="N264" i="259"/>
  <c r="O264" i="259"/>
  <c r="P264" i="259"/>
  <c r="Q264" i="259"/>
  <c r="R264" i="259"/>
  <c r="S264" i="259"/>
  <c r="T264" i="259"/>
  <c r="U264" i="259"/>
  <c r="V264" i="259"/>
  <c r="W264" i="259"/>
  <c r="X264" i="259"/>
  <c r="Y264" i="259"/>
  <c r="Z264" i="259"/>
  <c r="L268" i="259"/>
  <c r="M268" i="259"/>
  <c r="N268" i="259"/>
  <c r="O268" i="259"/>
  <c r="P268" i="259"/>
  <c r="Q268" i="259"/>
  <c r="R268" i="259"/>
  <c r="S268" i="259"/>
  <c r="T268" i="259"/>
  <c r="U268" i="259"/>
  <c r="V268" i="259"/>
  <c r="W268" i="259"/>
  <c r="X268" i="259"/>
  <c r="Y268" i="259"/>
  <c r="Z268" i="259"/>
  <c r="K271" i="259"/>
  <c r="L271" i="259"/>
  <c r="M271" i="259"/>
  <c r="N271" i="259"/>
  <c r="O271" i="259"/>
  <c r="P271" i="259"/>
  <c r="Q271" i="259"/>
  <c r="R271" i="259"/>
  <c r="S271" i="259"/>
  <c r="T271" i="259"/>
  <c r="U271" i="259"/>
  <c r="V271" i="259"/>
  <c r="W271" i="259"/>
  <c r="X271" i="259"/>
  <c r="Y271" i="259"/>
  <c r="Z267" i="259" s="1"/>
  <c r="Z271" i="259"/>
  <c r="AA267" i="259" s="1"/>
  <c r="L275" i="259"/>
  <c r="M275" i="259"/>
  <c r="N275" i="259"/>
  <c r="O275" i="259"/>
  <c r="P275" i="259"/>
  <c r="Q275" i="259"/>
  <c r="R275" i="259"/>
  <c r="S275" i="259"/>
  <c r="T275" i="259"/>
  <c r="U275" i="259"/>
  <c r="V275" i="259"/>
  <c r="W275" i="259"/>
  <c r="X275" i="259"/>
  <c r="Y275" i="259"/>
  <c r="Z275" i="259"/>
  <c r="T279" i="259"/>
  <c r="U279" i="259"/>
  <c r="V279" i="259"/>
  <c r="W279" i="259"/>
  <c r="X279" i="259"/>
  <c r="Y279" i="259"/>
  <c r="Z279" i="259"/>
  <c r="S280" i="259"/>
  <c r="T280" i="259"/>
  <c r="U280" i="259"/>
  <c r="V277" i="259" s="1"/>
  <c r="V280" i="259"/>
  <c r="W280" i="259"/>
  <c r="X280" i="259"/>
  <c r="Y277" i="259" s="1"/>
  <c r="Y280" i="259"/>
  <c r="Z277" i="259" s="1"/>
  <c r="Z280" i="259"/>
  <c r="AA277" i="259" s="1"/>
  <c r="T284" i="259"/>
  <c r="U284" i="259"/>
  <c r="V284" i="259"/>
  <c r="W284" i="259"/>
  <c r="X284" i="259"/>
  <c r="Y284" i="259"/>
  <c r="Z284" i="259"/>
  <c r="S287" i="259"/>
  <c r="T287" i="259"/>
  <c r="U287" i="259"/>
  <c r="V287" i="259"/>
  <c r="W287" i="259"/>
  <c r="X287" i="259"/>
  <c r="Y287" i="259"/>
  <c r="Z287" i="259"/>
  <c r="S288" i="259"/>
  <c r="T288" i="259"/>
  <c r="U288" i="259"/>
  <c r="U289" i="259" s="1"/>
  <c r="V288" i="259"/>
  <c r="W288" i="259"/>
  <c r="X288" i="259"/>
  <c r="X289" i="259" s="1"/>
  <c r="Y288" i="259"/>
  <c r="Z288" i="259"/>
  <c r="L295" i="259"/>
  <c r="M295" i="259"/>
  <c r="N295" i="259"/>
  <c r="O295" i="259"/>
  <c r="P295" i="259"/>
  <c r="Q295" i="259"/>
  <c r="R295" i="259"/>
  <c r="S295" i="259"/>
  <c r="T295" i="259"/>
  <c r="U295" i="259"/>
  <c r="V295" i="259"/>
  <c r="W295" i="259"/>
  <c r="X295" i="259"/>
  <c r="Y295" i="259"/>
  <c r="K297" i="259"/>
  <c r="L293" i="259" s="1"/>
  <c r="L297" i="259"/>
  <c r="M297" i="259"/>
  <c r="N297" i="259"/>
  <c r="O297" i="259"/>
  <c r="P293" i="259" s="1"/>
  <c r="P297" i="259"/>
  <c r="Q297" i="259"/>
  <c r="R293" i="259" s="1"/>
  <c r="R297" i="259"/>
  <c r="S297" i="259"/>
  <c r="T293" i="259" s="1"/>
  <c r="T297" i="259"/>
  <c r="U297" i="259"/>
  <c r="V293" i="259" s="1"/>
  <c r="V297" i="259"/>
  <c r="W297" i="259"/>
  <c r="X293" i="259" s="1"/>
  <c r="X297" i="259"/>
  <c r="Y297" i="259"/>
  <c r="Z293" i="259" s="1"/>
  <c r="Z297" i="259"/>
  <c r="L301" i="259"/>
  <c r="M301" i="259"/>
  <c r="N301" i="259"/>
  <c r="O301" i="259"/>
  <c r="P301" i="259"/>
  <c r="Q301" i="259"/>
  <c r="R301" i="259"/>
  <c r="S301" i="259"/>
  <c r="T301" i="259"/>
  <c r="U301" i="259"/>
  <c r="V301" i="259"/>
  <c r="W301" i="259"/>
  <c r="X301" i="259"/>
  <c r="Y301" i="259"/>
  <c r="Z301" i="259"/>
  <c r="J302" i="259"/>
  <c r="K302" i="259"/>
  <c r="L302" i="259"/>
  <c r="M302" i="259"/>
  <c r="N302" i="259"/>
  <c r="O302" i="259"/>
  <c r="P302" i="259"/>
  <c r="Q302" i="259"/>
  <c r="R302" i="259"/>
  <c r="S302" i="259"/>
  <c r="T302" i="259"/>
  <c r="U302" i="259"/>
  <c r="V302" i="259"/>
  <c r="W302" i="259"/>
  <c r="X302" i="259"/>
  <c r="Y302" i="259"/>
  <c r="Z302" i="259"/>
  <c r="K304" i="259"/>
  <c r="L300" i="259" s="1"/>
  <c r="L304" i="259"/>
  <c r="M300" i="259" s="1"/>
  <c r="M304" i="259"/>
  <c r="N304" i="259"/>
  <c r="O300" i="259" s="1"/>
  <c r="O304" i="259"/>
  <c r="P300" i="259" s="1"/>
  <c r="P304" i="259"/>
  <c r="Q304" i="259"/>
  <c r="R300" i="259" s="1"/>
  <c r="R304" i="259"/>
  <c r="S300" i="259" s="1"/>
  <c r="S304" i="259"/>
  <c r="T304" i="259"/>
  <c r="U304" i="259"/>
  <c r="V304" i="259"/>
  <c r="W300" i="259" s="1"/>
  <c r="W304" i="259"/>
  <c r="X300" i="259" s="1"/>
  <c r="X304" i="259"/>
  <c r="Y304" i="259"/>
  <c r="Z300" i="259" s="1"/>
  <c r="Z304" i="259"/>
  <c r="AA300" i="259" s="1"/>
  <c r="L307" i="259"/>
  <c r="M307" i="259"/>
  <c r="N307" i="259"/>
  <c r="O307" i="259"/>
  <c r="P307" i="259"/>
  <c r="Q307" i="259"/>
  <c r="R307" i="259"/>
  <c r="S307" i="259"/>
  <c r="T307" i="259"/>
  <c r="U307" i="259"/>
  <c r="V307" i="259"/>
  <c r="W307" i="259"/>
  <c r="X307" i="259"/>
  <c r="Y307" i="259"/>
  <c r="Z307" i="259"/>
  <c r="L311" i="259"/>
  <c r="M311" i="259"/>
  <c r="N311" i="259"/>
  <c r="O311" i="259"/>
  <c r="P311" i="259"/>
  <c r="Q311" i="259"/>
  <c r="R311" i="259"/>
  <c r="S311" i="259"/>
  <c r="T311" i="259"/>
  <c r="U311" i="259"/>
  <c r="V311" i="259"/>
  <c r="W311" i="259"/>
  <c r="X311" i="259"/>
  <c r="Y311" i="259"/>
  <c r="Z311" i="259"/>
  <c r="K314" i="259"/>
  <c r="L314" i="259"/>
  <c r="M314" i="259"/>
  <c r="N314" i="259"/>
  <c r="O314" i="259"/>
  <c r="P314" i="259"/>
  <c r="Q314" i="259"/>
  <c r="R314" i="259"/>
  <c r="S314" i="259"/>
  <c r="U314" i="259"/>
  <c r="V314" i="259"/>
  <c r="W314" i="259"/>
  <c r="X314" i="259"/>
  <c r="Y314" i="259"/>
  <c r="Z314" i="259"/>
  <c r="K315" i="259"/>
  <c r="L315" i="259"/>
  <c r="M315" i="259"/>
  <c r="N315" i="259"/>
  <c r="O315" i="259"/>
  <c r="P315" i="259"/>
  <c r="Q315" i="259"/>
  <c r="R315" i="259"/>
  <c r="S315" i="259"/>
  <c r="T315" i="259"/>
  <c r="U315" i="259"/>
  <c r="U313" i="259" s="1"/>
  <c r="U317" i="259" s="1"/>
  <c r="V315" i="259"/>
  <c r="W315" i="259"/>
  <c r="X315" i="259"/>
  <c r="Y315" i="259"/>
  <c r="Z315" i="259"/>
  <c r="G320" i="259"/>
  <c r="H320" i="259"/>
  <c r="I320" i="259"/>
  <c r="J320" i="259"/>
  <c r="Z320" i="259"/>
  <c r="M321" i="259"/>
  <c r="M323" i="259" s="1"/>
  <c r="Q321" i="259"/>
  <c r="S321" i="259"/>
  <c r="T321" i="259"/>
  <c r="U321" i="259"/>
  <c r="W321" i="259"/>
  <c r="W323" i="259" s="1"/>
  <c r="X321" i="259"/>
  <c r="Y321" i="259"/>
  <c r="K322" i="259"/>
  <c r="L322" i="259"/>
  <c r="O322" i="259"/>
  <c r="P322" i="259"/>
  <c r="V322" i="259"/>
  <c r="Z322" i="259"/>
  <c r="S323" i="259"/>
  <c r="G328" i="259"/>
  <c r="H328" i="259"/>
  <c r="I328" i="259"/>
  <c r="J328" i="259"/>
  <c r="K328" i="259"/>
  <c r="L328" i="259"/>
  <c r="M328" i="259"/>
  <c r="N328" i="259"/>
  <c r="O328" i="259"/>
  <c r="P328" i="259"/>
  <c r="Q328" i="259"/>
  <c r="R328" i="259"/>
  <c r="S328" i="259"/>
  <c r="T328" i="259"/>
  <c r="U328" i="259"/>
  <c r="V328" i="259"/>
  <c r="W328" i="259"/>
  <c r="X328" i="259"/>
  <c r="Y328" i="259"/>
  <c r="Z328" i="259"/>
  <c r="AA328" i="259"/>
  <c r="AA16" i="259" s="1"/>
  <c r="AA36" i="259" s="1"/>
  <c r="AB328" i="259"/>
  <c r="AB16" i="259" s="1"/>
  <c r="AB36" i="259" s="1"/>
  <c r="AC328" i="259"/>
  <c r="AD328" i="259"/>
  <c r="AE328" i="259"/>
  <c r="AF328" i="259"/>
  <c r="AG328" i="259"/>
  <c r="AH328" i="259"/>
  <c r="AI328" i="259"/>
  <c r="AJ328" i="259"/>
  <c r="AK328" i="259"/>
  <c r="AL328" i="259"/>
  <c r="K337" i="259"/>
  <c r="K338" i="259"/>
  <c r="K341" i="259"/>
  <c r="L341" i="259"/>
  <c r="M341" i="259"/>
  <c r="N341" i="259"/>
  <c r="O341" i="259"/>
  <c r="P341" i="259"/>
  <c r="Q341" i="259"/>
  <c r="R341" i="259"/>
  <c r="S341" i="259"/>
  <c r="T341" i="259"/>
  <c r="U341" i="259"/>
  <c r="V341" i="259"/>
  <c r="W341" i="259"/>
  <c r="X341" i="259"/>
  <c r="Y341" i="259"/>
  <c r="Z341" i="259"/>
  <c r="AA341" i="259"/>
  <c r="AB341" i="259"/>
  <c r="AC341" i="259"/>
  <c r="AD341" i="259"/>
  <c r="AE341" i="259"/>
  <c r="AF341" i="259"/>
  <c r="AG341" i="259"/>
  <c r="AH341" i="259"/>
  <c r="AI341" i="259"/>
  <c r="AJ341" i="259"/>
  <c r="AK341" i="259"/>
  <c r="AL341" i="259"/>
  <c r="Y116" i="43"/>
  <c r="X116" i="43"/>
  <c r="Y115" i="43"/>
  <c r="X115" i="43"/>
  <c r="Y114" i="43"/>
  <c r="X114" i="43"/>
  <c r="Y308" i="43"/>
  <c r="X308" i="43"/>
  <c r="Y292" i="43"/>
  <c r="X292" i="43"/>
  <c r="Y264" i="43"/>
  <c r="X264" i="43"/>
  <c r="X269" i="43" s="1"/>
  <c r="X246" i="43"/>
  <c r="X245" i="43"/>
  <c r="X17" i="43" s="1"/>
  <c r="AB38" i="259" l="1"/>
  <c r="AE63" i="259"/>
  <c r="AD69" i="259"/>
  <c r="X99" i="259"/>
  <c r="X68" i="259"/>
  <c r="AB68" i="259"/>
  <c r="X61" i="259"/>
  <c r="AB61" i="259"/>
  <c r="AE65" i="259"/>
  <c r="AD71" i="259"/>
  <c r="AG64" i="259"/>
  <c r="AF70" i="259"/>
  <c r="AA404" i="43"/>
  <c r="AA410" i="43"/>
  <c r="AC614" i="43"/>
  <c r="AC615" i="43" s="1"/>
  <c r="AC404" i="43"/>
  <c r="AB385" i="43"/>
  <c r="AB391" i="43"/>
  <c r="AA633" i="43"/>
  <c r="AA614" i="43"/>
  <c r="AA361" i="43"/>
  <c r="AA367" i="43" s="1"/>
  <c r="AA629" i="43"/>
  <c r="AA631" i="43"/>
  <c r="AC361" i="43"/>
  <c r="AC629" i="43"/>
  <c r="AC631" i="43"/>
  <c r="AA632" i="43"/>
  <c r="AC632" i="43"/>
  <c r="AC633" i="43"/>
  <c r="T98" i="259"/>
  <c r="V99" i="259"/>
  <c r="R99" i="259"/>
  <c r="X69" i="259"/>
  <c r="Z70" i="259"/>
  <c r="Z71" i="259"/>
  <c r="Y76" i="259"/>
  <c r="U76" i="259"/>
  <c r="Q76" i="259"/>
  <c r="X76" i="259"/>
  <c r="T76" i="259"/>
  <c r="P76" i="259"/>
  <c r="AB626" i="43"/>
  <c r="AA655" i="43"/>
  <c r="AC626" i="43"/>
  <c r="AC656" i="43"/>
  <c r="AC655" i="43"/>
  <c r="AC619" i="43"/>
  <c r="AC624" i="43" s="1"/>
  <c r="AC628" i="43" s="1"/>
  <c r="AC379" i="43" s="1"/>
  <c r="W333" i="259"/>
  <c r="W334" i="259" s="1"/>
  <c r="W76" i="259"/>
  <c r="S76" i="259"/>
  <c r="Z76" i="259"/>
  <c r="V76" i="259"/>
  <c r="R76" i="259"/>
  <c r="Z274" i="259"/>
  <c r="N274" i="259"/>
  <c r="W61" i="259"/>
  <c r="AA61" i="259"/>
  <c r="Y274" i="259"/>
  <c r="U274" i="259"/>
  <c r="Q274" i="259"/>
  <c r="M274" i="259"/>
  <c r="W68" i="259"/>
  <c r="AA68" i="259"/>
  <c r="S306" i="259"/>
  <c r="S274" i="259"/>
  <c r="V308" i="259"/>
  <c r="AA281" i="259"/>
  <c r="AA278" i="259"/>
  <c r="V274" i="259"/>
  <c r="R274" i="259"/>
  <c r="AA270" i="259"/>
  <c r="AA272" i="259"/>
  <c r="I119" i="259"/>
  <c r="X274" i="259"/>
  <c r="T274" i="259"/>
  <c r="P274" i="259"/>
  <c r="L274" i="259"/>
  <c r="W306" i="259"/>
  <c r="W274" i="259"/>
  <c r="Q68" i="259"/>
  <c r="AA293" i="259"/>
  <c r="AA296" i="259" s="1"/>
  <c r="AA298" i="259"/>
  <c r="O306" i="259"/>
  <c r="O274" i="259"/>
  <c r="R308" i="259"/>
  <c r="AI306" i="259"/>
  <c r="U316" i="259"/>
  <c r="X306" i="259"/>
  <c r="T306" i="259"/>
  <c r="P306" i="259"/>
  <c r="L306" i="259"/>
  <c r="Z306" i="259"/>
  <c r="V306" i="259"/>
  <c r="R306" i="259"/>
  <c r="N306" i="259"/>
  <c r="L308" i="259"/>
  <c r="Y306" i="259"/>
  <c r="U306" i="259"/>
  <c r="Q306" i="259"/>
  <c r="M306" i="259"/>
  <c r="Z688" i="43"/>
  <c r="Z690" i="43" s="1"/>
  <c r="AC688" i="43"/>
  <c r="X686" i="43"/>
  <c r="X688" i="43" s="1"/>
  <c r="AF688" i="43"/>
  <c r="AP683" i="43"/>
  <c r="AP684" i="43"/>
  <c r="AA688" i="43"/>
  <c r="Y688" i="43"/>
  <c r="AE688" i="43"/>
  <c r="W688" i="43"/>
  <c r="AD688" i="43"/>
  <c r="AB686" i="43"/>
  <c r="AR686" i="43"/>
  <c r="AG688" i="43"/>
  <c r="AQ683" i="43"/>
  <c r="AQ684" i="43"/>
  <c r="AA619" i="43"/>
  <c r="AA630" i="43"/>
  <c r="AA626" i="43"/>
  <c r="AC630" i="43"/>
  <c r="AB627" i="43"/>
  <c r="AB373" i="43" s="1"/>
  <c r="AB624" i="43"/>
  <c r="AB628" i="43" s="1"/>
  <c r="AB379" i="43" s="1"/>
  <c r="E51" i="260"/>
  <c r="X10" i="260"/>
  <c r="D14" i="260"/>
  <c r="D13" i="260"/>
  <c r="D12" i="260"/>
  <c r="O339" i="259"/>
  <c r="O340" i="259" s="1"/>
  <c r="R208" i="259"/>
  <c r="R209" i="259" s="1"/>
  <c r="L207" i="259"/>
  <c r="AE60" i="259"/>
  <c r="AI60" i="259" s="1"/>
  <c r="R206" i="259"/>
  <c r="R207" i="259" s="1"/>
  <c r="P265" i="259"/>
  <c r="L265" i="259"/>
  <c r="Q186" i="259"/>
  <c r="M186" i="259"/>
  <c r="S235" i="259"/>
  <c r="S240" i="259" s="1"/>
  <c r="M206" i="259"/>
  <c r="M207" i="259" s="1"/>
  <c r="K339" i="259"/>
  <c r="K340" i="259" s="1"/>
  <c r="Y289" i="259"/>
  <c r="Y291" i="259" s="1"/>
  <c r="X235" i="259"/>
  <c r="T235" i="259"/>
  <c r="Q193" i="259"/>
  <c r="Q199" i="259" s="1"/>
  <c r="Q203" i="259" s="1"/>
  <c r="T289" i="259"/>
  <c r="T291" i="259" s="1"/>
  <c r="Q208" i="259"/>
  <c r="Z68" i="259"/>
  <c r="N208" i="259"/>
  <c r="N209" i="259" s="1"/>
  <c r="V333" i="259"/>
  <c r="V335" i="259" s="1"/>
  <c r="K209" i="259"/>
  <c r="L186" i="259"/>
  <c r="U265" i="259"/>
  <c r="T265" i="259"/>
  <c r="M208" i="259"/>
  <c r="M209" i="259" s="1"/>
  <c r="W248" i="259"/>
  <c r="W21" i="259" s="1"/>
  <c r="N199" i="259"/>
  <c r="N203" i="259" s="1"/>
  <c r="Y206" i="259"/>
  <c r="Y207" i="259" s="1"/>
  <c r="U206" i="259"/>
  <c r="U207" i="259" s="1"/>
  <c r="H119" i="259"/>
  <c r="O235" i="259"/>
  <c r="Y229" i="259"/>
  <c r="Q229" i="259"/>
  <c r="X206" i="259"/>
  <c r="X207" i="259" s="1"/>
  <c r="S333" i="259"/>
  <c r="S334" i="259" s="1"/>
  <c r="L339" i="259"/>
  <c r="L340" i="259" s="1"/>
  <c r="U298" i="259"/>
  <c r="M313" i="259"/>
  <c r="L313" i="259"/>
  <c r="L317" i="259" s="1"/>
  <c r="Y285" i="259"/>
  <c r="X229" i="259"/>
  <c r="T229" i="259"/>
  <c r="P229" i="259"/>
  <c r="X208" i="259"/>
  <c r="X209" i="259" s="1"/>
  <c r="V339" i="259"/>
  <c r="V340" i="259" s="1"/>
  <c r="W339" i="259"/>
  <c r="W340" i="259" s="1"/>
  <c r="R333" i="259"/>
  <c r="R335" i="259" s="1"/>
  <c r="Y165" i="259"/>
  <c r="N339" i="259"/>
  <c r="N340" i="259" s="1"/>
  <c r="X323" i="259"/>
  <c r="X15" i="259" s="1"/>
  <c r="T296" i="259"/>
  <c r="Y249" i="259"/>
  <c r="U248" i="259"/>
  <c r="U21" i="259" s="1"/>
  <c r="W229" i="259"/>
  <c r="S229" i="259"/>
  <c r="O229" i="259"/>
  <c r="W208" i="259"/>
  <c r="X203" i="259"/>
  <c r="R339" i="259"/>
  <c r="R340" i="259" s="1"/>
  <c r="AC189" i="259"/>
  <c r="AD189" i="259" s="1"/>
  <c r="AE189" i="259" s="1"/>
  <c r="AF189" i="259" s="1"/>
  <c r="AG189" i="259" s="1"/>
  <c r="AH189" i="259" s="1"/>
  <c r="AI189" i="259" s="1"/>
  <c r="AJ189" i="259" s="1"/>
  <c r="AK189" i="259" s="1"/>
  <c r="AL189" i="259" s="1"/>
  <c r="W186" i="259"/>
  <c r="S186" i="259"/>
  <c r="O186" i="259"/>
  <c r="K186" i="259"/>
  <c r="Z333" i="259"/>
  <c r="AF60" i="259"/>
  <c r="AJ60" i="259" s="1"/>
  <c r="U249" i="259"/>
  <c r="Z229" i="259"/>
  <c r="V229" i="259"/>
  <c r="W230" i="259" s="1"/>
  <c r="W231" i="259" s="1"/>
  <c r="R229" i="259"/>
  <c r="N229" i="259"/>
  <c r="Q207" i="259"/>
  <c r="T186" i="259"/>
  <c r="P186" i="259"/>
  <c r="X186" i="259"/>
  <c r="N207" i="259"/>
  <c r="U277" i="259"/>
  <c r="U278" i="259" s="1"/>
  <c r="U282" i="259"/>
  <c r="P339" i="259"/>
  <c r="P340" i="259" s="1"/>
  <c r="Z289" i="259"/>
  <c r="Z291" i="259" s="1"/>
  <c r="V289" i="259"/>
  <c r="V291" i="259" s="1"/>
  <c r="Y282" i="259"/>
  <c r="X249" i="259"/>
  <c r="X248" i="259"/>
  <c r="X21" i="259" s="1"/>
  <c r="G23" i="259"/>
  <c r="G118" i="259" s="1"/>
  <c r="G119" i="259"/>
  <c r="Q323" i="259"/>
  <c r="Q16" i="259" s="1"/>
  <c r="O334" i="259"/>
  <c r="O335" i="259"/>
  <c r="I5" i="259"/>
  <c r="I6" i="259" s="1"/>
  <c r="H6" i="259"/>
  <c r="Q313" i="259"/>
  <c r="Q317" i="259" s="1"/>
  <c r="W217" i="259"/>
  <c r="W222" i="259" s="1"/>
  <c r="T193" i="259"/>
  <c r="T199" i="259" s="1"/>
  <c r="T203" i="259" s="1"/>
  <c r="T206" i="259"/>
  <c r="T207" i="259" s="1"/>
  <c r="T208" i="259"/>
  <c r="P206" i="259"/>
  <c r="P207" i="259" s="1"/>
  <c r="P208" i="259"/>
  <c r="P211" i="259" s="1"/>
  <c r="P213" i="259" s="1"/>
  <c r="L193" i="259"/>
  <c r="L199" i="259" s="1"/>
  <c r="L203" i="259" s="1"/>
  <c r="L208" i="259"/>
  <c r="L209" i="259" s="1"/>
  <c r="X265" i="259"/>
  <c r="Y267" i="259"/>
  <c r="U267" i="259"/>
  <c r="P334" i="259"/>
  <c r="P335" i="259"/>
  <c r="L334" i="259"/>
  <c r="L335" i="259"/>
  <c r="Z339" i="259"/>
  <c r="Z340" i="259" s="1"/>
  <c r="Y203" i="259"/>
  <c r="S209" i="259"/>
  <c r="X313" i="259"/>
  <c r="X317" i="259" s="1"/>
  <c r="S303" i="259"/>
  <c r="T282" i="259"/>
  <c r="S339" i="259"/>
  <c r="S340" i="259" s="1"/>
  <c r="V321" i="259"/>
  <c r="W313" i="259"/>
  <c r="W317" i="259" s="1"/>
  <c r="W308" i="259"/>
  <c r="S308" i="259"/>
  <c r="O308" i="259"/>
  <c r="Z305" i="259"/>
  <c r="AD305" i="259" s="1"/>
  <c r="AE305" i="259" s="1"/>
  <c r="AF305" i="259" s="1"/>
  <c r="AG305" i="259" s="1"/>
  <c r="AH305" i="259" s="1"/>
  <c r="AI305" i="259" s="1"/>
  <c r="AJ305" i="259" s="1"/>
  <c r="AK305" i="259" s="1"/>
  <c r="AL305" i="259" s="1"/>
  <c r="R305" i="259"/>
  <c r="M303" i="259"/>
  <c r="U285" i="259"/>
  <c r="Z265" i="259"/>
  <c r="V265" i="259"/>
  <c r="R265" i="259"/>
  <c r="N265" i="259"/>
  <c r="P267" i="259"/>
  <c r="Y265" i="259"/>
  <c r="Y248" i="259"/>
  <c r="Y21" i="259" s="1"/>
  <c r="S248" i="259"/>
  <c r="S21" i="259" s="1"/>
  <c r="W235" i="259"/>
  <c r="W240" i="259" s="1"/>
  <c r="M199" i="259"/>
  <c r="M203" i="259" s="1"/>
  <c r="M204" i="259" s="1"/>
  <c r="J119" i="259"/>
  <c r="O305" i="259"/>
  <c r="K265" i="259"/>
  <c r="W335" i="259"/>
  <c r="M324" i="259"/>
  <c r="M17" i="259" s="1"/>
  <c r="M37" i="259" s="1"/>
  <c r="Z321" i="259"/>
  <c r="Z308" i="259"/>
  <c r="N308" i="259"/>
  <c r="X308" i="259"/>
  <c r="Y298" i="259"/>
  <c r="P296" i="259"/>
  <c r="L296" i="259"/>
  <c r="T285" i="259"/>
  <c r="L267" i="259"/>
  <c r="U229" i="259"/>
  <c r="U203" i="259"/>
  <c r="M334" i="259"/>
  <c r="Y313" i="259"/>
  <c r="Y317" i="259" s="1"/>
  <c r="T308" i="259"/>
  <c r="P308" i="259"/>
  <c r="T300" i="259"/>
  <c r="T305" i="259" s="1"/>
  <c r="Q267" i="259"/>
  <c r="W265" i="259"/>
  <c r="S265" i="259"/>
  <c r="O265" i="259"/>
  <c r="W249" i="259"/>
  <c r="T248" i="259"/>
  <c r="T21" i="259" s="1"/>
  <c r="V235" i="259"/>
  <c r="R235" i="259"/>
  <c r="N235" i="259"/>
  <c r="K235" i="259"/>
  <c r="K236" i="259" s="1"/>
  <c r="Y333" i="259"/>
  <c r="Y335" i="259" s="1"/>
  <c r="U333" i="259"/>
  <c r="U334" i="259" s="1"/>
  <c r="Q333" i="259"/>
  <c r="Q334" i="259" s="1"/>
  <c r="R203" i="259"/>
  <c r="R186" i="259"/>
  <c r="N186" i="259"/>
  <c r="T313" i="259"/>
  <c r="P313" i="259"/>
  <c r="Q310" i="259" s="1"/>
  <c r="W303" i="259"/>
  <c r="Z281" i="259"/>
  <c r="AD281" i="259" s="1"/>
  <c r="AE281" i="259" s="1"/>
  <c r="AF281" i="259" s="1"/>
  <c r="AG281" i="259" s="1"/>
  <c r="AH281" i="259" s="1"/>
  <c r="AI281" i="259" s="1"/>
  <c r="AJ281" i="259" s="1"/>
  <c r="AK281" i="259" s="1"/>
  <c r="AL281" i="259" s="1"/>
  <c r="Y339" i="259"/>
  <c r="Y340" i="259" s="1"/>
  <c r="U339" i="259"/>
  <c r="U340" i="259" s="1"/>
  <c r="L229" i="259"/>
  <c r="V186" i="259"/>
  <c r="R165" i="259"/>
  <c r="N57" i="259"/>
  <c r="N50" i="259" s="1"/>
  <c r="H4" i="259"/>
  <c r="N335" i="259"/>
  <c r="L321" i="259"/>
  <c r="Q298" i="259"/>
  <c r="V267" i="259"/>
  <c r="Q265" i="259"/>
  <c r="Y235" i="259"/>
  <c r="U235" i="259"/>
  <c r="Q235" i="259"/>
  <c r="M235" i="259"/>
  <c r="M229" i="259"/>
  <c r="Q339" i="259"/>
  <c r="Q340" i="259" s="1"/>
  <c r="M339" i="259"/>
  <c r="M340" i="259" s="1"/>
  <c r="V203" i="259"/>
  <c r="V204" i="259" s="1"/>
  <c r="Q165" i="259"/>
  <c r="M165" i="259"/>
  <c r="Z313" i="259"/>
  <c r="V313" i="259"/>
  <c r="V317" i="259" s="1"/>
  <c r="R313" i="259"/>
  <c r="R317" i="259" s="1"/>
  <c r="N313" i="259"/>
  <c r="N317" i="259" s="1"/>
  <c r="Q308" i="259"/>
  <c r="Y308" i="259"/>
  <c r="U308" i="259"/>
  <c r="M308" i="259"/>
  <c r="L305" i="259"/>
  <c r="X305" i="259"/>
  <c r="O303" i="259"/>
  <c r="L303" i="259"/>
  <c r="O298" i="259"/>
  <c r="Y290" i="259"/>
  <c r="W285" i="259"/>
  <c r="Y283" i="259"/>
  <c r="S249" i="259"/>
  <c r="P235" i="259"/>
  <c r="L235" i="259"/>
  <c r="K229" i="259"/>
  <c r="K230" i="259" s="1"/>
  <c r="K231" i="259" s="1"/>
  <c r="S218" i="259"/>
  <c r="U218" i="259"/>
  <c r="T217" i="259"/>
  <c r="T218" i="259" s="1"/>
  <c r="Z203" i="259"/>
  <c r="T165" i="259"/>
  <c r="P165" i="259"/>
  <c r="X115" i="259"/>
  <c r="U291" i="259"/>
  <c r="U290" i="259"/>
  <c r="P321" i="259"/>
  <c r="Z295" i="259"/>
  <c r="Z298" i="259" s="1"/>
  <c r="R296" i="259"/>
  <c r="S298" i="259"/>
  <c r="S293" i="259"/>
  <c r="S296" i="259" s="1"/>
  <c r="X277" i="259"/>
  <c r="X281" i="259" s="1"/>
  <c r="X282" i="259"/>
  <c r="T323" i="259"/>
  <c r="T15" i="259" s="1"/>
  <c r="S324" i="259"/>
  <c r="S17" i="259" s="1"/>
  <c r="S269" i="259"/>
  <c r="S273" i="259" s="1"/>
  <c r="X303" i="259"/>
  <c r="X291" i="259"/>
  <c r="X290" i="259"/>
  <c r="W289" i="259"/>
  <c r="W290" i="259" s="1"/>
  <c r="W283" i="259"/>
  <c r="Z283" i="259"/>
  <c r="Z278" i="259"/>
  <c r="W277" i="259"/>
  <c r="W281" i="259" s="1"/>
  <c r="W282" i="259"/>
  <c r="V282" i="259"/>
  <c r="V283" i="259"/>
  <c r="Z235" i="259"/>
  <c r="AA236" i="259" s="1"/>
  <c r="T339" i="259"/>
  <c r="T340" i="259" s="1"/>
  <c r="T333" i="259"/>
  <c r="U318" i="259"/>
  <c r="S313" i="259"/>
  <c r="N300" i="259"/>
  <c r="N305" i="259" s="1"/>
  <c r="P305" i="259"/>
  <c r="Z282" i="259"/>
  <c r="X267" i="259"/>
  <c r="T267" i="259"/>
  <c r="Z217" i="259"/>
  <c r="Z222" i="259" s="1"/>
  <c r="Y218" i="259"/>
  <c r="Q218" i="259"/>
  <c r="K211" i="259"/>
  <c r="K213" i="259" s="1"/>
  <c r="P199" i="259"/>
  <c r="P203" i="259" s="1"/>
  <c r="W193" i="259"/>
  <c r="W199" i="259" s="1"/>
  <c r="W203" i="259" s="1"/>
  <c r="W206" i="259"/>
  <c r="W207" i="259" s="1"/>
  <c r="S193" i="259"/>
  <c r="S199" i="259" s="1"/>
  <c r="S203" i="259" s="1"/>
  <c r="S204" i="259" s="1"/>
  <c r="S206" i="259"/>
  <c r="S207" i="259" s="1"/>
  <c r="O193" i="259"/>
  <c r="O199" i="259" s="1"/>
  <c r="O203" i="259" s="1"/>
  <c r="O206" i="259"/>
  <c r="O207" i="259" s="1"/>
  <c r="K193" i="259"/>
  <c r="K199" i="259" s="1"/>
  <c r="K203" i="259" s="1"/>
  <c r="K206" i="259"/>
  <c r="K207" i="259" s="1"/>
  <c r="Z206" i="259"/>
  <c r="Z207" i="259" s="1"/>
  <c r="Z208" i="259"/>
  <c r="Z179" i="259"/>
  <c r="Z186" i="259" s="1"/>
  <c r="V206" i="259"/>
  <c r="V207" i="259" s="1"/>
  <c r="V208" i="259"/>
  <c r="L59" i="259"/>
  <c r="L52" i="259" s="1"/>
  <c r="V310" i="259"/>
  <c r="M318" i="259"/>
  <c r="W293" i="259"/>
  <c r="W296" i="259" s="1"/>
  <c r="W298" i="259"/>
  <c r="N298" i="259"/>
  <c r="T277" i="259"/>
  <c r="T281" i="259" s="1"/>
  <c r="O321" i="259"/>
  <c r="R322" i="259"/>
  <c r="V296" i="259"/>
  <c r="S289" i="259"/>
  <c r="S291" i="259" s="1"/>
  <c r="Y278" i="259"/>
  <c r="Y281" i="259"/>
  <c r="X339" i="259"/>
  <c r="X340" i="259" s="1"/>
  <c r="X333" i="259"/>
  <c r="W324" i="259"/>
  <c r="W17" i="259" s="1"/>
  <c r="O313" i="259"/>
  <c r="K313" i="259"/>
  <c r="L310" i="259" s="1"/>
  <c r="N310" i="259"/>
  <c r="M305" i="259"/>
  <c r="Y300" i="259"/>
  <c r="Y305" i="259" s="1"/>
  <c r="U300" i="259"/>
  <c r="U305" i="259" s="1"/>
  <c r="Q300" i="259"/>
  <c r="P303" i="259"/>
  <c r="V300" i="259"/>
  <c r="V305" i="259" s="1"/>
  <c r="V298" i="259"/>
  <c r="O293" i="259"/>
  <c r="O296" i="259" s="1"/>
  <c r="X285" i="259"/>
  <c r="V278" i="259"/>
  <c r="U281" i="259"/>
  <c r="Z115" i="259"/>
  <c r="Z248" i="259"/>
  <c r="Z21" i="259" s="1"/>
  <c r="V115" i="259"/>
  <c r="V248" i="259"/>
  <c r="V21" i="259" s="1"/>
  <c r="R115" i="259"/>
  <c r="R248" i="259"/>
  <c r="R21" i="259" s="1"/>
  <c r="X218" i="259"/>
  <c r="X222" i="259"/>
  <c r="O209" i="259"/>
  <c r="AD200" i="259"/>
  <c r="Y179" i="259"/>
  <c r="Y186" i="259" s="1"/>
  <c r="Y208" i="259"/>
  <c r="U179" i="259"/>
  <c r="U186" i="259" s="1"/>
  <c r="U208" i="259"/>
  <c r="X137" i="259"/>
  <c r="L137" i="259"/>
  <c r="M51" i="259"/>
  <c r="N58" i="259"/>
  <c r="M59" i="259"/>
  <c r="M52" i="259" s="1"/>
  <c r="S305" i="259"/>
  <c r="N267" i="259"/>
  <c r="T115" i="259"/>
  <c r="AC60" i="259"/>
  <c r="AG60" i="259" s="1"/>
  <c r="AK60" i="259" s="1"/>
  <c r="AD60" i="259"/>
  <c r="AH60" i="259" s="1"/>
  <c r="AL60" i="259" s="1"/>
  <c r="N293" i="259"/>
  <c r="N296" i="259" s="1"/>
  <c r="M265" i="259"/>
  <c r="N322" i="259"/>
  <c r="W12" i="259"/>
  <c r="W30" i="259" s="1"/>
  <c r="W14" i="259"/>
  <c r="W15" i="259"/>
  <c r="W16" i="259"/>
  <c r="S12" i="259"/>
  <c r="S30" i="259" s="1"/>
  <c r="S14" i="259"/>
  <c r="S15" i="259"/>
  <c r="S16" i="259"/>
  <c r="K321" i="259"/>
  <c r="Z303" i="259"/>
  <c r="R303" i="259"/>
  <c r="W305" i="259"/>
  <c r="R298" i="259"/>
  <c r="M298" i="259"/>
  <c r="Y293" i="259"/>
  <c r="Y296" i="259" s="1"/>
  <c r="X298" i="259"/>
  <c r="U293" i="259"/>
  <c r="U296" i="259" s="1"/>
  <c r="T298" i="259"/>
  <c r="Q293" i="259"/>
  <c r="Q296" i="259" s="1"/>
  <c r="P298" i="259"/>
  <c r="M293" i="259"/>
  <c r="M296" i="259" s="1"/>
  <c r="L298" i="259"/>
  <c r="X296" i="259"/>
  <c r="Z285" i="259"/>
  <c r="V285" i="259"/>
  <c r="U283" i="259"/>
  <c r="X283" i="259"/>
  <c r="T283" i="259"/>
  <c r="V281" i="259"/>
  <c r="W269" i="259"/>
  <c r="W273" i="259" s="1"/>
  <c r="R267" i="259"/>
  <c r="M267" i="259"/>
  <c r="V218" i="259"/>
  <c r="R218" i="259"/>
  <c r="AA217" i="259"/>
  <c r="AA218" i="259" s="1"/>
  <c r="M12" i="259"/>
  <c r="M30" i="259" s="1"/>
  <c r="M14" i="259"/>
  <c r="M15" i="259"/>
  <c r="M16" i="259"/>
  <c r="M269" i="259"/>
  <c r="M273" i="259" s="1"/>
  <c r="W267" i="259"/>
  <c r="S267" i="259"/>
  <c r="O267" i="259"/>
  <c r="M137" i="259"/>
  <c r="AC75" i="259"/>
  <c r="AA53" i="259"/>
  <c r="J3" i="259"/>
  <c r="Y312" i="43"/>
  <c r="Y311" i="43"/>
  <c r="Y304" i="43"/>
  <c r="Y299" i="43"/>
  <c r="X299" i="43"/>
  <c r="Y298" i="43"/>
  <c r="X298" i="43"/>
  <c r="Y301" i="43"/>
  <c r="Y294" i="43"/>
  <c r="L236" i="259" l="1"/>
  <c r="L238" i="259" s="1"/>
  <c r="Y236" i="259"/>
  <c r="AH64" i="259"/>
  <c r="AG70" i="259"/>
  <c r="AF63" i="259"/>
  <c r="AE69" i="259"/>
  <c r="AF65" i="259"/>
  <c r="AE71" i="259"/>
  <c r="AC391" i="43"/>
  <c r="AB367" i="43"/>
  <c r="AA385" i="43"/>
  <c r="AA615" i="43"/>
  <c r="AB615" i="43"/>
  <c r="AC385" i="43"/>
  <c r="AC367" i="43"/>
  <c r="Y70" i="259"/>
  <c r="Y71" i="259"/>
  <c r="W69" i="259"/>
  <c r="O211" i="259"/>
  <c r="O213" i="259" s="1"/>
  <c r="S230" i="259"/>
  <c r="S231" i="259" s="1"/>
  <c r="Q269" i="259"/>
  <c r="Q273" i="259" s="1"/>
  <c r="P236" i="259"/>
  <c r="P237" i="259" s="1"/>
  <c r="O240" i="259"/>
  <c r="V318" i="259"/>
  <c r="R204" i="259"/>
  <c r="W236" i="259"/>
  <c r="W238" i="259" s="1"/>
  <c r="S211" i="259"/>
  <c r="S213" i="259" s="1"/>
  <c r="O230" i="259"/>
  <c r="O231" i="259" s="1"/>
  <c r="V230" i="259"/>
  <c r="V231" i="259" s="1"/>
  <c r="T204" i="259"/>
  <c r="L312" i="259"/>
  <c r="O204" i="259"/>
  <c r="S335" i="259"/>
  <c r="Q12" i="259"/>
  <c r="Q30" i="259" s="1"/>
  <c r="L318" i="259"/>
  <c r="T290" i="259"/>
  <c r="R240" i="259"/>
  <c r="X230" i="259"/>
  <c r="X231" i="259" s="1"/>
  <c r="T236" i="259"/>
  <c r="T238" i="259" s="1"/>
  <c r="R211" i="259"/>
  <c r="R213" i="259" s="1"/>
  <c r="AC627" i="43"/>
  <c r="AC373" i="43" s="1"/>
  <c r="U204" i="259"/>
  <c r="Q14" i="259"/>
  <c r="Q33" i="259" s="1"/>
  <c r="Q43" i="259" s="1"/>
  <c r="V240" i="259"/>
  <c r="Q15" i="259"/>
  <c r="Q34" i="259" s="1"/>
  <c r="O316" i="259"/>
  <c r="O317" i="259"/>
  <c r="P316" i="259"/>
  <c r="P317" i="259"/>
  <c r="AA115" i="259"/>
  <c r="AA230" i="259"/>
  <c r="AA231" i="259" s="1"/>
  <c r="Z290" i="259"/>
  <c r="S316" i="259"/>
  <c r="S317" i="259"/>
  <c r="AA310" i="259"/>
  <c r="AA312" i="259" s="1"/>
  <c r="Z317" i="259"/>
  <c r="T316" i="259"/>
  <c r="T317" i="259"/>
  <c r="AA237" i="259"/>
  <c r="AA238" i="259"/>
  <c r="Q318" i="259"/>
  <c r="M316" i="259"/>
  <c r="M317" i="259"/>
  <c r="AJ306" i="259"/>
  <c r="Z318" i="259"/>
  <c r="Z316" i="259"/>
  <c r="X316" i="259"/>
  <c r="N318" i="259"/>
  <c r="N316" i="259"/>
  <c r="Z310" i="259"/>
  <c r="Z312" i="259" s="1"/>
  <c r="Y316" i="259"/>
  <c r="R310" i="259"/>
  <c r="R312" i="259" s="1"/>
  <c r="Q316" i="259"/>
  <c r="Y230" i="259"/>
  <c r="Y231" i="259" s="1"/>
  <c r="R318" i="259"/>
  <c r="R316" i="259"/>
  <c r="X211" i="259"/>
  <c r="X213" i="259" s="1"/>
  <c r="M310" i="259"/>
  <c r="M312" i="259" s="1"/>
  <c r="L316" i="259"/>
  <c r="X240" i="259"/>
  <c r="W310" i="259"/>
  <c r="W312" i="259" s="1"/>
  <c r="V316" i="259"/>
  <c r="X310" i="259"/>
  <c r="X312" i="259" s="1"/>
  <c r="W316" i="259"/>
  <c r="T230" i="259"/>
  <c r="T231" i="259" s="1"/>
  <c r="W690" i="43"/>
  <c r="W696" i="43" s="1"/>
  <c r="Z697" i="43"/>
  <c r="Z693" i="43"/>
  <c r="Z695" i="43"/>
  <c r="Z692" i="43"/>
  <c r="Z691" i="43"/>
  <c r="AF690" i="43"/>
  <c r="AF696" i="43" s="1"/>
  <c r="AD690" i="43"/>
  <c r="AD696" i="43" s="1"/>
  <c r="AE690" i="43"/>
  <c r="Z694" i="43"/>
  <c r="Y690" i="43"/>
  <c r="AC690" i="43"/>
  <c r="AC696" i="43" s="1"/>
  <c r="AQ686" i="43"/>
  <c r="AA690" i="43"/>
  <c r="Z696" i="43"/>
  <c r="AR688" i="43"/>
  <c r="AG690" i="43"/>
  <c r="X690" i="43"/>
  <c r="X696" i="43" s="1"/>
  <c r="AB688" i="43"/>
  <c r="AP686" i="43"/>
  <c r="AA627" i="43"/>
  <c r="AA373" i="43" s="1"/>
  <c r="AA624" i="43"/>
  <c r="AA628" i="43" s="1"/>
  <c r="AA379" i="43" s="1"/>
  <c r="Y10" i="260"/>
  <c r="F51" i="260"/>
  <c r="W338" i="259"/>
  <c r="V334" i="259"/>
  <c r="R230" i="259"/>
  <c r="R231" i="259" s="1"/>
  <c r="M240" i="259"/>
  <c r="U236" i="259"/>
  <c r="U238" i="259" s="1"/>
  <c r="Q204" i="259"/>
  <c r="Y204" i="259"/>
  <c r="K240" i="259"/>
  <c r="S272" i="259"/>
  <c r="N211" i="259"/>
  <c r="N213" i="259" s="1"/>
  <c r="J5" i="259"/>
  <c r="J6" i="259" s="1"/>
  <c r="L204" i="259"/>
  <c r="Y334" i="259"/>
  <c r="W209" i="259"/>
  <c r="X278" i="259"/>
  <c r="X14" i="259"/>
  <c r="X107" i="259" s="1"/>
  <c r="P204" i="259"/>
  <c r="Q209" i="259"/>
  <c r="V290" i="259"/>
  <c r="T240" i="259"/>
  <c r="N240" i="259"/>
  <c r="M45" i="259"/>
  <c r="X324" i="259"/>
  <c r="X17" i="259" s="1"/>
  <c r="X111" i="259" s="1"/>
  <c r="X136" i="259" s="1"/>
  <c r="X12" i="259"/>
  <c r="T318" i="259"/>
  <c r="Y240" i="259"/>
  <c r="K204" i="259"/>
  <c r="S45" i="259"/>
  <c r="Y310" i="259"/>
  <c r="Y312" i="259" s="1"/>
  <c r="O236" i="259"/>
  <c r="O238" i="259" s="1"/>
  <c r="X269" i="259"/>
  <c r="X273" i="259" s="1"/>
  <c r="U310" i="259"/>
  <c r="U312" i="259" s="1"/>
  <c r="X318" i="259"/>
  <c r="W218" i="259"/>
  <c r="X16" i="259"/>
  <c r="X36" i="259" s="1"/>
  <c r="Y323" i="259"/>
  <c r="Y324" i="259" s="1"/>
  <c r="Y17" i="259" s="1"/>
  <c r="Y37" i="259" s="1"/>
  <c r="W45" i="259"/>
  <c r="Q335" i="259"/>
  <c r="P230" i="259"/>
  <c r="P231" i="259" s="1"/>
  <c r="Q36" i="259"/>
  <c r="Q109" i="259"/>
  <c r="O57" i="259"/>
  <c r="P57" i="259" s="1"/>
  <c r="M270" i="259"/>
  <c r="Z230" i="259"/>
  <c r="Z231" i="259" s="1"/>
  <c r="W211" i="259"/>
  <c r="W213" i="259" s="1"/>
  <c r="W204" i="259"/>
  <c r="Q230" i="259"/>
  <c r="Q231" i="259" s="1"/>
  <c r="AA165" i="259"/>
  <c r="Q324" i="259"/>
  <c r="Q17" i="259" s="1"/>
  <c r="L323" i="259"/>
  <c r="L269" i="259" s="1"/>
  <c r="L273" i="259" s="1"/>
  <c r="R334" i="259"/>
  <c r="Z296" i="259"/>
  <c r="L230" i="259"/>
  <c r="L231" i="259" s="1"/>
  <c r="X236" i="259"/>
  <c r="X204" i="259"/>
  <c r="N303" i="259"/>
  <c r="N312" i="259"/>
  <c r="V236" i="259"/>
  <c r="V237" i="259" s="1"/>
  <c r="T222" i="259"/>
  <c r="N236" i="259"/>
  <c r="N238" i="259" s="1"/>
  <c r="N230" i="259"/>
  <c r="N231" i="259" s="1"/>
  <c r="U240" i="259"/>
  <c r="Z335" i="259"/>
  <c r="Z338" i="259" s="1"/>
  <c r="Z334" i="259"/>
  <c r="V312" i="259"/>
  <c r="O310" i="259"/>
  <c r="O312" i="259" s="1"/>
  <c r="U230" i="259"/>
  <c r="U231" i="259" s="1"/>
  <c r="Q312" i="259"/>
  <c r="W318" i="259"/>
  <c r="T211" i="259"/>
  <c r="T213" i="259" s="1"/>
  <c r="T209" i="259"/>
  <c r="L211" i="259"/>
  <c r="L213" i="259" s="1"/>
  <c r="L237" i="259"/>
  <c r="L240" i="259"/>
  <c r="P209" i="259"/>
  <c r="Q211" i="259"/>
  <c r="Q213" i="259" s="1"/>
  <c r="M211" i="259"/>
  <c r="M213" i="259" s="1"/>
  <c r="M111" i="259"/>
  <c r="M136" i="259" s="1"/>
  <c r="Q236" i="259"/>
  <c r="P240" i="259"/>
  <c r="W272" i="259"/>
  <c r="U335" i="259"/>
  <c r="V338" i="259" s="1"/>
  <c r="Z204" i="259"/>
  <c r="R236" i="259"/>
  <c r="R238" i="259" s="1"/>
  <c r="U303" i="259"/>
  <c r="Q240" i="259"/>
  <c r="M230" i="259"/>
  <c r="M231" i="259" s="1"/>
  <c r="P318" i="259"/>
  <c r="N204" i="259"/>
  <c r="K237" i="259"/>
  <c r="K238" i="259"/>
  <c r="AA116" i="259"/>
  <c r="S310" i="259"/>
  <c r="S312" i="259" s="1"/>
  <c r="Q270" i="259"/>
  <c r="T278" i="259"/>
  <c r="Q272" i="259"/>
  <c r="T303" i="259"/>
  <c r="M236" i="259"/>
  <c r="S236" i="259"/>
  <c r="Y318" i="259"/>
  <c r="K323" i="259"/>
  <c r="K15" i="259" s="1"/>
  <c r="N321" i="259"/>
  <c r="I321" i="259" s="1"/>
  <c r="T34" i="259"/>
  <c r="T35" i="259"/>
  <c r="T108" i="259"/>
  <c r="W37" i="259"/>
  <c r="W111" i="259"/>
  <c r="W136" i="259" s="1"/>
  <c r="O323" i="259"/>
  <c r="O14" i="259" s="1"/>
  <c r="R321" i="259"/>
  <c r="T324" i="259"/>
  <c r="T17" i="259" s="1"/>
  <c r="T269" i="259"/>
  <c r="T273" i="259" s="1"/>
  <c r="AB53" i="259"/>
  <c r="AC188" i="259"/>
  <c r="M33" i="259"/>
  <c r="M43" i="259" s="1"/>
  <c r="M38" i="259"/>
  <c r="M107" i="259"/>
  <c r="S13" i="259"/>
  <c r="S105" i="259"/>
  <c r="S106" i="259" s="1"/>
  <c r="T14" i="259"/>
  <c r="X334" i="259"/>
  <c r="X335" i="259"/>
  <c r="P323" i="259"/>
  <c r="P14" i="259" s="1"/>
  <c r="AD75" i="259"/>
  <c r="AC55" i="259"/>
  <c r="M13" i="259"/>
  <c r="M105" i="259"/>
  <c r="M106" i="259" s="1"/>
  <c r="M272" i="259"/>
  <c r="V303" i="259"/>
  <c r="S36" i="259"/>
  <c r="S109" i="259"/>
  <c r="W13" i="259"/>
  <c r="W105" i="259"/>
  <c r="W106" i="259" s="1"/>
  <c r="T12" i="259"/>
  <c r="T30" i="259" s="1"/>
  <c r="P310" i="259"/>
  <c r="P312" i="259" s="1"/>
  <c r="O318" i="259"/>
  <c r="Y237" i="259"/>
  <c r="Y238" i="259"/>
  <c r="S270" i="259"/>
  <c r="W278" i="259"/>
  <c r="Y303" i="259"/>
  <c r="W291" i="259"/>
  <c r="M35" i="259"/>
  <c r="M108" i="259"/>
  <c r="M34" i="259"/>
  <c r="S33" i="259"/>
  <c r="S43" i="259" s="1"/>
  <c r="S38" i="259"/>
  <c r="S107" i="259"/>
  <c r="W34" i="259"/>
  <c r="W35" i="259"/>
  <c r="W108" i="259"/>
  <c r="AE200" i="259"/>
  <c r="W270" i="259"/>
  <c r="T310" i="259"/>
  <c r="T312" i="259" s="1"/>
  <c r="AC234" i="259"/>
  <c r="U323" i="259"/>
  <c r="W33" i="259"/>
  <c r="W43" i="259" s="1"/>
  <c r="W38" i="259"/>
  <c r="W107" i="259"/>
  <c r="O58" i="259"/>
  <c r="N51" i="259"/>
  <c r="Y211" i="259"/>
  <c r="Y213" i="259" s="1"/>
  <c r="Y209" i="259"/>
  <c r="O12" i="259"/>
  <c r="O30" i="259" s="1"/>
  <c r="Z240" i="259"/>
  <c r="Z236" i="259"/>
  <c r="K3" i="259"/>
  <c r="J4" i="259"/>
  <c r="N59" i="259"/>
  <c r="N52" i="259" s="1"/>
  <c r="M36" i="259"/>
  <c r="M109" i="259"/>
  <c r="Q107" i="259"/>
  <c r="Z218" i="259"/>
  <c r="S34" i="259"/>
  <c r="S35" i="259"/>
  <c r="S108" i="259"/>
  <c r="W36" i="259"/>
  <c r="W109" i="259"/>
  <c r="X34" i="259"/>
  <c r="X35" i="259"/>
  <c r="X108" i="259"/>
  <c r="T16" i="259"/>
  <c r="U209" i="259"/>
  <c r="U211" i="259"/>
  <c r="U213" i="259" s="1"/>
  <c r="Q305" i="259"/>
  <c r="Q303" i="259"/>
  <c r="V209" i="259"/>
  <c r="V211" i="259"/>
  <c r="V213" i="259" s="1"/>
  <c r="Z209" i="259"/>
  <c r="Z211" i="259"/>
  <c r="Z213" i="259" s="1"/>
  <c r="S318" i="259"/>
  <c r="T334" i="259"/>
  <c r="T335" i="259"/>
  <c r="S37" i="259"/>
  <c r="S111" i="259"/>
  <c r="S136" i="259" s="1"/>
  <c r="Y267" i="43"/>
  <c r="Z263" i="43" s="1"/>
  <c r="AN325" i="43"/>
  <c r="AM325" i="43"/>
  <c r="AL325" i="43"/>
  <c r="AK325" i="43"/>
  <c r="AJ325" i="43"/>
  <c r="AI325" i="43"/>
  <c r="AH325" i="43"/>
  <c r="AG325" i="43"/>
  <c r="Y310" i="43"/>
  <c r="Z290" i="43"/>
  <c r="AC259" i="43"/>
  <c r="AC261" i="43" s="1"/>
  <c r="Y231" i="43"/>
  <c r="Y230" i="43"/>
  <c r="AG65" i="259" l="1"/>
  <c r="AF71" i="259"/>
  <c r="AI64" i="259"/>
  <c r="AH70" i="259"/>
  <c r="AG63" i="259"/>
  <c r="AF69" i="259"/>
  <c r="AA696" i="43"/>
  <c r="V69" i="259"/>
  <c r="X71" i="259"/>
  <c r="X70" i="259"/>
  <c r="P238" i="259"/>
  <c r="Q13" i="259"/>
  <c r="W237" i="259"/>
  <c r="T237" i="259"/>
  <c r="O237" i="259"/>
  <c r="Q105" i="259"/>
  <c r="Q106" i="259" s="1"/>
  <c r="X37" i="259"/>
  <c r="Q35" i="259"/>
  <c r="Q45" i="259"/>
  <c r="Q46" i="259" s="1"/>
  <c r="X33" i="259"/>
  <c r="X43" i="259" s="1"/>
  <c r="Q108" i="259"/>
  <c r="Q110" i="259" s="1"/>
  <c r="U237" i="259"/>
  <c r="Q38" i="259"/>
  <c r="L270" i="259"/>
  <c r="X105" i="259"/>
  <c r="X106" i="259" s="1"/>
  <c r="X30" i="259"/>
  <c r="AK306" i="259"/>
  <c r="AG697" i="43"/>
  <c r="AG695" i="43"/>
  <c r="AG692" i="43"/>
  <c r="AG693" i="43"/>
  <c r="AG691" i="43"/>
  <c r="AG694" i="43"/>
  <c r="AE695" i="43"/>
  <c r="AE697" i="43"/>
  <c r="AE692" i="43"/>
  <c r="AE693" i="43"/>
  <c r="AE691" i="43"/>
  <c r="AE694" i="43"/>
  <c r="AA695" i="43"/>
  <c r="AA697" i="43"/>
  <c r="AA691" i="43"/>
  <c r="AA692" i="43"/>
  <c r="AA693" i="43"/>
  <c r="AA694" i="43"/>
  <c r="AG696" i="43"/>
  <c r="AD695" i="43"/>
  <c r="AD697" i="43"/>
  <c r="AD691" i="43"/>
  <c r="AD692" i="43"/>
  <c r="AD693" i="43"/>
  <c r="AD694" i="43"/>
  <c r="Y697" i="43"/>
  <c r="Y695" i="43"/>
  <c r="Y692" i="43"/>
  <c r="Y693" i="43"/>
  <c r="Y691" i="43"/>
  <c r="Y694" i="43"/>
  <c r="AC697" i="43"/>
  <c r="AC692" i="43"/>
  <c r="AC695" i="43"/>
  <c r="AC691" i="43"/>
  <c r="AC693" i="43"/>
  <c r="AC694" i="43"/>
  <c r="X697" i="43"/>
  <c r="X695" i="43"/>
  <c r="X693" i="43"/>
  <c r="X692" i="43"/>
  <c r="X691" i="43"/>
  <c r="X694" i="43"/>
  <c r="Y696" i="43"/>
  <c r="AE696" i="43"/>
  <c r="AF697" i="43"/>
  <c r="AF695" i="43"/>
  <c r="AF693" i="43"/>
  <c r="AF692" i="43"/>
  <c r="AF694" i="43"/>
  <c r="AF691" i="43"/>
  <c r="W695" i="43"/>
  <c r="W697" i="43"/>
  <c r="W693" i="43"/>
  <c r="W692" i="43"/>
  <c r="W691" i="43"/>
  <c r="W694" i="43"/>
  <c r="AB690" i="43"/>
  <c r="AB696" i="43" s="1"/>
  <c r="AP688" i="43"/>
  <c r="AQ688" i="43"/>
  <c r="AR690" i="43"/>
  <c r="Y315" i="43"/>
  <c r="Y313" i="43"/>
  <c r="G51" i="260"/>
  <c r="Z10" i="260"/>
  <c r="Y16" i="259"/>
  <c r="Y36" i="259" s="1"/>
  <c r="K5" i="259"/>
  <c r="L5" i="259" s="1"/>
  <c r="Y111" i="259"/>
  <c r="Y136" i="259" s="1"/>
  <c r="Y14" i="259"/>
  <c r="Y269" i="259"/>
  <c r="Y273" i="259" s="1"/>
  <c r="Y15" i="259"/>
  <c r="Y35" i="259" s="1"/>
  <c r="H322" i="259"/>
  <c r="Z323" i="259"/>
  <c r="Z15" i="259" s="1"/>
  <c r="Y12" i="259"/>
  <c r="Y30" i="259" s="1"/>
  <c r="W46" i="259"/>
  <c r="X13" i="259"/>
  <c r="X18" i="259" s="1"/>
  <c r="X32" i="259" s="1"/>
  <c r="X109" i="259"/>
  <c r="X110" i="259" s="1"/>
  <c r="L272" i="259"/>
  <c r="L12" i="259"/>
  <c r="L30" i="259" s="1"/>
  <c r="X45" i="259"/>
  <c r="R237" i="259"/>
  <c r="T45" i="259"/>
  <c r="X272" i="259"/>
  <c r="L324" i="259"/>
  <c r="L17" i="259" s="1"/>
  <c r="L15" i="259"/>
  <c r="L34" i="259" s="1"/>
  <c r="X38" i="259"/>
  <c r="L14" i="259"/>
  <c r="L33" i="259" s="1"/>
  <c r="L43" i="259" s="1"/>
  <c r="X270" i="259"/>
  <c r="Q37" i="259"/>
  <c r="Q111" i="259"/>
  <c r="Q136" i="259" s="1"/>
  <c r="J322" i="259"/>
  <c r="V238" i="259"/>
  <c r="O50" i="259"/>
  <c r="O324" i="259"/>
  <c r="O17" i="259" s="1"/>
  <c r="O37" i="259" s="1"/>
  <c r="X237" i="259"/>
  <c r="X238" i="259"/>
  <c r="G322" i="259"/>
  <c r="L16" i="259"/>
  <c r="O269" i="259"/>
  <c r="O273" i="259" s="1"/>
  <c r="O16" i="259"/>
  <c r="O36" i="259" s="1"/>
  <c r="K324" i="259"/>
  <c r="K17" i="259" s="1"/>
  <c r="K37" i="259" s="1"/>
  <c r="N237" i="259"/>
  <c r="K14" i="259"/>
  <c r="K107" i="259" s="1"/>
  <c r="L108" i="259"/>
  <c r="N323" i="259"/>
  <c r="N12" i="259" s="1"/>
  <c r="N30" i="259" s="1"/>
  <c r="P12" i="259"/>
  <c r="P30" i="259" s="1"/>
  <c r="O15" i="259"/>
  <c r="O34" i="259" s="1"/>
  <c r="P16" i="259"/>
  <c r="P109" i="259" s="1"/>
  <c r="S110" i="259"/>
  <c r="S241" i="259" s="1"/>
  <c r="I322" i="259"/>
  <c r="I323" i="259" s="1"/>
  <c r="I15" i="259" s="1"/>
  <c r="P324" i="259"/>
  <c r="P17" i="259" s="1"/>
  <c r="P37" i="259" s="1"/>
  <c r="R323" i="259"/>
  <c r="R12" i="259" s="1"/>
  <c r="R30" i="259" s="1"/>
  <c r="S238" i="259"/>
  <c r="S237" i="259"/>
  <c r="P15" i="259"/>
  <c r="P35" i="259" s="1"/>
  <c r="M237" i="259"/>
  <c r="M238" i="259"/>
  <c r="Q237" i="259"/>
  <c r="Q238" i="259"/>
  <c r="O33" i="259"/>
  <c r="O43" i="259" s="1"/>
  <c r="O107" i="259"/>
  <c r="K34" i="259"/>
  <c r="K35" i="259"/>
  <c r="K108" i="259"/>
  <c r="P33" i="259"/>
  <c r="P43" i="259" s="1"/>
  <c r="P107" i="259"/>
  <c r="L3" i="259"/>
  <c r="K4" i="259"/>
  <c r="U324" i="259"/>
  <c r="U17" i="259" s="1"/>
  <c r="U15" i="259"/>
  <c r="U16" i="259"/>
  <c r="U14" i="259"/>
  <c r="U269" i="259"/>
  <c r="U12" i="259"/>
  <c r="U30" i="259" s="1"/>
  <c r="P50" i="259"/>
  <c r="Q57" i="259"/>
  <c r="M110" i="259"/>
  <c r="P34" i="259"/>
  <c r="T33" i="259"/>
  <c r="T43" i="259" s="1"/>
  <c r="T107" i="259"/>
  <c r="T38" i="259"/>
  <c r="M18" i="259"/>
  <c r="M32" i="259" s="1"/>
  <c r="M29" i="259"/>
  <c r="Y338" i="259"/>
  <c r="X338" i="259"/>
  <c r="S18" i="259"/>
  <c r="S32" i="259" s="1"/>
  <c r="S29" i="259"/>
  <c r="T37" i="259"/>
  <c r="T111" i="259"/>
  <c r="T136" i="259" s="1"/>
  <c r="U338" i="259"/>
  <c r="T338" i="259"/>
  <c r="Z238" i="259"/>
  <c r="Z237" i="259"/>
  <c r="P58" i="259"/>
  <c r="O51" i="259"/>
  <c r="AC175" i="259"/>
  <c r="AC157" i="259" s="1"/>
  <c r="AD234" i="259"/>
  <c r="O59" i="259"/>
  <c r="O52" i="259" s="1"/>
  <c r="T13" i="259"/>
  <c r="T105" i="259"/>
  <c r="T106" i="259" s="1"/>
  <c r="W110" i="259"/>
  <c r="T270" i="259"/>
  <c r="H321" i="259"/>
  <c r="K16" i="259"/>
  <c r="O13" i="259"/>
  <c r="O105" i="259"/>
  <c r="O106" i="259" s="1"/>
  <c r="Q29" i="259"/>
  <c r="Q18" i="259"/>
  <c r="Q32" i="259" s="1"/>
  <c r="AD55" i="259"/>
  <c r="AE75" i="259"/>
  <c r="AA114" i="259"/>
  <c r="AA248" i="259"/>
  <c r="AA21" i="259" s="1"/>
  <c r="AF200" i="259"/>
  <c r="Z269" i="259"/>
  <c r="V323" i="259"/>
  <c r="T36" i="259"/>
  <c r="T109" i="259"/>
  <c r="W18" i="259"/>
  <c r="W32" i="259" s="1"/>
  <c r="W29" i="259"/>
  <c r="AC54" i="259"/>
  <c r="AC53" i="259" s="1"/>
  <c r="P269" i="259"/>
  <c r="K12" i="259"/>
  <c r="K30" i="259" s="1"/>
  <c r="AD188" i="259"/>
  <c r="T272" i="259"/>
  <c r="J321" i="259"/>
  <c r="G321" i="259"/>
  <c r="Z307" i="43"/>
  <c r="Y224" i="43"/>
  <c r="Y246" i="43"/>
  <c r="Y232" i="43"/>
  <c r="Z214" i="43"/>
  <c r="V214" i="43"/>
  <c r="R214" i="43"/>
  <c r="Y214" i="43"/>
  <c r="X214" i="43"/>
  <c r="X215" i="43" s="1"/>
  <c r="W214" i="43"/>
  <c r="U214" i="43"/>
  <c r="T214" i="43"/>
  <c r="S214" i="43"/>
  <c r="Q214" i="43"/>
  <c r="P214" i="43"/>
  <c r="P215" i="43" s="1"/>
  <c r="O214" i="43"/>
  <c r="O215" i="43" s="1"/>
  <c r="N214" i="43"/>
  <c r="N215" i="43" s="1"/>
  <c r="M214" i="43"/>
  <c r="M215" i="43" s="1"/>
  <c r="L214" i="43"/>
  <c r="L215" i="43" s="1"/>
  <c r="K214" i="43"/>
  <c r="K215" i="43" s="1"/>
  <c r="J214" i="43"/>
  <c r="J215" i="43" s="1"/>
  <c r="I214" i="43"/>
  <c r="I215" i="43" s="1"/>
  <c r="H214" i="43"/>
  <c r="H215" i="43" s="1"/>
  <c r="AN112" i="43"/>
  <c r="AM112" i="43"/>
  <c r="AL112" i="43"/>
  <c r="AK112" i="43"/>
  <c r="AJ112" i="43"/>
  <c r="AI112" i="43"/>
  <c r="AH112" i="43"/>
  <c r="AG112" i="43"/>
  <c r="AJ64" i="259" l="1"/>
  <c r="AI70" i="259"/>
  <c r="X29" i="259"/>
  <c r="AH63" i="259"/>
  <c r="AG69" i="259"/>
  <c r="AH65" i="259"/>
  <c r="AG71" i="259"/>
  <c r="W70" i="259"/>
  <c r="U69" i="259"/>
  <c r="W71" i="259"/>
  <c r="L107" i="259"/>
  <c r="Y108" i="259"/>
  <c r="K6" i="259"/>
  <c r="O111" i="259"/>
  <c r="O136" i="259" s="1"/>
  <c r="Y34" i="259"/>
  <c r="Z12" i="259"/>
  <c r="Z30" i="259" s="1"/>
  <c r="Y38" i="259"/>
  <c r="Z14" i="259"/>
  <c r="Z33" i="259" s="1"/>
  <c r="Z43" i="259" s="1"/>
  <c r="Z324" i="259"/>
  <c r="Z17" i="259" s="1"/>
  <c r="Z111" i="259" s="1"/>
  <c r="Z136" i="259" s="1"/>
  <c r="Z16" i="259"/>
  <c r="Y272" i="259"/>
  <c r="Y45" i="259"/>
  <c r="Y270" i="259"/>
  <c r="K111" i="259"/>
  <c r="K136" i="259" s="1"/>
  <c r="AL306" i="259"/>
  <c r="R15" i="259"/>
  <c r="R34" i="259" s="1"/>
  <c r="AQ690" i="43"/>
  <c r="AB695" i="43"/>
  <c r="AB697" i="43"/>
  <c r="AB693" i="43"/>
  <c r="AB692" i="43"/>
  <c r="AB691" i="43"/>
  <c r="AB694" i="43"/>
  <c r="AP690" i="43"/>
  <c r="H51" i="260"/>
  <c r="AA10" i="260"/>
  <c r="O109" i="259"/>
  <c r="Y13" i="259"/>
  <c r="Y105" i="259"/>
  <c r="Y106" i="259" s="1"/>
  <c r="Y109" i="259"/>
  <c r="Y33" i="259"/>
  <c r="Y43" i="259" s="1"/>
  <c r="Y107" i="259"/>
  <c r="P36" i="259"/>
  <c r="N15" i="259"/>
  <c r="O108" i="259"/>
  <c r="O110" i="259" s="1"/>
  <c r="L38" i="259"/>
  <c r="L35" i="259"/>
  <c r="X46" i="259"/>
  <c r="O35" i="259"/>
  <c r="P111" i="259"/>
  <c r="P136" i="259" s="1"/>
  <c r="K33" i="259"/>
  <c r="K43" i="259" s="1"/>
  <c r="P108" i="259"/>
  <c r="P45" i="259"/>
  <c r="T46" i="259" s="1"/>
  <c r="S113" i="259"/>
  <c r="S344" i="259" s="1"/>
  <c r="R13" i="259"/>
  <c r="L13" i="259"/>
  <c r="L45" i="259"/>
  <c r="L105" i="259"/>
  <c r="L106" i="259" s="1"/>
  <c r="O38" i="259"/>
  <c r="U45" i="259"/>
  <c r="U46" i="259" s="1"/>
  <c r="L37" i="259"/>
  <c r="L111" i="259"/>
  <c r="L136" i="259" s="1"/>
  <c r="O45" i="259"/>
  <c r="S46" i="259" s="1"/>
  <c r="N324" i="259"/>
  <c r="N17" i="259" s="1"/>
  <c r="N37" i="259" s="1"/>
  <c r="N14" i="259"/>
  <c r="R14" i="259"/>
  <c r="R33" i="259" s="1"/>
  <c r="R43" i="259" s="1"/>
  <c r="O272" i="259"/>
  <c r="L36" i="259"/>
  <c r="L109" i="259"/>
  <c r="O270" i="259"/>
  <c r="R105" i="259"/>
  <c r="R106" i="259" s="1"/>
  <c r="R324" i="259"/>
  <c r="R17" i="259" s="1"/>
  <c r="R37" i="259" s="1"/>
  <c r="N269" i="259"/>
  <c r="N270" i="259" s="1"/>
  <c r="R269" i="259"/>
  <c r="R270" i="259" s="1"/>
  <c r="I324" i="259"/>
  <c r="I17" i="259" s="1"/>
  <c r="I111" i="259" s="1"/>
  <c r="N16" i="259"/>
  <c r="N36" i="259" s="1"/>
  <c r="R16" i="259"/>
  <c r="R36" i="259" s="1"/>
  <c r="P38" i="259"/>
  <c r="N105" i="259"/>
  <c r="N106" i="259" s="1"/>
  <c r="N13" i="259"/>
  <c r="N29" i="259" s="1"/>
  <c r="P105" i="259"/>
  <c r="P106" i="259" s="1"/>
  <c r="P13" i="259"/>
  <c r="P29" i="259" s="1"/>
  <c r="I14" i="259"/>
  <c r="I107" i="259" s="1"/>
  <c r="K38" i="259"/>
  <c r="I34" i="259"/>
  <c r="I108" i="259"/>
  <c r="I35" i="259"/>
  <c r="P273" i="259"/>
  <c r="P272" i="259"/>
  <c r="P270" i="259"/>
  <c r="V324" i="259"/>
  <c r="V17" i="259" s="1"/>
  <c r="V15" i="259"/>
  <c r="V269" i="259"/>
  <c r="V16" i="259"/>
  <c r="V12" i="259"/>
  <c r="V30" i="259" s="1"/>
  <c r="V14" i="259"/>
  <c r="Z37" i="259"/>
  <c r="M5" i="259"/>
  <c r="L6" i="259"/>
  <c r="AD54" i="259"/>
  <c r="AD53" i="259" s="1"/>
  <c r="U37" i="259"/>
  <c r="U111" i="259"/>
  <c r="U136" i="259" s="1"/>
  <c r="AE188" i="259"/>
  <c r="Z36" i="259"/>
  <c r="Z109" i="259"/>
  <c r="Z34" i="259"/>
  <c r="Z35" i="259"/>
  <c r="Z108" i="259"/>
  <c r="W113" i="259"/>
  <c r="W241" i="259"/>
  <c r="AD175" i="259"/>
  <c r="AD157" i="259" s="1"/>
  <c r="AE234" i="259"/>
  <c r="I12" i="259"/>
  <c r="I30" i="259" s="1"/>
  <c r="S20" i="259"/>
  <c r="S22" i="259" s="1"/>
  <c r="S25" i="259" s="1"/>
  <c r="S27" i="259" s="1"/>
  <c r="S39" i="259"/>
  <c r="S31" i="259"/>
  <c r="M113" i="259"/>
  <c r="M241" i="259"/>
  <c r="U33" i="259"/>
  <c r="U43" i="259" s="1"/>
  <c r="U38" i="259"/>
  <c r="U107" i="259"/>
  <c r="G323" i="259"/>
  <c r="G12" i="259" s="1"/>
  <c r="G30" i="259" s="1"/>
  <c r="W20" i="259"/>
  <c r="W22" i="259" s="1"/>
  <c r="W25" i="259" s="1"/>
  <c r="W27" i="259" s="1"/>
  <c r="W31" i="259"/>
  <c r="W39" i="259"/>
  <c r="X113" i="259"/>
  <c r="X241" i="259"/>
  <c r="Z272" i="259"/>
  <c r="Z273" i="259"/>
  <c r="Z270" i="259"/>
  <c r="T110" i="259"/>
  <c r="Q58" i="259"/>
  <c r="P51" i="259"/>
  <c r="I16" i="259"/>
  <c r="Q50" i="259"/>
  <c r="R57" i="259"/>
  <c r="U36" i="259"/>
  <c r="U109" i="259"/>
  <c r="L4" i="259"/>
  <c r="M3" i="259"/>
  <c r="S117" i="259"/>
  <c r="S342" i="259"/>
  <c r="O18" i="259"/>
  <c r="O32" i="259" s="1"/>
  <c r="O29" i="259"/>
  <c r="K36" i="259"/>
  <c r="K109" i="259"/>
  <c r="U273" i="259"/>
  <c r="U272" i="259"/>
  <c r="U270" i="259"/>
  <c r="Q241" i="259"/>
  <c r="Q113" i="259"/>
  <c r="X31" i="259"/>
  <c r="X39" i="259"/>
  <c r="X20" i="259"/>
  <c r="X22" i="259" s="1"/>
  <c r="X25" i="259" s="1"/>
  <c r="X27" i="259" s="1"/>
  <c r="H323" i="259"/>
  <c r="H12" i="259" s="1"/>
  <c r="H30" i="259" s="1"/>
  <c r="J323" i="259"/>
  <c r="J324" i="259" s="1"/>
  <c r="J17" i="259" s="1"/>
  <c r="K13" i="259"/>
  <c r="K105" i="259"/>
  <c r="K106" i="259" s="1"/>
  <c r="AG200" i="259"/>
  <c r="S243" i="259"/>
  <c r="S242" i="259"/>
  <c r="AE55" i="259"/>
  <c r="AF75" i="259"/>
  <c r="Q31" i="259"/>
  <c r="Q39" i="259"/>
  <c r="Q20" i="259"/>
  <c r="Q22" i="259" s="1"/>
  <c r="Q25" i="259" s="1"/>
  <c r="Q27" i="259" s="1"/>
  <c r="T18" i="259"/>
  <c r="T32" i="259" s="1"/>
  <c r="T29" i="259"/>
  <c r="M20" i="259"/>
  <c r="M22" i="259" s="1"/>
  <c r="M25" i="259" s="1"/>
  <c r="M27" i="259" s="1"/>
  <c r="M31" i="259"/>
  <c r="M39" i="259"/>
  <c r="P59" i="259"/>
  <c r="P52" i="259" s="1"/>
  <c r="U13" i="259"/>
  <c r="U105" i="259"/>
  <c r="U106" i="259" s="1"/>
  <c r="U35" i="259"/>
  <c r="U108" i="259"/>
  <c r="U34" i="259"/>
  <c r="Y233" i="43"/>
  <c r="Y245" i="43"/>
  <c r="Y17" i="43" s="1"/>
  <c r="R215" i="43"/>
  <c r="V215" i="43"/>
  <c r="S215" i="43"/>
  <c r="W215" i="43"/>
  <c r="Q215" i="43"/>
  <c r="U215" i="43"/>
  <c r="Y215" i="43"/>
  <c r="T215" i="43"/>
  <c r="AI63" i="259" l="1"/>
  <c r="AH69" i="259"/>
  <c r="S345" i="259"/>
  <c r="S343" i="259"/>
  <c r="AI65" i="259"/>
  <c r="AH71" i="259"/>
  <c r="R272" i="259"/>
  <c r="AK64" i="259"/>
  <c r="AJ70" i="259"/>
  <c r="V70" i="259"/>
  <c r="V71" i="259"/>
  <c r="T69" i="259"/>
  <c r="Z107" i="259"/>
  <c r="Z38" i="259"/>
  <c r="N272" i="259"/>
  <c r="Z45" i="259"/>
  <c r="N111" i="259"/>
  <c r="N136" i="259" s="1"/>
  <c r="Z105" i="259"/>
  <c r="Z106" i="259" s="1"/>
  <c r="Z110" i="259" s="1"/>
  <c r="Z13" i="259"/>
  <c r="Z18" i="259" s="1"/>
  <c r="Z32" i="259" s="1"/>
  <c r="I37" i="259"/>
  <c r="R111" i="259"/>
  <c r="R136" i="259" s="1"/>
  <c r="R35" i="259"/>
  <c r="R109" i="259"/>
  <c r="R108" i="259"/>
  <c r="P110" i="259"/>
  <c r="P241" i="259" s="1"/>
  <c r="P242" i="259" s="1"/>
  <c r="N38" i="259"/>
  <c r="Y110" i="259"/>
  <c r="Y241" i="259" s="1"/>
  <c r="AB10" i="260"/>
  <c r="I51" i="260"/>
  <c r="I33" i="259"/>
  <c r="I43" i="259" s="1"/>
  <c r="N108" i="259"/>
  <c r="N34" i="259"/>
  <c r="N35" i="259"/>
  <c r="N45" i="259"/>
  <c r="N18" i="259"/>
  <c r="Y29" i="259"/>
  <c r="Y18" i="259"/>
  <c r="Y32" i="259" s="1"/>
  <c r="N273" i="259"/>
  <c r="N107" i="259"/>
  <c r="N109" i="259"/>
  <c r="R18" i="259"/>
  <c r="N33" i="259"/>
  <c r="N43" i="259" s="1"/>
  <c r="R45" i="259"/>
  <c r="L110" i="259"/>
  <c r="L113" i="259" s="1"/>
  <c r="L342" i="259" s="1"/>
  <c r="R273" i="259"/>
  <c r="R107" i="259"/>
  <c r="V45" i="259"/>
  <c r="V46" i="259" s="1"/>
  <c r="Y46" i="259"/>
  <c r="R38" i="259"/>
  <c r="P46" i="259"/>
  <c r="R29" i="259"/>
  <c r="Y234" i="43"/>
  <c r="Y235" i="43"/>
  <c r="L29" i="259"/>
  <c r="L18" i="259"/>
  <c r="L32" i="259" s="1"/>
  <c r="J15" i="259"/>
  <c r="J34" i="259" s="1"/>
  <c r="P18" i="259"/>
  <c r="K110" i="259"/>
  <c r="K113" i="259" s="1"/>
  <c r="I38" i="259"/>
  <c r="G16" i="259"/>
  <c r="G36" i="259" s="1"/>
  <c r="G14" i="259"/>
  <c r="G33" i="259" s="1"/>
  <c r="G43" i="259" s="1"/>
  <c r="G324" i="259"/>
  <c r="G17" i="259" s="1"/>
  <c r="G111" i="259" s="1"/>
  <c r="J16" i="259"/>
  <c r="J36" i="259" s="1"/>
  <c r="J37" i="259"/>
  <c r="J111" i="259"/>
  <c r="T20" i="259"/>
  <c r="T22" i="259" s="1"/>
  <c r="T25" i="259" s="1"/>
  <c r="T27" i="259" s="1"/>
  <c r="T31" i="259"/>
  <c r="T39" i="259"/>
  <c r="Q242" i="259"/>
  <c r="Q243" i="259"/>
  <c r="X243" i="259"/>
  <c r="X242" i="259"/>
  <c r="AE175" i="259"/>
  <c r="AE157" i="259" s="1"/>
  <c r="AF234" i="259"/>
  <c r="O113" i="259"/>
  <c r="O241" i="259"/>
  <c r="U110" i="259"/>
  <c r="AH200" i="259"/>
  <c r="H15" i="259"/>
  <c r="O20" i="259"/>
  <c r="O22" i="259" s="1"/>
  <c r="O25" i="259" s="1"/>
  <c r="O27" i="259" s="1"/>
  <c r="O31" i="259"/>
  <c r="O39" i="259"/>
  <c r="M4" i="259"/>
  <c r="N3" i="259"/>
  <c r="AC293" i="259"/>
  <c r="AC295" i="259" s="1"/>
  <c r="I36" i="259"/>
  <c r="I109" i="259"/>
  <c r="G13" i="259"/>
  <c r="G105" i="259"/>
  <c r="G106" i="259" s="1"/>
  <c r="M242" i="259"/>
  <c r="M243" i="259"/>
  <c r="W242" i="259"/>
  <c r="W243" i="259"/>
  <c r="V38" i="259"/>
  <c r="V33" i="259"/>
  <c r="V43" i="259" s="1"/>
  <c r="V107" i="259"/>
  <c r="V35" i="259"/>
  <c r="V34" i="259"/>
  <c r="V108" i="259"/>
  <c r="H13" i="259"/>
  <c r="H105" i="259"/>
  <c r="H106" i="259" s="1"/>
  <c r="S57" i="259"/>
  <c r="R50" i="259"/>
  <c r="Q51" i="259"/>
  <c r="R58" i="259"/>
  <c r="R59" i="259" s="1"/>
  <c r="R52" i="259" s="1"/>
  <c r="V36" i="259"/>
  <c r="V109" i="259"/>
  <c r="AG75" i="259"/>
  <c r="AF55" i="259"/>
  <c r="K18" i="259"/>
  <c r="K32" i="259" s="1"/>
  <c r="K29" i="259"/>
  <c r="H16" i="259"/>
  <c r="T113" i="259"/>
  <c r="T241" i="259"/>
  <c r="X117" i="259"/>
  <c r="X344" i="259"/>
  <c r="X345" i="259"/>
  <c r="X342" i="259"/>
  <c r="X343" i="259"/>
  <c r="V272" i="259"/>
  <c r="V270" i="259"/>
  <c r="V273" i="259"/>
  <c r="AE54" i="259"/>
  <c r="AE53" i="259" s="1"/>
  <c r="J14" i="259"/>
  <c r="U18" i="259"/>
  <c r="U32" i="259" s="1"/>
  <c r="U29" i="259"/>
  <c r="J12" i="259"/>
  <c r="J30" i="259" s="1"/>
  <c r="H324" i="259"/>
  <c r="H17" i="259" s="1"/>
  <c r="H14" i="259"/>
  <c r="Q342" i="259"/>
  <c r="Q343" i="259"/>
  <c r="Q344" i="259"/>
  <c r="Q345" i="259"/>
  <c r="Q117" i="259"/>
  <c r="S120" i="259"/>
  <c r="S121" i="259"/>
  <c r="S122" i="259"/>
  <c r="Q59" i="259"/>
  <c r="Q52" i="259" s="1"/>
  <c r="G15" i="259"/>
  <c r="M117" i="259"/>
  <c r="M342" i="259"/>
  <c r="M343" i="259"/>
  <c r="M344" i="259"/>
  <c r="M345" i="259"/>
  <c r="I13" i="259"/>
  <c r="I105" i="259"/>
  <c r="I106" i="259" s="1"/>
  <c r="W117" i="259"/>
  <c r="W345" i="259"/>
  <c r="W344" i="259"/>
  <c r="W342" i="259"/>
  <c r="W343" i="259"/>
  <c r="AF188" i="259"/>
  <c r="M6" i="259"/>
  <c r="N5" i="259"/>
  <c r="V13" i="259"/>
  <c r="V105" i="259"/>
  <c r="V106" i="259" s="1"/>
  <c r="V37" i="259"/>
  <c r="V111" i="259"/>
  <c r="V136" i="259" s="1"/>
  <c r="X362" i="43"/>
  <c r="Y495" i="43"/>
  <c r="Y494" i="43"/>
  <c r="Y493" i="43"/>
  <c r="Y542" i="43"/>
  <c r="AB502" i="43"/>
  <c r="AA502" i="43"/>
  <c r="Z502" i="43"/>
  <c r="Y502" i="43"/>
  <c r="AC502" i="43"/>
  <c r="Y484" i="43"/>
  <c r="Y504" i="43" s="1"/>
  <c r="Y505" i="43" s="1"/>
  <c r="Z542" i="43"/>
  <c r="Z484" i="43"/>
  <c r="Z485" i="43" s="1"/>
  <c r="AA542" i="43"/>
  <c r="AA484" i="43"/>
  <c r="AA485" i="43" s="1"/>
  <c r="AB537" i="43"/>
  <c r="AC537" i="43"/>
  <c r="AB542" i="43"/>
  <c r="AC542" i="43"/>
  <c r="V463" i="43"/>
  <c r="U463" i="43"/>
  <c r="T463" i="43"/>
  <c r="AB534" i="43"/>
  <c r="AA534" i="43"/>
  <c r="Z534" i="43"/>
  <c r="Y534" i="43"/>
  <c r="AC534" i="43"/>
  <c r="Z531" i="43"/>
  <c r="Z510" i="43" s="1"/>
  <c r="Y531" i="43"/>
  <c r="Y515" i="43" s="1"/>
  <c r="AB531" i="43"/>
  <c r="AB515" i="43" s="1"/>
  <c r="AA531" i="43"/>
  <c r="AA515" i="43" s="1"/>
  <c r="AC531" i="43"/>
  <c r="AC510" i="43" s="1"/>
  <c r="AC501" i="43"/>
  <c r="AB501" i="43"/>
  <c r="AA501" i="43"/>
  <c r="Z501" i="43"/>
  <c r="Y501" i="43"/>
  <c r="AC496" i="43"/>
  <c r="AC497" i="43" s="1"/>
  <c r="AB496" i="43"/>
  <c r="AB497" i="43" s="1"/>
  <c r="Z496" i="43"/>
  <c r="Z497" i="43" s="1"/>
  <c r="AA496" i="43"/>
  <c r="AA497" i="43" s="1"/>
  <c r="AB484" i="43"/>
  <c r="AB485" i="43" s="1"/>
  <c r="AC484" i="43"/>
  <c r="AC485" i="43" s="1"/>
  <c r="P20" i="259" l="1"/>
  <c r="P22" i="259" s="1"/>
  <c r="P25" i="259" s="1"/>
  <c r="P27" i="259" s="1"/>
  <c r="P32" i="259"/>
  <c r="R31" i="259"/>
  <c r="R32" i="259"/>
  <c r="AL64" i="259"/>
  <c r="AL70" i="259" s="1"/>
  <c r="AK70" i="259"/>
  <c r="N20" i="259"/>
  <c r="N22" i="259" s="1"/>
  <c r="N25" i="259" s="1"/>
  <c r="N27" i="259" s="1"/>
  <c r="N32" i="259"/>
  <c r="N39" i="259" s="1"/>
  <c r="AJ65" i="259"/>
  <c r="AI71" i="259"/>
  <c r="AJ63" i="259"/>
  <c r="AI69" i="259"/>
  <c r="AA509" i="43"/>
  <c r="AA402" i="43" s="1"/>
  <c r="AA506" i="43"/>
  <c r="Y509" i="43"/>
  <c r="AC509" i="43"/>
  <c r="AC506" i="43"/>
  <c r="AB509" i="43"/>
  <c r="AB359" i="43" s="1"/>
  <c r="AB383" i="43" s="1"/>
  <c r="AB506" i="43"/>
  <c r="Z509" i="43"/>
  <c r="AA547" i="43"/>
  <c r="U71" i="259"/>
  <c r="S69" i="259"/>
  <c r="U70" i="259"/>
  <c r="Z29" i="259"/>
  <c r="P39" i="259"/>
  <c r="G37" i="259"/>
  <c r="N31" i="259"/>
  <c r="Y242" i="259"/>
  <c r="Y243" i="259"/>
  <c r="L117" i="259"/>
  <c r="L121" i="259" s="1"/>
  <c r="I110" i="259"/>
  <c r="I113" i="259" s="1"/>
  <c r="I117" i="259" s="1"/>
  <c r="I122" i="259" s="1"/>
  <c r="I124" i="259" s="1"/>
  <c r="Y113" i="259"/>
  <c r="Y342" i="259" s="1"/>
  <c r="R20" i="259"/>
  <c r="R22" i="259" s="1"/>
  <c r="R25" i="259" s="1"/>
  <c r="R27" i="259" s="1"/>
  <c r="G109" i="259"/>
  <c r="R110" i="259"/>
  <c r="R241" i="259" s="1"/>
  <c r="R243" i="259" s="1"/>
  <c r="K241" i="259"/>
  <c r="K242" i="259" s="1"/>
  <c r="P113" i="259"/>
  <c r="R46" i="259"/>
  <c r="AA523" i="43"/>
  <c r="J51" i="260"/>
  <c r="AC10" i="260"/>
  <c r="N110" i="259"/>
  <c r="N113" i="259" s="1"/>
  <c r="N342" i="259" s="1"/>
  <c r="L344" i="259"/>
  <c r="L345" i="259"/>
  <c r="J35" i="259"/>
  <c r="L241" i="259"/>
  <c r="L242" i="259" s="1"/>
  <c r="Y31" i="259"/>
  <c r="Y39" i="259"/>
  <c r="Y20" i="259"/>
  <c r="Y22" i="259" s="1"/>
  <c r="Y25" i="259" s="1"/>
  <c r="Y27" i="259" s="1"/>
  <c r="P31" i="259"/>
  <c r="L343" i="259"/>
  <c r="R39" i="259"/>
  <c r="Z46" i="259"/>
  <c r="J108" i="259"/>
  <c r="P243" i="259"/>
  <c r="L20" i="259"/>
  <c r="L22" i="259" s="1"/>
  <c r="L25" i="259" s="1"/>
  <c r="L27" i="259" s="1"/>
  <c r="L31" i="259"/>
  <c r="L39" i="259"/>
  <c r="G107" i="259"/>
  <c r="J109" i="259"/>
  <c r="V110" i="259"/>
  <c r="V241" i="259" s="1"/>
  <c r="Q66" i="259"/>
  <c r="M122" i="259"/>
  <c r="M121" i="259"/>
  <c r="M120" i="259"/>
  <c r="T117" i="259"/>
  <c r="T343" i="259"/>
  <c r="T344" i="259"/>
  <c r="T345" i="259"/>
  <c r="T342" i="259"/>
  <c r="K20" i="259"/>
  <c r="K22" i="259" s="1"/>
  <c r="K25" i="259" s="1"/>
  <c r="K27" i="259" s="1"/>
  <c r="K31" i="259"/>
  <c r="K39" i="259"/>
  <c r="G18" i="259"/>
  <c r="G32" i="259" s="1"/>
  <c r="G29" i="259"/>
  <c r="AI200" i="259"/>
  <c r="V18" i="259"/>
  <c r="V32" i="259" s="1"/>
  <c r="V29" i="259"/>
  <c r="AG188" i="259"/>
  <c r="U20" i="259"/>
  <c r="U22" i="259" s="1"/>
  <c r="U25" i="259" s="1"/>
  <c r="U27" i="259" s="1"/>
  <c r="U31" i="259"/>
  <c r="U39" i="259"/>
  <c r="S58" i="259"/>
  <c r="S59" i="259" s="1"/>
  <c r="S52" i="259" s="1"/>
  <c r="R51" i="259"/>
  <c r="R66" i="259" s="1"/>
  <c r="H18" i="259"/>
  <c r="H32" i="259" s="1"/>
  <c r="H29" i="259"/>
  <c r="U113" i="259"/>
  <c r="U241" i="259"/>
  <c r="R242" i="259"/>
  <c r="N6" i="259"/>
  <c r="O5" i="259"/>
  <c r="H37" i="259"/>
  <c r="H111" i="259"/>
  <c r="J38" i="259"/>
  <c r="J107" i="259"/>
  <c r="J33" i="259"/>
  <c r="J43" i="259" s="1"/>
  <c r="H109" i="259"/>
  <c r="H36" i="259"/>
  <c r="AH75" i="259"/>
  <c r="AG55" i="259"/>
  <c r="AC320" i="259"/>
  <c r="Q122" i="259"/>
  <c r="Q121" i="259"/>
  <c r="Q120" i="259"/>
  <c r="O3" i="259"/>
  <c r="N4" i="259"/>
  <c r="O117" i="259"/>
  <c r="O343" i="259"/>
  <c r="O342" i="259"/>
  <c r="O344" i="259"/>
  <c r="O345" i="259"/>
  <c r="W120" i="259"/>
  <c r="W121" i="259"/>
  <c r="W122" i="259"/>
  <c r="G34" i="259"/>
  <c r="G35" i="259"/>
  <c r="G108" i="259"/>
  <c r="S124" i="259"/>
  <c r="S130" i="259" s="1"/>
  <c r="S135" i="259"/>
  <c r="S145" i="259" s="1"/>
  <c r="S149" i="259" s="1"/>
  <c r="H33" i="259"/>
  <c r="H43" i="259" s="1"/>
  <c r="H38" i="259"/>
  <c r="H107" i="259"/>
  <c r="G38" i="259"/>
  <c r="AF54" i="259"/>
  <c r="AF53" i="259" s="1"/>
  <c r="T57" i="259"/>
  <c r="S50" i="259"/>
  <c r="Z113" i="259"/>
  <c r="Z241" i="259"/>
  <c r="H34" i="259"/>
  <c r="H35" i="259"/>
  <c r="H108" i="259"/>
  <c r="I120" i="259"/>
  <c r="I18" i="259"/>
  <c r="I32" i="259" s="1"/>
  <c r="I29" i="259"/>
  <c r="Z20" i="259"/>
  <c r="Z22" i="259" s="1"/>
  <c r="Z25" i="259" s="1"/>
  <c r="Z27" i="259" s="1"/>
  <c r="Z31" i="259"/>
  <c r="Z39" i="259"/>
  <c r="J13" i="259"/>
  <c r="J105" i="259"/>
  <c r="J106" i="259" s="1"/>
  <c r="X120" i="259"/>
  <c r="X122" i="259"/>
  <c r="X121" i="259"/>
  <c r="T243" i="259"/>
  <c r="T242" i="259"/>
  <c r="K117" i="259"/>
  <c r="K342" i="259"/>
  <c r="K344" i="259"/>
  <c r="K343" i="259"/>
  <c r="K345" i="259"/>
  <c r="O243" i="259"/>
  <c r="O242" i="259"/>
  <c r="AG234" i="259"/>
  <c r="AF175" i="259"/>
  <c r="AF157" i="259" s="1"/>
  <c r="AA359" i="43"/>
  <c r="Z503" i="43"/>
  <c r="AB486" i="43"/>
  <c r="AB503" i="43"/>
  <c r="Y496" i="43"/>
  <c r="Y497" i="43" s="1"/>
  <c r="Y485" i="43"/>
  <c r="Y486" i="43" s="1"/>
  <c r="AA504" i="43"/>
  <c r="AC486" i="43"/>
  <c r="AA486" i="43"/>
  <c r="AB504" i="43"/>
  <c r="AA503" i="43"/>
  <c r="Z504" i="43"/>
  <c r="Y503" i="43"/>
  <c r="AC504" i="43"/>
  <c r="AC503" i="43"/>
  <c r="Z512" i="43"/>
  <c r="Z408" i="43" s="1"/>
  <c r="Z514" i="43"/>
  <c r="Z515" i="43"/>
  <c r="Y510" i="43"/>
  <c r="Y514" i="43"/>
  <c r="Y512" i="43"/>
  <c r="Y408" i="43" s="1"/>
  <c r="AA525" i="43"/>
  <c r="Y523" i="43"/>
  <c r="Y525" i="43"/>
  <c r="AA512" i="43"/>
  <c r="AA408" i="43" s="1"/>
  <c r="AA510" i="43"/>
  <c r="AA511" i="43" s="1"/>
  <c r="Y518" i="43"/>
  <c r="AA514" i="43"/>
  <c r="AB512" i="43"/>
  <c r="AB514" i="43"/>
  <c r="AC512" i="43"/>
  <c r="AC408" i="43" s="1"/>
  <c r="AC515" i="43"/>
  <c r="AC514" i="43"/>
  <c r="AB510" i="43"/>
  <c r="AK63" i="259" l="1"/>
  <c r="AJ69" i="259"/>
  <c r="K243" i="259"/>
  <c r="AK65" i="259"/>
  <c r="AJ71" i="259"/>
  <c r="AB525" i="43"/>
  <c r="AB408" i="43"/>
  <c r="AB511" i="43"/>
  <c r="AB516" i="43" s="1"/>
  <c r="AB520" i="43" s="1"/>
  <c r="AB377" i="43" s="1"/>
  <c r="AA524" i="43"/>
  <c r="Y524" i="43"/>
  <c r="AB524" i="43"/>
  <c r="Z547" i="43"/>
  <c r="Z402" i="43"/>
  <c r="Y547" i="43"/>
  <c r="Y402" i="43"/>
  <c r="AB548" i="43"/>
  <c r="AB402" i="43"/>
  <c r="AC548" i="43"/>
  <c r="AC402" i="43"/>
  <c r="Y359" i="43"/>
  <c r="Y383" i="43" s="1"/>
  <c r="AB518" i="43"/>
  <c r="AB507" i="43"/>
  <c r="Y511" i="43"/>
  <c r="Y519" i="43" s="1"/>
  <c r="Y371" i="43" s="1"/>
  <c r="Z522" i="43"/>
  <c r="Z518" i="43"/>
  <c r="AA518" i="43"/>
  <c r="AC511" i="43"/>
  <c r="AC519" i="43" s="1"/>
  <c r="AC371" i="43" s="1"/>
  <c r="AC524" i="43"/>
  <c r="AC518" i="43"/>
  <c r="AC525" i="43"/>
  <c r="Z523" i="43"/>
  <c r="Z525" i="43"/>
  <c r="AC359" i="43"/>
  <c r="AC383" i="43" s="1"/>
  <c r="Z511" i="43"/>
  <c r="Z519" i="43" s="1"/>
  <c r="Z371" i="43" s="1"/>
  <c r="Z524" i="43"/>
  <c r="AC523" i="43"/>
  <c r="Z359" i="43"/>
  <c r="Z383" i="43" s="1"/>
  <c r="AC547" i="43"/>
  <c r="Y506" i="43"/>
  <c r="Y507" i="43" s="1"/>
  <c r="AB547" i="43"/>
  <c r="AB523" i="43"/>
  <c r="Z506" i="43"/>
  <c r="AC507" i="43"/>
  <c r="Y345" i="259"/>
  <c r="R69" i="259"/>
  <c r="T70" i="259"/>
  <c r="P66" i="259"/>
  <c r="T71" i="259"/>
  <c r="AC505" i="43"/>
  <c r="L120" i="259"/>
  <c r="L122" i="259"/>
  <c r="Y117" i="259"/>
  <c r="N345" i="259"/>
  <c r="I121" i="259"/>
  <c r="R113" i="259"/>
  <c r="Y344" i="259"/>
  <c r="Y343" i="259"/>
  <c r="AA383" i="43"/>
  <c r="AB365" i="43"/>
  <c r="P345" i="259"/>
  <c r="P117" i="259"/>
  <c r="P344" i="259"/>
  <c r="P342" i="259"/>
  <c r="P343" i="259"/>
  <c r="K51" i="260"/>
  <c r="AD10" i="260"/>
  <c r="G110" i="259"/>
  <c r="G113" i="259" s="1"/>
  <c r="G117" i="259" s="1"/>
  <c r="G122" i="259" s="1"/>
  <c r="G124" i="259" s="1"/>
  <c r="N344" i="259"/>
  <c r="N343" i="259"/>
  <c r="N117" i="259"/>
  <c r="N122" i="259" s="1"/>
  <c r="N241" i="259"/>
  <c r="N243" i="259" s="1"/>
  <c r="L243" i="259"/>
  <c r="V113" i="259"/>
  <c r="V344" i="259" s="1"/>
  <c r="AA17" i="259"/>
  <c r="AA111" i="259" s="1"/>
  <c r="AA136" i="259" s="1"/>
  <c r="J110" i="259"/>
  <c r="J113" i="259" s="1"/>
  <c r="J117" i="259" s="1"/>
  <c r="J121" i="259" s="1"/>
  <c r="H110" i="259"/>
  <c r="H113" i="259" s="1"/>
  <c r="H117" i="259" s="1"/>
  <c r="H122" i="259" s="1"/>
  <c r="H124" i="259" s="1"/>
  <c r="AC297" i="259"/>
  <c r="AH234" i="259"/>
  <c r="AG175" i="259"/>
  <c r="AG157" i="259" s="1"/>
  <c r="K120" i="259"/>
  <c r="K121" i="259"/>
  <c r="K122" i="259"/>
  <c r="S336" i="259"/>
  <c r="W131" i="259"/>
  <c r="W135" i="259"/>
  <c r="W145" i="259" s="1"/>
  <c r="W149" i="259" s="1"/>
  <c r="W124" i="259"/>
  <c r="W130" i="259" s="1"/>
  <c r="L124" i="259"/>
  <c r="L130" i="259" s="1"/>
  <c r="L135" i="259"/>
  <c r="L145" i="259" s="1"/>
  <c r="L149" i="259" s="1"/>
  <c r="AG54" i="259"/>
  <c r="AG53" i="259" s="1"/>
  <c r="U242" i="259"/>
  <c r="U243" i="259"/>
  <c r="J18" i="259"/>
  <c r="J32" i="259" s="1"/>
  <c r="J29" i="259"/>
  <c r="Z242" i="259"/>
  <c r="Z243" i="259"/>
  <c r="T50" i="259"/>
  <c r="U57" i="259"/>
  <c r="O120" i="259"/>
  <c r="O121" i="259"/>
  <c r="O122" i="259"/>
  <c r="O6" i="259"/>
  <c r="P5" i="259"/>
  <c r="AA159" i="259"/>
  <c r="U117" i="259"/>
  <c r="U342" i="259"/>
  <c r="U343" i="259"/>
  <c r="U344" i="259"/>
  <c r="U345" i="259"/>
  <c r="T58" i="259"/>
  <c r="S51" i="259"/>
  <c r="S66" i="259" s="1"/>
  <c r="AH188" i="259"/>
  <c r="T122" i="259"/>
  <c r="T120" i="259"/>
  <c r="T121" i="259"/>
  <c r="P3" i="259"/>
  <c r="O4" i="259"/>
  <c r="H31" i="259"/>
  <c r="H39" i="259"/>
  <c r="H20" i="259"/>
  <c r="H22" i="259" s="1"/>
  <c r="H25" i="259" s="1"/>
  <c r="H27" i="259" s="1"/>
  <c r="V20" i="259"/>
  <c r="V22" i="259" s="1"/>
  <c r="V25" i="259" s="1"/>
  <c r="V27" i="259" s="1"/>
  <c r="V31" i="259"/>
  <c r="V39" i="259"/>
  <c r="X124" i="259"/>
  <c r="X130" i="259" s="1"/>
  <c r="X135" i="259"/>
  <c r="X145" i="259" s="1"/>
  <c r="X149" i="259" s="1"/>
  <c r="AI75" i="259"/>
  <c r="AH55" i="259"/>
  <c r="AJ200" i="259"/>
  <c r="G20" i="259"/>
  <c r="G22" i="259" s="1"/>
  <c r="G25" i="259" s="1"/>
  <c r="G27" i="259" s="1"/>
  <c r="G31" i="259"/>
  <c r="G39" i="259"/>
  <c r="M124" i="259"/>
  <c r="M130" i="259" s="1"/>
  <c r="M135" i="259"/>
  <c r="M145" i="259" s="1"/>
  <c r="M149" i="259" s="1"/>
  <c r="I31" i="259"/>
  <c r="I39" i="259"/>
  <c r="I20" i="259"/>
  <c r="I22" i="259" s="1"/>
  <c r="I25" i="259" s="1"/>
  <c r="I27" i="259" s="1"/>
  <c r="Z117" i="259"/>
  <c r="Z343" i="259"/>
  <c r="Z342" i="259"/>
  <c r="Z344" i="259"/>
  <c r="Z345" i="259"/>
  <c r="S150" i="259"/>
  <c r="S152" i="259"/>
  <c r="S168" i="259"/>
  <c r="S170" i="259" s="1"/>
  <c r="Q124" i="259"/>
  <c r="Q130" i="259" s="1"/>
  <c r="Q135" i="259"/>
  <c r="Q145" i="259" s="1"/>
  <c r="Q149" i="259" s="1"/>
  <c r="V242" i="259"/>
  <c r="V243" i="259"/>
  <c r="AB505" i="43"/>
  <c r="AA505" i="43"/>
  <c r="Z505" i="43"/>
  <c r="Z486" i="43"/>
  <c r="Z521" i="43"/>
  <c r="AA521" i="43"/>
  <c r="AA522" i="43"/>
  <c r="AB521" i="43"/>
  <c r="AB522" i="43"/>
  <c r="AC521" i="43"/>
  <c r="AC522" i="43"/>
  <c r="Y521" i="43"/>
  <c r="Y522" i="43"/>
  <c r="AB519" i="43"/>
  <c r="AB371" i="43" s="1"/>
  <c r="AA516" i="43"/>
  <c r="AA520" i="43" s="1"/>
  <c r="AA377" i="43" s="1"/>
  <c r="AA519" i="43"/>
  <c r="AA371" i="43" s="1"/>
  <c r="AL65" i="259" l="1"/>
  <c r="AL71" i="259" s="1"/>
  <c r="AK71" i="259"/>
  <c r="AL63" i="259"/>
  <c r="AL69" i="259" s="1"/>
  <c r="AK69" i="259"/>
  <c r="AC389" i="43"/>
  <c r="Y516" i="43"/>
  <c r="Y520" i="43" s="1"/>
  <c r="Y377" i="43" s="1"/>
  <c r="Z516" i="43"/>
  <c r="Z520" i="43" s="1"/>
  <c r="Z377" i="43" s="1"/>
  <c r="AC365" i="43"/>
  <c r="AA365" i="43"/>
  <c r="AC516" i="43"/>
  <c r="AC520" i="43" s="1"/>
  <c r="AC377" i="43" s="1"/>
  <c r="Z365" i="43"/>
  <c r="Z507" i="43"/>
  <c r="AA507" i="43"/>
  <c r="S71" i="259"/>
  <c r="S70" i="259"/>
  <c r="O66" i="259"/>
  <c r="O72" i="259" s="1"/>
  <c r="Q69" i="259"/>
  <c r="G121" i="259"/>
  <c r="Y120" i="259"/>
  <c r="Y121" i="259"/>
  <c r="Y122" i="259"/>
  <c r="N120" i="259"/>
  <c r="G120" i="259"/>
  <c r="V117" i="259"/>
  <c r="V122" i="259" s="1"/>
  <c r="R117" i="259"/>
  <c r="R345" i="259"/>
  <c r="R343" i="259"/>
  <c r="R342" i="259"/>
  <c r="R344" i="259"/>
  <c r="AC183" i="259"/>
  <c r="AC298" i="259"/>
  <c r="N242" i="259"/>
  <c r="P120" i="259"/>
  <c r="P122" i="259"/>
  <c r="P121" i="259"/>
  <c r="AE10" i="260"/>
  <c r="L51" i="260"/>
  <c r="V343" i="259"/>
  <c r="N121" i="259"/>
  <c r="V345" i="259"/>
  <c r="V342" i="259"/>
  <c r="J122" i="259"/>
  <c r="J124" i="259" s="1"/>
  <c r="J120" i="259"/>
  <c r="H121" i="259"/>
  <c r="H120" i="259"/>
  <c r="AD293" i="259"/>
  <c r="AD295" i="259" s="1"/>
  <c r="Q150" i="259"/>
  <c r="Q152" i="259"/>
  <c r="Q168" i="259"/>
  <c r="Q170" i="259" s="1"/>
  <c r="U122" i="259"/>
  <c r="U121" i="259"/>
  <c r="U120" i="259"/>
  <c r="Q5" i="259"/>
  <c r="P6" i="259"/>
  <c r="O124" i="259"/>
  <c r="O130" i="259" s="1"/>
  <c r="O135" i="259"/>
  <c r="O145" i="259" s="1"/>
  <c r="O149" i="259" s="1"/>
  <c r="U50" i="259"/>
  <c r="V57" i="259"/>
  <c r="L131" i="259"/>
  <c r="P131" i="259"/>
  <c r="L336" i="259"/>
  <c r="S338" i="259"/>
  <c r="S337" i="259"/>
  <c r="U131" i="259"/>
  <c r="Q336" i="259"/>
  <c r="Z122" i="259"/>
  <c r="Z121" i="259"/>
  <c r="Z120" i="259"/>
  <c r="M150" i="259"/>
  <c r="M152" i="259"/>
  <c r="M168" i="259"/>
  <c r="M170" i="259" s="1"/>
  <c r="AH54" i="259"/>
  <c r="AH53" i="259" s="1"/>
  <c r="AI188" i="259"/>
  <c r="J20" i="259"/>
  <c r="J22" i="259" s="1"/>
  <c r="J25" i="259" s="1"/>
  <c r="J27" i="259" s="1"/>
  <c r="J39" i="259"/>
  <c r="J31" i="259"/>
  <c r="AA131" i="259"/>
  <c r="W336" i="259"/>
  <c r="W337" i="259" s="1"/>
  <c r="K135" i="259"/>
  <c r="K145" i="259" s="1"/>
  <c r="K149" i="259" s="1"/>
  <c r="K124" i="259"/>
  <c r="K130" i="259" s="1"/>
  <c r="AH175" i="259"/>
  <c r="AH157" i="259" s="1"/>
  <c r="AI234" i="259"/>
  <c r="M131" i="259"/>
  <c r="Q131" i="259"/>
  <c r="M336" i="259"/>
  <c r="AJ75" i="259"/>
  <c r="AI55" i="259"/>
  <c r="X150" i="259"/>
  <c r="X152" i="259"/>
  <c r="X168" i="259"/>
  <c r="X170" i="259" s="1"/>
  <c r="W150" i="259"/>
  <c r="W152" i="259"/>
  <c r="W168" i="259"/>
  <c r="W170" i="259" s="1"/>
  <c r="AK200" i="259"/>
  <c r="AB131" i="259"/>
  <c r="X336" i="259"/>
  <c r="X337" i="259" s="1"/>
  <c r="P4" i="259"/>
  <c r="Q3" i="259"/>
  <c r="T124" i="259"/>
  <c r="T130" i="259" s="1"/>
  <c r="T135" i="259"/>
  <c r="T145" i="259" s="1"/>
  <c r="T149" i="259" s="1"/>
  <c r="T51" i="259"/>
  <c r="U58" i="259"/>
  <c r="T59" i="259"/>
  <c r="T52" i="259" s="1"/>
  <c r="N124" i="259"/>
  <c r="N130" i="259" s="1"/>
  <c r="N135" i="259"/>
  <c r="N145" i="259" s="1"/>
  <c r="N149" i="259" s="1"/>
  <c r="L150" i="259"/>
  <c r="L152" i="259"/>
  <c r="L168" i="259"/>
  <c r="L170" i="259" s="1"/>
  <c r="T451" i="43"/>
  <c r="T454" i="43" s="1"/>
  <c r="U451" i="43"/>
  <c r="U454" i="43" s="1"/>
  <c r="W460" i="43"/>
  <c r="V451" i="43"/>
  <c r="V454" i="43" s="1"/>
  <c r="W451" i="43"/>
  <c r="W454" i="43" s="1"/>
  <c r="V440" i="43"/>
  <c r="V441" i="43" s="1"/>
  <c r="V419" i="43" s="1"/>
  <c r="W440" i="43"/>
  <c r="W441" i="43" s="1"/>
  <c r="W419" i="43" s="1"/>
  <c r="X451" i="43"/>
  <c r="X454" i="43" s="1"/>
  <c r="Y451" i="43"/>
  <c r="Y454" i="43" s="1"/>
  <c r="AB467" i="43"/>
  <c r="AC451" i="43"/>
  <c r="AC454" i="43" s="1"/>
  <c r="AC441" i="43"/>
  <c r="AB441" i="43"/>
  <c r="AA441" i="43"/>
  <c r="Z441" i="43"/>
  <c r="Z419" i="43" s="1"/>
  <c r="Y441" i="43"/>
  <c r="Y419" i="43" s="1"/>
  <c r="X441" i="43"/>
  <c r="X419" i="43" s="1"/>
  <c r="U419" i="43"/>
  <c r="T419" i="43"/>
  <c r="S419" i="43"/>
  <c r="S474" i="43" s="1"/>
  <c r="R419" i="43"/>
  <c r="R474" i="43" s="1"/>
  <c r="Q419" i="43"/>
  <c r="P419" i="43"/>
  <c r="O419" i="43"/>
  <c r="O474" i="43" s="1"/>
  <c r="AC425" i="43"/>
  <c r="AA425" i="43"/>
  <c r="Z425" i="43"/>
  <c r="Y425" i="43"/>
  <c r="X425" i="43"/>
  <c r="W425" i="43"/>
  <c r="V425" i="43"/>
  <c r="U425" i="43"/>
  <c r="T425" i="43"/>
  <c r="AB425" i="43"/>
  <c r="AC460" i="43"/>
  <c r="Y460" i="43"/>
  <c r="X460" i="43"/>
  <c r="V462" i="43"/>
  <c r="V424" i="43" s="1"/>
  <c r="U462" i="43"/>
  <c r="U424" i="43" s="1"/>
  <c r="T462" i="43"/>
  <c r="T424" i="43" s="1"/>
  <c r="AB460" i="43"/>
  <c r="AA460" i="43"/>
  <c r="Z460" i="43"/>
  <c r="Z451" i="43"/>
  <c r="Z454" i="43" s="1"/>
  <c r="AA451" i="43"/>
  <c r="AA454" i="43" s="1"/>
  <c r="AB451" i="43"/>
  <c r="AB454" i="43" s="1"/>
  <c r="AC419" i="43"/>
  <c r="AC407" i="43" s="1"/>
  <c r="AB419" i="43"/>
  <c r="AA419" i="43"/>
  <c r="AB445" i="43"/>
  <c r="AB446" i="43" s="1"/>
  <c r="AA445" i="43"/>
  <c r="AA446" i="43" s="1"/>
  <c r="Z445" i="43"/>
  <c r="Z446" i="43" s="1"/>
  <c r="Y445" i="43"/>
  <c r="Y446" i="43" s="1"/>
  <c r="X445" i="43"/>
  <c r="X446" i="43" s="1"/>
  <c r="W445" i="43"/>
  <c r="W446" i="43" s="1"/>
  <c r="V445" i="43"/>
  <c r="V446" i="43" s="1"/>
  <c r="U445" i="43"/>
  <c r="U446" i="43" s="1"/>
  <c r="T445" i="43"/>
  <c r="T446" i="43" s="1"/>
  <c r="S445" i="43"/>
  <c r="S446" i="43" s="1"/>
  <c r="R445" i="43"/>
  <c r="R446" i="43" s="1"/>
  <c r="Q445" i="43"/>
  <c r="Q446" i="43" s="1"/>
  <c r="P445" i="43"/>
  <c r="P446" i="43" s="1"/>
  <c r="O445" i="43"/>
  <c r="O446" i="43" s="1"/>
  <c r="AC445" i="43"/>
  <c r="AC446" i="43" s="1"/>
  <c r="AA401" i="43" l="1"/>
  <c r="AA407" i="43"/>
  <c r="X401" i="43"/>
  <c r="X407" i="43"/>
  <c r="AB401" i="43"/>
  <c r="AB407" i="43"/>
  <c r="Y401" i="43"/>
  <c r="Y407" i="43"/>
  <c r="T401" i="43"/>
  <c r="T407" i="43"/>
  <c r="Z401" i="43"/>
  <c r="Z407" i="43"/>
  <c r="W401" i="43"/>
  <c r="W407" i="43"/>
  <c r="U401" i="43"/>
  <c r="U407" i="43"/>
  <c r="V401" i="43"/>
  <c r="V407" i="43"/>
  <c r="Y474" i="43"/>
  <c r="T474" i="43"/>
  <c r="W474" i="43"/>
  <c r="U474" i="43"/>
  <c r="AB474" i="43"/>
  <c r="AC474" i="43"/>
  <c r="AC401" i="43"/>
  <c r="Z474" i="43"/>
  <c r="AA474" i="43"/>
  <c r="X474" i="43"/>
  <c r="S72" i="259"/>
  <c r="R70" i="259"/>
  <c r="N66" i="259"/>
  <c r="P69" i="259"/>
  <c r="R71" i="259"/>
  <c r="P477" i="43"/>
  <c r="P474" i="43"/>
  <c r="Q477" i="43"/>
  <c r="Q474" i="43"/>
  <c r="V358" i="43"/>
  <c r="V382" i="43" s="1"/>
  <c r="V474" i="43"/>
  <c r="V121" i="259"/>
  <c r="Y135" i="259"/>
  <c r="Y145" i="259" s="1"/>
  <c r="Y149" i="259" s="1"/>
  <c r="Y124" i="259"/>
  <c r="Y130" i="259" s="1"/>
  <c r="V120" i="259"/>
  <c r="R122" i="259"/>
  <c r="R120" i="259"/>
  <c r="R121" i="259"/>
  <c r="AD320" i="259"/>
  <c r="P124" i="259"/>
  <c r="P130" i="259" s="1"/>
  <c r="P135" i="259"/>
  <c r="P145" i="259" s="1"/>
  <c r="P149" i="259" s="1"/>
  <c r="M51" i="260"/>
  <c r="K84" i="260"/>
  <c r="AF10" i="260"/>
  <c r="T66" i="259"/>
  <c r="T72" i="259" s="1"/>
  <c r="U51" i="259"/>
  <c r="V58" i="259"/>
  <c r="V59" i="259" s="1"/>
  <c r="V52" i="259" s="1"/>
  <c r="Q4" i="259"/>
  <c r="R3" i="259"/>
  <c r="AI54" i="259"/>
  <c r="AI53" i="259" s="1"/>
  <c r="K150" i="259"/>
  <c r="K152" i="259"/>
  <c r="K168" i="259"/>
  <c r="K170" i="259" s="1"/>
  <c r="Z124" i="259"/>
  <c r="Z130" i="259" s="1"/>
  <c r="Z135" i="259"/>
  <c r="Z145" i="259" s="1"/>
  <c r="Z149" i="259" s="1"/>
  <c r="W57" i="259"/>
  <c r="V50" i="259"/>
  <c r="S131" i="259"/>
  <c r="O336" i="259"/>
  <c r="V135" i="259"/>
  <c r="V145" i="259" s="1"/>
  <c r="V149" i="259" s="1"/>
  <c r="V124" i="259"/>
  <c r="V130" i="259" s="1"/>
  <c r="N150" i="259"/>
  <c r="N152" i="259"/>
  <c r="N168" i="259"/>
  <c r="N170" i="259" s="1"/>
  <c r="AK75" i="259"/>
  <c r="AJ55" i="259"/>
  <c r="AI175" i="259"/>
  <c r="AI157" i="259" s="1"/>
  <c r="AJ234" i="259"/>
  <c r="Q337" i="259"/>
  <c r="Q338" i="259"/>
  <c r="L337" i="259"/>
  <c r="L338" i="259"/>
  <c r="U59" i="259"/>
  <c r="U52" i="259" s="1"/>
  <c r="U124" i="259"/>
  <c r="U130" i="259" s="1"/>
  <c r="U135" i="259"/>
  <c r="U145" i="259" s="1"/>
  <c r="U149" i="259" s="1"/>
  <c r="N131" i="259"/>
  <c r="N336" i="259"/>
  <c r="R131" i="259"/>
  <c r="T152" i="259"/>
  <c r="T150" i="259"/>
  <c r="T168" i="259"/>
  <c r="T170" i="259" s="1"/>
  <c r="AL200" i="259"/>
  <c r="M337" i="259"/>
  <c r="M338" i="259"/>
  <c r="Q6" i="259"/>
  <c r="R5" i="259"/>
  <c r="X131" i="259"/>
  <c r="T336" i="259"/>
  <c r="T337" i="259" s="1"/>
  <c r="O131" i="259"/>
  <c r="K131" i="259"/>
  <c r="K336" i="259"/>
  <c r="AJ188" i="259"/>
  <c r="O152" i="259"/>
  <c r="O150" i="259"/>
  <c r="O168" i="259"/>
  <c r="O170" i="259" s="1"/>
  <c r="AC432" i="43"/>
  <c r="AC358" i="43"/>
  <c r="T477" i="43"/>
  <c r="T358" i="43"/>
  <c r="T382" i="43" s="1"/>
  <c r="Z432" i="43"/>
  <c r="Z358" i="43"/>
  <c r="Z382" i="43" s="1"/>
  <c r="W434" i="43"/>
  <c r="W358" i="43"/>
  <c r="AB432" i="43"/>
  <c r="AB358" i="43"/>
  <c r="U477" i="43"/>
  <c r="U358" i="43"/>
  <c r="Y477" i="43"/>
  <c r="Y358" i="43"/>
  <c r="Y382" i="43" s="1"/>
  <c r="AA434" i="43"/>
  <c r="AA358" i="43"/>
  <c r="X433" i="43"/>
  <c r="X358" i="43"/>
  <c r="X382" i="43" s="1"/>
  <c r="AB462" i="43"/>
  <c r="AB424" i="43" s="1"/>
  <c r="AB463" i="43"/>
  <c r="X462" i="43"/>
  <c r="X424" i="43" s="1"/>
  <c r="X463" i="43"/>
  <c r="W462" i="43"/>
  <c r="W424" i="43" s="1"/>
  <c r="W463" i="43"/>
  <c r="Z462" i="43"/>
  <c r="Z424" i="43" s="1"/>
  <c r="Z463" i="43"/>
  <c r="Y462" i="43"/>
  <c r="Y424" i="43" s="1"/>
  <c r="Y463" i="43"/>
  <c r="AA462" i="43"/>
  <c r="AA424" i="43" s="1"/>
  <c r="AA463" i="43"/>
  <c r="AC462" i="43"/>
  <c r="AC424" i="43" s="1"/>
  <c r="AC463" i="43"/>
  <c r="Z420" i="43"/>
  <c r="Z421" i="43" s="1"/>
  <c r="Z455" i="43"/>
  <c r="X420" i="43"/>
  <c r="X421" i="43" s="1"/>
  <c r="X455" i="43"/>
  <c r="V420" i="43"/>
  <c r="V421" i="43" s="1"/>
  <c r="V426" i="43" s="1"/>
  <c r="V455" i="43"/>
  <c r="AA420" i="43"/>
  <c r="AA421" i="43" s="1"/>
  <c r="AA455" i="43"/>
  <c r="W420" i="43"/>
  <c r="W421" i="43" s="1"/>
  <c r="W455" i="43"/>
  <c r="AC420" i="43"/>
  <c r="AC421" i="43" s="1"/>
  <c r="AC426" i="43" s="1"/>
  <c r="AC455" i="43"/>
  <c r="U420" i="43"/>
  <c r="U421" i="43" s="1"/>
  <c r="U426" i="43" s="1"/>
  <c r="U455" i="43"/>
  <c r="Y420" i="43"/>
  <c r="Y421" i="43" s="1"/>
  <c r="Y426" i="43" s="1"/>
  <c r="Y455" i="43"/>
  <c r="AB420" i="43"/>
  <c r="AB421" i="43" s="1"/>
  <c r="AB430" i="43" s="1"/>
  <c r="AB370" i="43" s="1"/>
  <c r="AB455" i="43"/>
  <c r="T420" i="43"/>
  <c r="T421" i="43" s="1"/>
  <c r="T426" i="43" s="1"/>
  <c r="T455" i="43"/>
  <c r="Y433" i="43"/>
  <c r="X436" i="43"/>
  <c r="T436" i="43"/>
  <c r="U433" i="43"/>
  <c r="Z433" i="43"/>
  <c r="AC433" i="43"/>
  <c r="W433" i="43"/>
  <c r="AA433" i="43"/>
  <c r="V433" i="43"/>
  <c r="AB477" i="43"/>
  <c r="T433" i="43"/>
  <c r="AB433" i="43"/>
  <c r="AA429" i="43"/>
  <c r="R477" i="43"/>
  <c r="V477" i="43"/>
  <c r="P429" i="43"/>
  <c r="T429" i="43"/>
  <c r="X429" i="43"/>
  <c r="Q429" i="43"/>
  <c r="U429" i="43"/>
  <c r="AB429" i="43"/>
  <c r="AC478" i="43"/>
  <c r="O477" i="43"/>
  <c r="S477" i="43"/>
  <c r="W477" i="43"/>
  <c r="R429" i="43"/>
  <c r="V429" i="43"/>
  <c r="Z477" i="43"/>
  <c r="AA478" i="43"/>
  <c r="AC477" i="43"/>
  <c r="AC429" i="43"/>
  <c r="S429" i="43"/>
  <c r="W429" i="43"/>
  <c r="AA477" i="43"/>
  <c r="AB478" i="43"/>
  <c r="X477" i="43"/>
  <c r="Y429" i="43"/>
  <c r="Z429" i="43"/>
  <c r="V432" i="43"/>
  <c r="V435" i="43"/>
  <c r="Y434" i="43"/>
  <c r="Y432" i="43"/>
  <c r="Y436" i="43"/>
  <c r="U432" i="43"/>
  <c r="U436" i="43"/>
  <c r="U434" i="43"/>
  <c r="T432" i="43"/>
  <c r="T434" i="43"/>
  <c r="X432" i="43"/>
  <c r="X434" i="43"/>
  <c r="V434" i="43"/>
  <c r="U435" i="43"/>
  <c r="T435" i="43"/>
  <c r="V436" i="43"/>
  <c r="W436" i="43"/>
  <c r="AB436" i="43"/>
  <c r="AA436" i="43"/>
  <c r="AC434" i="43"/>
  <c r="AC436" i="43"/>
  <c r="AB434" i="43"/>
  <c r="Z434" i="43"/>
  <c r="Z436" i="43"/>
  <c r="AA432" i="43"/>
  <c r="W432" i="43"/>
  <c r="U66" i="259" l="1"/>
  <c r="U72" i="259" s="1"/>
  <c r="AC435" i="43"/>
  <c r="Y435" i="43"/>
  <c r="W435" i="43"/>
  <c r="AB435" i="43"/>
  <c r="AA435" i="43"/>
  <c r="Z435" i="43"/>
  <c r="X435" i="43"/>
  <c r="P71" i="259"/>
  <c r="Q71" i="259"/>
  <c r="N72" i="259"/>
  <c r="R72" i="259"/>
  <c r="Q70" i="259"/>
  <c r="M66" i="259"/>
  <c r="AB382" i="43"/>
  <c r="AB388" i="43"/>
  <c r="AC382" i="43"/>
  <c r="AC388" i="43"/>
  <c r="AC131" i="259"/>
  <c r="Y336" i="259"/>
  <c r="Y337" i="259" s="1"/>
  <c r="Y168" i="259"/>
  <c r="Y170" i="259" s="1"/>
  <c r="Y150" i="259"/>
  <c r="Y152" i="259"/>
  <c r="R135" i="259"/>
  <c r="R145" i="259" s="1"/>
  <c r="R149" i="259" s="1"/>
  <c r="R124" i="259"/>
  <c r="R130" i="259" s="1"/>
  <c r="AA364" i="43"/>
  <c r="AA382" i="43"/>
  <c r="U364" i="43"/>
  <c r="U382" i="43"/>
  <c r="W364" i="43"/>
  <c r="W382" i="43"/>
  <c r="AD297" i="259"/>
  <c r="AD298" i="259" s="1"/>
  <c r="P152" i="259"/>
  <c r="P168" i="259"/>
  <c r="P170" i="259" s="1"/>
  <c r="P150" i="259"/>
  <c r="T131" i="259"/>
  <c r="P336" i="259"/>
  <c r="X364" i="43"/>
  <c r="Y364" i="43"/>
  <c r="AB364" i="43"/>
  <c r="Z364" i="43"/>
  <c r="AC364" i="43"/>
  <c r="V364" i="43"/>
  <c r="AG10" i="260"/>
  <c r="N337" i="259"/>
  <c r="N338" i="259"/>
  <c r="AK55" i="259"/>
  <c r="AK234" i="259"/>
  <c r="AJ175" i="259"/>
  <c r="AJ157" i="259" s="1"/>
  <c r="V150" i="259"/>
  <c r="V152" i="259"/>
  <c r="V168" i="259"/>
  <c r="V170" i="259" s="1"/>
  <c r="U150" i="259"/>
  <c r="U152" i="259"/>
  <c r="U168" i="259"/>
  <c r="U170" i="259" s="1"/>
  <c r="O338" i="259"/>
  <c r="O337" i="259"/>
  <c r="X57" i="259"/>
  <c r="W50" i="259"/>
  <c r="W58" i="259"/>
  <c r="V51" i="259"/>
  <c r="V66" i="259" s="1"/>
  <c r="V72" i="259" s="1"/>
  <c r="AK188" i="259"/>
  <c r="V336" i="259"/>
  <c r="V337" i="259" s="1"/>
  <c r="Z131" i="259"/>
  <c r="AD131" i="259"/>
  <c r="Z336" i="259"/>
  <c r="Z337" i="259" s="1"/>
  <c r="R6" i="259"/>
  <c r="S5" i="259"/>
  <c r="Y131" i="259"/>
  <c r="U336" i="259"/>
  <c r="U337" i="259" s="1"/>
  <c r="AJ54" i="259"/>
  <c r="AJ53" i="259" s="1"/>
  <c r="Z152" i="259"/>
  <c r="Z150" i="259"/>
  <c r="Z168" i="259"/>
  <c r="Z170" i="259" s="1"/>
  <c r="R4" i="259"/>
  <c r="S3" i="259"/>
  <c r="X426" i="43"/>
  <c r="X427" i="43" s="1"/>
  <c r="X431" i="43" s="1"/>
  <c r="X376" i="43" s="1"/>
  <c r="W426" i="43"/>
  <c r="W427" i="43" s="1"/>
  <c r="W431" i="43" s="1"/>
  <c r="W376" i="43" s="1"/>
  <c r="AA426" i="43"/>
  <c r="AA427" i="43" s="1"/>
  <c r="AA431" i="43" s="1"/>
  <c r="AA376" i="43" s="1"/>
  <c r="AA430" i="43"/>
  <c r="AA370" i="43" s="1"/>
  <c r="X430" i="43"/>
  <c r="X370" i="43" s="1"/>
  <c r="Y430" i="43"/>
  <c r="Y370" i="43" s="1"/>
  <c r="Y427" i="43"/>
  <c r="Y431" i="43" s="1"/>
  <c r="Y376" i="43" s="1"/>
  <c r="W430" i="43"/>
  <c r="W370" i="43" s="1"/>
  <c r="Z426" i="43"/>
  <c r="Z427" i="43" s="1"/>
  <c r="Z431" i="43" s="1"/>
  <c r="Z376" i="43" s="1"/>
  <c r="Z430" i="43"/>
  <c r="Z370" i="43" s="1"/>
  <c r="T427" i="43"/>
  <c r="T431" i="43" s="1"/>
  <c r="T376" i="43" s="1"/>
  <c r="T430" i="43"/>
  <c r="T370" i="43" s="1"/>
  <c r="U430" i="43"/>
  <c r="U370" i="43" s="1"/>
  <c r="U427" i="43"/>
  <c r="U431" i="43" s="1"/>
  <c r="U376" i="43" s="1"/>
  <c r="V427" i="43"/>
  <c r="V431" i="43" s="1"/>
  <c r="V376" i="43" s="1"/>
  <c r="V430" i="43"/>
  <c r="V370" i="43" s="1"/>
  <c r="AC427" i="43"/>
  <c r="AC431" i="43" s="1"/>
  <c r="AC376" i="43" s="1"/>
  <c r="AC430" i="43"/>
  <c r="AC370" i="43" s="1"/>
  <c r="AB426" i="43"/>
  <c r="AB427" i="43" s="1"/>
  <c r="AB431" i="43" s="1"/>
  <c r="AB376" i="43" s="1"/>
  <c r="V73" i="259" l="1"/>
  <c r="P70" i="259"/>
  <c r="L66" i="259"/>
  <c r="M72" i="259"/>
  <c r="Q72" i="259"/>
  <c r="U73" i="259" s="1"/>
  <c r="AE293" i="259"/>
  <c r="AD183" i="259"/>
  <c r="AL55" i="259"/>
  <c r="AL54" i="259" s="1"/>
  <c r="AL53" i="259" s="1"/>
  <c r="AL75" i="259"/>
  <c r="V131" i="259"/>
  <c r="R336" i="259"/>
  <c r="R150" i="259"/>
  <c r="R152" i="259"/>
  <c r="R168" i="259"/>
  <c r="R170" i="259" s="1"/>
  <c r="P338" i="259"/>
  <c r="P337" i="259"/>
  <c r="AH10" i="260"/>
  <c r="X58" i="259"/>
  <c r="W51" i="259"/>
  <c r="AK54" i="259"/>
  <c r="AK53" i="259" s="1"/>
  <c r="AL188" i="259"/>
  <c r="T3" i="259"/>
  <c r="S4" i="259"/>
  <c r="W59" i="259"/>
  <c r="W52" i="259" s="1"/>
  <c r="S6" i="259"/>
  <c r="T5" i="259"/>
  <c r="X50" i="259"/>
  <c r="Y57" i="259"/>
  <c r="AK175" i="259"/>
  <c r="AK157" i="259" s="1"/>
  <c r="AL234" i="259"/>
  <c r="AL175" i="259" s="1"/>
  <c r="Y198" i="43"/>
  <c r="Y194" i="43"/>
  <c r="Y190" i="43"/>
  <c r="Y225" i="43" s="1"/>
  <c r="Y185" i="43"/>
  <c r="Y181" i="43"/>
  <c r="Y159" i="43"/>
  <c r="Y160" i="43"/>
  <c r="X160" i="43"/>
  <c r="X163" i="43" s="1"/>
  <c r="X155" i="43"/>
  <c r="X157" i="43" s="1"/>
  <c r="Y155" i="43"/>
  <c r="Y148" i="43"/>
  <c r="X148" i="43"/>
  <c r="Y143" i="43"/>
  <c r="X143" i="43"/>
  <c r="X119" i="43"/>
  <c r="X137" i="43" s="1"/>
  <c r="X112" i="43"/>
  <c r="X104" i="43"/>
  <c r="Y127" i="43"/>
  <c r="X127" i="43"/>
  <c r="X129" i="43" s="1"/>
  <c r="Z127" i="43"/>
  <c r="X19" i="43"/>
  <c r="X118" i="43" s="1"/>
  <c r="AE295" i="259" l="1"/>
  <c r="AE320" i="259" s="1"/>
  <c r="L72" i="259"/>
  <c r="P72" i="259"/>
  <c r="T73" i="259" s="1"/>
  <c r="R337" i="259"/>
  <c r="R338" i="259"/>
  <c r="AL157" i="259"/>
  <c r="AI10" i="260"/>
  <c r="Y330" i="43"/>
  <c r="Y336" i="43"/>
  <c r="Y337" i="43" s="1"/>
  <c r="Y226" i="43"/>
  <c r="Y237" i="43" s="1"/>
  <c r="W66" i="259"/>
  <c r="Y50" i="259"/>
  <c r="Z57" i="259"/>
  <c r="T4" i="259"/>
  <c r="U3" i="259"/>
  <c r="Y58" i="259"/>
  <c r="X51" i="259"/>
  <c r="AC267" i="259"/>
  <c r="U5" i="259"/>
  <c r="T6" i="259"/>
  <c r="X59" i="259"/>
  <c r="X52" i="259" s="1"/>
  <c r="Z297" i="43"/>
  <c r="Y305" i="43"/>
  <c r="Y189" i="43"/>
  <c r="Y205" i="43"/>
  <c r="Y203" i="43"/>
  <c r="AA259" i="43"/>
  <c r="AA261" i="43" s="1"/>
  <c r="Z259" i="43"/>
  <c r="Z261" i="43" s="1"/>
  <c r="AB259" i="43"/>
  <c r="AB261" i="43" s="1"/>
  <c r="AG199" i="43"/>
  <c r="AH199" i="43" s="1"/>
  <c r="AI199" i="43" s="1"/>
  <c r="AJ199" i="43" s="1"/>
  <c r="AK199" i="43" s="1"/>
  <c r="AL199" i="43" s="1"/>
  <c r="AM199" i="43" s="1"/>
  <c r="AN199" i="43" s="1"/>
  <c r="E109" i="43"/>
  <c r="E108" i="43"/>
  <c r="E107" i="43"/>
  <c r="AE297" i="259" l="1"/>
  <c r="AE183" i="259" s="1"/>
  <c r="AE298" i="259"/>
  <c r="AJ10" i="260"/>
  <c r="W72" i="259"/>
  <c r="W73" i="259" s="1"/>
  <c r="Y227" i="43"/>
  <c r="Y228" i="43" s="1"/>
  <c r="Y332" i="43"/>
  <c r="Y331" i="43"/>
  <c r="AF293" i="259"/>
  <c r="X66" i="259"/>
  <c r="X72" i="259" s="1"/>
  <c r="AC269" i="259"/>
  <c r="Y51" i="259"/>
  <c r="Z58" i="259"/>
  <c r="AA57" i="259"/>
  <c r="Z50" i="259"/>
  <c r="U4" i="259"/>
  <c r="V3" i="259"/>
  <c r="U6" i="259"/>
  <c r="V5" i="259"/>
  <c r="Y59" i="259"/>
  <c r="Y52" i="259" s="1"/>
  <c r="Y175" i="43"/>
  <c r="Y163" i="43"/>
  <c r="Y157" i="43"/>
  <c r="Y129" i="43"/>
  <c r="Z129" i="43"/>
  <c r="I3" i="43"/>
  <c r="AF295" i="259" l="1"/>
  <c r="AF320" i="259" s="1"/>
  <c r="AK10" i="260"/>
  <c r="J3" i="43"/>
  <c r="K3" i="43" s="1"/>
  <c r="L3" i="43" s="1"/>
  <c r="Y66" i="259"/>
  <c r="AC66" i="259" s="1"/>
  <c r="AG66" i="259" s="1"/>
  <c r="AK66" i="259" s="1"/>
  <c r="V6" i="259"/>
  <c r="W5" i="259"/>
  <c r="AB57" i="259"/>
  <c r="AC57" i="259" s="1"/>
  <c r="AD57" i="259" s="1"/>
  <c r="AE57" i="259" s="1"/>
  <c r="AF57" i="259" s="1"/>
  <c r="AG57" i="259" s="1"/>
  <c r="AH57" i="259" s="1"/>
  <c r="AI57" i="259" s="1"/>
  <c r="AJ57" i="259" s="1"/>
  <c r="AK57" i="259" s="1"/>
  <c r="AL57" i="259" s="1"/>
  <c r="AA50" i="259"/>
  <c r="AC321" i="259"/>
  <c r="AC322" i="259"/>
  <c r="AC268" i="259"/>
  <c r="W3" i="259"/>
  <c r="V4" i="259"/>
  <c r="AA58" i="259"/>
  <c r="AA59" i="259" s="1"/>
  <c r="AA52" i="259" s="1"/>
  <c r="Z51" i="259"/>
  <c r="Z59" i="259"/>
  <c r="X73" i="259"/>
  <c r="Y182" i="43"/>
  <c r="Y344" i="43" s="1"/>
  <c r="Y195" i="43"/>
  <c r="Y200" i="43" s="1"/>
  <c r="AF297" i="259" l="1"/>
  <c r="AF183" i="259" s="1"/>
  <c r="AG293" i="259"/>
  <c r="AL10" i="260"/>
  <c r="Y72" i="259"/>
  <c r="Y73" i="259" s="1"/>
  <c r="Y201" i="43"/>
  <c r="W6" i="259"/>
  <c r="X5" i="259"/>
  <c r="AB58" i="259"/>
  <c r="AA51" i="259"/>
  <c r="AA66" i="259" s="1"/>
  <c r="AB50" i="259"/>
  <c r="X3" i="259"/>
  <c r="W4" i="259"/>
  <c r="AC155" i="259"/>
  <c r="AC154" i="259" s="1"/>
  <c r="AC159" i="259" s="1"/>
  <c r="AC271" i="259"/>
  <c r="Z52" i="259"/>
  <c r="Z66" i="259" s="1"/>
  <c r="AC324" i="259"/>
  <c r="M3" i="43"/>
  <c r="AB59" i="259" l="1"/>
  <c r="AB52" i="259" s="1"/>
  <c r="AC58" i="259"/>
  <c r="AD58" i="259" s="1"/>
  <c r="AE58" i="259" s="1"/>
  <c r="AF58" i="259" s="1"/>
  <c r="AG58" i="259" s="1"/>
  <c r="AH58" i="259" s="1"/>
  <c r="AI58" i="259" s="1"/>
  <c r="AJ58" i="259" s="1"/>
  <c r="AK58" i="259" s="1"/>
  <c r="AL58" i="259" s="1"/>
  <c r="AB66" i="259"/>
  <c r="AF298" i="259"/>
  <c r="AG295" i="259"/>
  <c r="AG320" i="259" s="1"/>
  <c r="AG297" i="259"/>
  <c r="AG298" i="259" s="1"/>
  <c r="AE66" i="259"/>
  <c r="AI66" i="259" s="1"/>
  <c r="AA72" i="259"/>
  <c r="AC73" i="259"/>
  <c r="AM10" i="260"/>
  <c r="AD66" i="259"/>
  <c r="AH66" i="259" s="1"/>
  <c r="AL66" i="259" s="1"/>
  <c r="Z72" i="259"/>
  <c r="X4" i="259"/>
  <c r="Y3" i="259"/>
  <c r="AG183" i="259"/>
  <c r="AB51" i="259"/>
  <c r="AC180" i="259"/>
  <c r="AD267" i="259"/>
  <c r="AC50" i="259"/>
  <c r="Y5" i="259"/>
  <c r="X6" i="259"/>
  <c r="N3" i="43"/>
  <c r="AB72" i="259" l="1"/>
  <c r="AF66" i="259"/>
  <c r="AJ66" i="259" s="1"/>
  <c r="AH293" i="259"/>
  <c r="AH295" i="259" s="1"/>
  <c r="AA73" i="259"/>
  <c r="AE73" i="259"/>
  <c r="AN10" i="260"/>
  <c r="AB28" i="259"/>
  <c r="Y4" i="259"/>
  <c r="Z3" i="259"/>
  <c r="Y6" i="259"/>
  <c r="Z5" i="259"/>
  <c r="AC51" i="259"/>
  <c r="AC59" i="259"/>
  <c r="AC52" i="259" s="1"/>
  <c r="AC67" i="259" s="1"/>
  <c r="AC11" i="259" s="1"/>
  <c r="AD269" i="259"/>
  <c r="AD50" i="259"/>
  <c r="AA107" i="259"/>
  <c r="AA109" i="259"/>
  <c r="AA78" i="259"/>
  <c r="AA77" i="259"/>
  <c r="AA76" i="259" s="1"/>
  <c r="AA104" i="259"/>
  <c r="AA30" i="259"/>
  <c r="AA222" i="259"/>
  <c r="AA37" i="259"/>
  <c r="Z73" i="259"/>
  <c r="AD73" i="259"/>
  <c r="AH320" i="259"/>
  <c r="O3" i="43"/>
  <c r="AB73" i="259" l="1"/>
  <c r="AF73" i="259"/>
  <c r="AA274" i="259"/>
  <c r="AA282" i="259"/>
  <c r="AA209" i="259"/>
  <c r="AA207" i="259"/>
  <c r="AA45" i="259"/>
  <c r="AA46" i="259" s="1"/>
  <c r="AO10" i="260"/>
  <c r="AH297" i="259"/>
  <c r="AA3" i="259"/>
  <c r="Z4" i="259"/>
  <c r="AA105" i="259"/>
  <c r="AA106" i="259" s="1"/>
  <c r="AD268" i="259"/>
  <c r="AD322" i="259"/>
  <c r="AD321" i="259"/>
  <c r="Z6" i="259"/>
  <c r="AA5" i="259"/>
  <c r="AB107" i="259"/>
  <c r="AB109" i="259"/>
  <c r="AB78" i="259"/>
  <c r="AB77" i="259"/>
  <c r="AB76" i="259" s="1"/>
  <c r="AB104" i="259"/>
  <c r="AA211" i="259"/>
  <c r="AE50" i="259"/>
  <c r="AD51" i="259"/>
  <c r="AC68" i="259"/>
  <c r="AC28" i="259"/>
  <c r="AA18" i="259"/>
  <c r="AA32" i="259" s="1"/>
  <c r="AA35" i="259"/>
  <c r="AA108" i="259"/>
  <c r="AD59" i="259"/>
  <c r="AD52" i="259" s="1"/>
  <c r="P3" i="43"/>
  <c r="AB282" i="259" l="1"/>
  <c r="AB274" i="259"/>
  <c r="AB207" i="259"/>
  <c r="AB209" i="259"/>
  <c r="AC313" i="259"/>
  <c r="AC304" i="259"/>
  <c r="AI293" i="259"/>
  <c r="AH298" i="259"/>
  <c r="AH183" i="259"/>
  <c r="AD324" i="259"/>
  <c r="AD67" i="259"/>
  <c r="AD68" i="259" s="1"/>
  <c r="AA110" i="259"/>
  <c r="AA113" i="259" s="1"/>
  <c r="AF50" i="259"/>
  <c r="AA20" i="259"/>
  <c r="AA22" i="259" s="1"/>
  <c r="AA31" i="259"/>
  <c r="AA39" i="259"/>
  <c r="AE51" i="259"/>
  <c r="AC13" i="259"/>
  <c r="AC12" i="259" s="1"/>
  <c r="AC30" i="259" s="1"/>
  <c r="AC14" i="259"/>
  <c r="AC107" i="259" s="1"/>
  <c r="AC15" i="259"/>
  <c r="AC16" i="259"/>
  <c r="AC109" i="259" s="1"/>
  <c r="AC77" i="259"/>
  <c r="AC76" i="259" s="1"/>
  <c r="AC78" i="259"/>
  <c r="AC104" i="259"/>
  <c r="AC274" i="259" s="1"/>
  <c r="AE59" i="259"/>
  <c r="AE52" i="259" s="1"/>
  <c r="AB108" i="259"/>
  <c r="AB5" i="259"/>
  <c r="AA6" i="259"/>
  <c r="AD155" i="259"/>
  <c r="AD154" i="259" s="1"/>
  <c r="AD159" i="259" s="1"/>
  <c r="AD271" i="259"/>
  <c r="AB3" i="259"/>
  <c r="AA4" i="259"/>
  <c r="Q3" i="43"/>
  <c r="AI295" i="259" l="1"/>
  <c r="AI320" i="259" s="1"/>
  <c r="AB30" i="259"/>
  <c r="AE67" i="259"/>
  <c r="AE68" i="259" s="1"/>
  <c r="AA241" i="259"/>
  <c r="AD11" i="259"/>
  <c r="AD28" i="259" s="1"/>
  <c r="AC138" i="259"/>
  <c r="AC105" i="259"/>
  <c r="AC106" i="259" s="1"/>
  <c r="AC280" i="259"/>
  <c r="AC208" i="259"/>
  <c r="AC211" i="259" s="1"/>
  <c r="AF51" i="259"/>
  <c r="AB105" i="259"/>
  <c r="AB106" i="259" s="1"/>
  <c r="AB110" i="259" s="1"/>
  <c r="AB241" i="259" s="1"/>
  <c r="AE267" i="259"/>
  <c r="AD180" i="259"/>
  <c r="AG50" i="259"/>
  <c r="AC277" i="259"/>
  <c r="AC279" i="259" s="1"/>
  <c r="AC284" i="259" s="1"/>
  <c r="AI297" i="259"/>
  <c r="AI298" i="259" s="1"/>
  <c r="AC35" i="259"/>
  <c r="AC108" i="259"/>
  <c r="AA117" i="259"/>
  <c r="AC5" i="259"/>
  <c r="AB6" i="259"/>
  <c r="AB4" i="259"/>
  <c r="AC3" i="259"/>
  <c r="AF59" i="259"/>
  <c r="AF52" i="259" s="1"/>
  <c r="R3" i="43"/>
  <c r="AB242" i="259" l="1"/>
  <c r="AB243" i="259"/>
  <c r="AD104" i="259"/>
  <c r="AD274" i="259" s="1"/>
  <c r="AD304" i="259"/>
  <c r="AD313" i="259"/>
  <c r="AD78" i="259"/>
  <c r="AA120" i="259"/>
  <c r="AA121" i="259"/>
  <c r="AD15" i="259"/>
  <c r="AD35" i="259" s="1"/>
  <c r="AD14" i="259"/>
  <c r="AD107" i="259" s="1"/>
  <c r="AD77" i="259"/>
  <c r="AD76" i="259" s="1"/>
  <c r="AD13" i="259"/>
  <c r="AD12" i="259" s="1"/>
  <c r="AD30" i="259" s="1"/>
  <c r="AD16" i="259"/>
  <c r="AD109" i="259" s="1"/>
  <c r="AE11" i="259"/>
  <c r="AE28" i="259" s="1"/>
  <c r="AC178" i="259"/>
  <c r="AF67" i="259"/>
  <c r="AF11" i="259" s="1"/>
  <c r="AF28" i="259" s="1"/>
  <c r="AG51" i="259"/>
  <c r="AH59" i="259"/>
  <c r="AH52" i="259" s="1"/>
  <c r="AC110" i="259"/>
  <c r="AC6" i="259"/>
  <c r="AD5" i="259"/>
  <c r="AI183" i="259"/>
  <c r="AJ293" i="259"/>
  <c r="AJ295" i="259" s="1"/>
  <c r="AH50" i="259"/>
  <c r="AC4" i="259"/>
  <c r="AD3" i="259"/>
  <c r="AC139" i="259"/>
  <c r="AC144" i="259"/>
  <c r="AC181" i="259"/>
  <c r="AD277" i="259"/>
  <c r="AD279" i="259" s="1"/>
  <c r="AC283" i="259"/>
  <c r="AC278" i="259"/>
  <c r="AE269" i="259"/>
  <c r="AC176" i="259"/>
  <c r="AG59" i="259"/>
  <c r="AG52" i="259" s="1"/>
  <c r="S3" i="43"/>
  <c r="AD208" i="259" l="1"/>
  <c r="AD211" i="259" s="1"/>
  <c r="AD176" i="259" s="1"/>
  <c r="AF313" i="259"/>
  <c r="AF304" i="259"/>
  <c r="AE14" i="259"/>
  <c r="AE107" i="259" s="1"/>
  <c r="AE313" i="259"/>
  <c r="AE304" i="259"/>
  <c r="AD108" i="259"/>
  <c r="AE78" i="259"/>
  <c r="AE13" i="259"/>
  <c r="AE12" i="259" s="1"/>
  <c r="AE30" i="259" s="1"/>
  <c r="AE104" i="259"/>
  <c r="AE15" i="259"/>
  <c r="AE108" i="259" s="1"/>
  <c r="AE16" i="259"/>
  <c r="AE109" i="259" s="1"/>
  <c r="AE77" i="259"/>
  <c r="AE76" i="259" s="1"/>
  <c r="AF68" i="259"/>
  <c r="AG67" i="259"/>
  <c r="AG68" i="259" s="1"/>
  <c r="AC289" i="259"/>
  <c r="AC290" i="259" s="1"/>
  <c r="AD178" i="259"/>
  <c r="AA122" i="259"/>
  <c r="AA135" i="259" s="1"/>
  <c r="AD139" i="259"/>
  <c r="AD284" i="259"/>
  <c r="AD144" i="259" s="1"/>
  <c r="AD6" i="259"/>
  <c r="AE5" i="259"/>
  <c r="AD105" i="259"/>
  <c r="AD106" i="259" s="1"/>
  <c r="AD110" i="259" s="1"/>
  <c r="AD138" i="259"/>
  <c r="AE3" i="259"/>
  <c r="AD4" i="259"/>
  <c r="AI50" i="259"/>
  <c r="AF13" i="259"/>
  <c r="AF12" i="259" s="1"/>
  <c r="AF30" i="259" s="1"/>
  <c r="AF14" i="259"/>
  <c r="AF107" i="259" s="1"/>
  <c r="AF15" i="259"/>
  <c r="AF16" i="259"/>
  <c r="AF109" i="259" s="1"/>
  <c r="AF78" i="259"/>
  <c r="AF77" i="259"/>
  <c r="AF76" i="259" s="1"/>
  <c r="AF104" i="259"/>
  <c r="AI59" i="259"/>
  <c r="AI52" i="259" s="1"/>
  <c r="AH51" i="259"/>
  <c r="AH67" i="259" s="1"/>
  <c r="AA25" i="259"/>
  <c r="AA27" i="259" s="1"/>
  <c r="AA137" i="259"/>
  <c r="AE268" i="259"/>
  <c r="AE322" i="259"/>
  <c r="AE321" i="259"/>
  <c r="AJ320" i="259"/>
  <c r="AC241" i="259"/>
  <c r="AB115" i="259"/>
  <c r="AA242" i="259"/>
  <c r="T3" i="43"/>
  <c r="AA145" i="259" l="1"/>
  <c r="AA149" i="259" s="1"/>
  <c r="AE208" i="259"/>
  <c r="AE211" i="259" s="1"/>
  <c r="AE176" i="259" s="1"/>
  <c r="AC287" i="259"/>
  <c r="AC190" i="259" s="1"/>
  <c r="AA124" i="259"/>
  <c r="AG11" i="259"/>
  <c r="AG28" i="259" s="1"/>
  <c r="AJ297" i="259"/>
  <c r="AB116" i="259"/>
  <c r="AE105" i="259"/>
  <c r="AE106" i="259" s="1"/>
  <c r="AE110" i="259" s="1"/>
  <c r="AE138" i="259"/>
  <c r="AJ50" i="259"/>
  <c r="AE6" i="259"/>
  <c r="AF5" i="259"/>
  <c r="AF208" i="259"/>
  <c r="AE324" i="259"/>
  <c r="AE155" i="259"/>
  <c r="AE35" i="259" s="1"/>
  <c r="AE271" i="259"/>
  <c r="AH68" i="259"/>
  <c r="AH11" i="259"/>
  <c r="AH28" i="259" s="1"/>
  <c r="AF108" i="259"/>
  <c r="AJ59" i="259"/>
  <c r="AJ52" i="259" s="1"/>
  <c r="AI51" i="259"/>
  <c r="AI67" i="259" s="1"/>
  <c r="AF105" i="259"/>
  <c r="AF106" i="259" s="1"/>
  <c r="AF138" i="259"/>
  <c r="AF3" i="259"/>
  <c r="AE4" i="259"/>
  <c r="AD241" i="259"/>
  <c r="U3" i="43"/>
  <c r="AF211" i="259" l="1"/>
  <c r="AE178" i="259"/>
  <c r="AJ183" i="259"/>
  <c r="AJ298" i="259"/>
  <c r="AG104" i="259"/>
  <c r="AG208" i="259" s="1"/>
  <c r="AG211" i="259" s="1"/>
  <c r="AG313" i="259"/>
  <c r="AG304" i="259"/>
  <c r="AH313" i="259"/>
  <c r="AH304" i="259"/>
  <c r="AE274" i="259"/>
  <c r="AG15" i="259"/>
  <c r="AG108" i="259" s="1"/>
  <c r="AG78" i="259"/>
  <c r="AG16" i="259"/>
  <c r="AG109" i="259" s="1"/>
  <c r="AC288" i="259"/>
  <c r="AC195" i="259" s="1"/>
  <c r="AC227" i="259" s="1"/>
  <c r="AG77" i="259"/>
  <c r="AG76" i="259" s="1"/>
  <c r="AG14" i="259"/>
  <c r="AG107" i="259" s="1"/>
  <c r="AK293" i="259"/>
  <c r="AK295" i="259" s="1"/>
  <c r="AG13" i="259"/>
  <c r="AG12" i="259" s="1"/>
  <c r="AG30" i="259" s="1"/>
  <c r="AE154" i="259"/>
  <c r="AE159" i="259" s="1"/>
  <c r="AF110" i="259"/>
  <c r="AF241" i="259" s="1"/>
  <c r="AH13" i="259"/>
  <c r="AH12" i="259" s="1"/>
  <c r="AH30" i="259" s="1"/>
  <c r="AH14" i="259"/>
  <c r="AH107" i="259" s="1"/>
  <c r="AH15" i="259"/>
  <c r="AH16" i="259"/>
  <c r="AH109" i="259" s="1"/>
  <c r="AH77" i="259"/>
  <c r="AH76" i="259" s="1"/>
  <c r="AH104" i="259"/>
  <c r="AH78" i="259"/>
  <c r="AF4" i="259"/>
  <c r="AG3" i="259"/>
  <c r="AK50" i="259"/>
  <c r="AE241" i="259"/>
  <c r="AI68" i="259"/>
  <c r="AI11" i="259"/>
  <c r="AI28" i="259" s="1"/>
  <c r="AJ51" i="259"/>
  <c r="AJ67" i="259" s="1"/>
  <c r="AK59" i="259"/>
  <c r="AK52" i="259" s="1"/>
  <c r="AE180" i="259"/>
  <c r="AF267" i="259"/>
  <c r="AG5" i="259"/>
  <c r="AF6" i="259"/>
  <c r="AB165" i="259"/>
  <c r="V3" i="43"/>
  <c r="AF178" i="259" l="1"/>
  <c r="AF176" i="259"/>
  <c r="AG176" i="259" s="1"/>
  <c r="AC246" i="259"/>
  <c r="AC115" i="259" s="1"/>
  <c r="AC247" i="259"/>
  <c r="AC228" i="259" s="1"/>
  <c r="AC194" i="259" s="1"/>
  <c r="AI313" i="259"/>
  <c r="AI304" i="259"/>
  <c r="AK320" i="259"/>
  <c r="AG105" i="259"/>
  <c r="AG106" i="259" s="1"/>
  <c r="AG110" i="259" s="1"/>
  <c r="AG138" i="259"/>
  <c r="AG178" i="259"/>
  <c r="AJ68" i="259"/>
  <c r="AJ11" i="259"/>
  <c r="AJ28" i="259" s="1"/>
  <c r="AG6" i="259"/>
  <c r="AH5" i="259"/>
  <c r="AH105" i="259"/>
  <c r="AH106" i="259" s="1"/>
  <c r="AH138" i="259"/>
  <c r="AF269" i="259"/>
  <c r="AI13" i="259"/>
  <c r="AI14" i="259"/>
  <c r="AI107" i="259" s="1"/>
  <c r="AI15" i="259"/>
  <c r="AI16" i="259"/>
  <c r="AI109" i="259" s="1"/>
  <c r="AI78" i="259"/>
  <c r="AI77" i="259"/>
  <c r="AI76" i="259" s="1"/>
  <c r="AI104" i="259"/>
  <c r="AH108" i="259"/>
  <c r="AL50" i="259"/>
  <c r="AK297" i="259"/>
  <c r="AK298" i="259" s="1"/>
  <c r="AH208" i="259"/>
  <c r="AH211" i="259" s="1"/>
  <c r="AK51" i="259"/>
  <c r="AK67" i="259" s="1"/>
  <c r="AG4" i="259"/>
  <c r="AH3" i="259"/>
  <c r="W3" i="43"/>
  <c r="AJ313" i="259" l="1"/>
  <c r="AJ304" i="259"/>
  <c r="AC161" i="259"/>
  <c r="AC165" i="259" s="1"/>
  <c r="AC143" i="259"/>
  <c r="AC229" i="259"/>
  <c r="AC242" i="259" s="1"/>
  <c r="AC116" i="259"/>
  <c r="AH110" i="259"/>
  <c r="AH241" i="259" s="1"/>
  <c r="AK68" i="259"/>
  <c r="AK11" i="259"/>
  <c r="AK28" i="259" s="1"/>
  <c r="AL51" i="259"/>
  <c r="AL293" i="259"/>
  <c r="AL295" i="259" s="1"/>
  <c r="AK183" i="259"/>
  <c r="AL59" i="259"/>
  <c r="AH176" i="259"/>
  <c r="AH4" i="259"/>
  <c r="AI3" i="259"/>
  <c r="AJ13" i="259"/>
  <c r="AJ12" i="259" s="1"/>
  <c r="AJ30" i="259" s="1"/>
  <c r="AJ14" i="259"/>
  <c r="AJ107" i="259" s="1"/>
  <c r="AJ15" i="259"/>
  <c r="AJ16" i="259"/>
  <c r="AJ109" i="259" s="1"/>
  <c r="AJ78" i="259"/>
  <c r="AJ77" i="259"/>
  <c r="AJ76" i="259" s="1"/>
  <c r="AJ104" i="259"/>
  <c r="AI12" i="259"/>
  <c r="AI30" i="259" s="1"/>
  <c r="AG241" i="259"/>
  <c r="AI208" i="259"/>
  <c r="AI211" i="259" s="1"/>
  <c r="AI108" i="259"/>
  <c r="AF268" i="259"/>
  <c r="AF321" i="259"/>
  <c r="AF322" i="259"/>
  <c r="AH6" i="259"/>
  <c r="AI5" i="259"/>
  <c r="AH178" i="259"/>
  <c r="X3" i="43"/>
  <c r="AK313" i="259" l="1"/>
  <c r="AK304" i="259"/>
  <c r="AD246" i="259"/>
  <c r="AD115" i="259" s="1"/>
  <c r="AC230" i="259"/>
  <c r="AD247" i="259"/>
  <c r="AD116" i="259" s="1"/>
  <c r="AI178" i="259"/>
  <c r="AJ138" i="259"/>
  <c r="AJ105" i="259"/>
  <c r="AJ106" i="259" s="1"/>
  <c r="AF155" i="259"/>
  <c r="AF35" i="259" s="1"/>
  <c r="AF271" i="259"/>
  <c r="AI6" i="259"/>
  <c r="AJ5" i="259"/>
  <c r="AI105" i="259"/>
  <c r="AI106" i="259" s="1"/>
  <c r="AI110" i="259" s="1"/>
  <c r="AI138" i="259"/>
  <c r="AJ3" i="259"/>
  <c r="AI4" i="259"/>
  <c r="AL52" i="259"/>
  <c r="AL67" i="259" s="1"/>
  <c r="AK13" i="259"/>
  <c r="AK12" i="259" s="1"/>
  <c r="AK30" i="259" s="1"/>
  <c r="AK15" i="259"/>
  <c r="AK16" i="259"/>
  <c r="AK109" i="259" s="1"/>
  <c r="AK14" i="259"/>
  <c r="AK107" i="259" s="1"/>
  <c r="AK78" i="259"/>
  <c r="AK104" i="259"/>
  <c r="AK77" i="259"/>
  <c r="AK76" i="259" s="1"/>
  <c r="AI176" i="259"/>
  <c r="AF324" i="259"/>
  <c r="AJ208" i="259"/>
  <c r="AJ211" i="259" s="1"/>
  <c r="AJ108" i="259"/>
  <c r="AL320" i="259"/>
  <c r="Y3" i="43"/>
  <c r="AF274" i="259" l="1"/>
  <c r="AD228" i="259"/>
  <c r="AD194" i="259" s="1"/>
  <c r="AD143" i="259"/>
  <c r="AJ178" i="259"/>
  <c r="AJ110" i="259"/>
  <c r="AJ241" i="259" s="1"/>
  <c r="AK138" i="259"/>
  <c r="AK105" i="259"/>
  <c r="AK106" i="259" s="1"/>
  <c r="AK208" i="259"/>
  <c r="AK211" i="259" s="1"/>
  <c r="AJ4" i="259"/>
  <c r="AK3" i="259"/>
  <c r="AF180" i="259"/>
  <c r="AG267" i="259"/>
  <c r="AL297" i="259"/>
  <c r="AJ176" i="259"/>
  <c r="AK108" i="259"/>
  <c r="AL68" i="259"/>
  <c r="AL11" i="259"/>
  <c r="AL28" i="259" s="1"/>
  <c r="AI241" i="259"/>
  <c r="AK5" i="259"/>
  <c r="AJ6" i="259"/>
  <c r="AF154" i="259"/>
  <c r="AF159" i="259" s="1"/>
  <c r="Y20" i="43" a="1"/>
  <c r="Y20" i="43" s="1"/>
  <c r="Y119" i="43" s="1"/>
  <c r="Y137" i="43" s="1"/>
  <c r="Y15" i="43" a="1"/>
  <c r="Y15" i="43" s="1"/>
  <c r="Y112" i="43" s="1"/>
  <c r="Y8" i="43" a="1"/>
  <c r="Y8" i="43" s="1"/>
  <c r="Y19" i="43" a="1"/>
  <c r="Y19" i="43" s="1"/>
  <c r="Y118" i="43" s="1"/>
  <c r="Y123" i="43" a="1"/>
  <c r="Y123" i="43" s="1"/>
  <c r="Y7" i="43" a="1"/>
  <c r="Y7" i="43" s="1"/>
  <c r="Y11" i="43" a="1"/>
  <c r="Y11" i="43" s="1"/>
  <c r="Y12" i="43" a="1"/>
  <c r="Y12" i="43" s="1"/>
  <c r="Y10" i="43" a="1"/>
  <c r="Y10" i="43" s="1"/>
  <c r="Y13" i="43" a="1"/>
  <c r="Y13" i="43" s="1"/>
  <c r="Z3" i="43"/>
  <c r="Y411" i="43" l="1"/>
  <c r="AL183" i="259"/>
  <c r="AL298" i="259"/>
  <c r="Y38" i="43"/>
  <c r="Y39" i="43" s="1"/>
  <c r="Y405" i="43"/>
  <c r="Y314" i="43"/>
  <c r="Y269" i="43"/>
  <c r="AL313" i="259"/>
  <c r="AL304" i="259"/>
  <c r="AD161" i="259"/>
  <c r="AD165" i="259" s="1"/>
  <c r="Y22" i="43"/>
  <c r="Y386" i="43"/>
  <c r="Y105" i="43"/>
  <c r="Y25" i="43"/>
  <c r="Y32" i="43"/>
  <c r="AK110" i="259"/>
  <c r="AK241" i="259" s="1"/>
  <c r="AG269" i="259"/>
  <c r="AK176" i="259"/>
  <c r="AK4" i="259"/>
  <c r="AL3" i="259"/>
  <c r="AL4" i="259" s="1"/>
  <c r="AK6" i="259"/>
  <c r="AL5" i="259"/>
  <c r="AL6" i="259" s="1"/>
  <c r="AL13" i="259"/>
  <c r="AL14" i="259"/>
  <c r="AL107" i="259" s="1"/>
  <c r="AL15" i="259"/>
  <c r="AL16" i="259"/>
  <c r="AL109" i="259" s="1"/>
  <c r="AL77" i="259"/>
  <c r="AL76" i="259" s="1"/>
  <c r="AL104" i="259"/>
  <c r="AL78" i="259"/>
  <c r="AK178" i="259"/>
  <c r="Y33" i="43"/>
  <c r="Y30" i="43"/>
  <c r="Z322" i="43"/>
  <c r="Z319" i="43" a="1"/>
  <c r="Z319" i="43" s="1"/>
  <c r="Z323" i="43"/>
  <c r="Y323" i="43" s="1"/>
  <c r="X323" i="43" s="1"/>
  <c r="Z317" i="43" a="1"/>
  <c r="Z317" i="43" s="1"/>
  <c r="Z318" i="43" a="1"/>
  <c r="Z318" i="43" s="1"/>
  <c r="Z324" i="43"/>
  <c r="Y324" i="43" s="1"/>
  <c r="X324" i="43" s="1"/>
  <c r="Z320" i="43" a="1"/>
  <c r="Z320" i="43" s="1"/>
  <c r="Y71" i="43"/>
  <c r="Z216" i="43" a="1"/>
  <c r="Z216" i="43" s="1"/>
  <c r="Z215" i="43" s="1"/>
  <c r="Z243" i="43" a="1"/>
  <c r="Z243" i="43" s="1"/>
  <c r="Z115" i="43" s="1"/>
  <c r="Z242" i="43" a="1"/>
  <c r="Z242" i="43" s="1"/>
  <c r="Z244" i="43" a="1"/>
  <c r="Z244" i="43" s="1"/>
  <c r="Z116" i="43" s="1"/>
  <c r="Y28" i="43"/>
  <c r="Y31" i="43"/>
  <c r="Y29" i="43"/>
  <c r="Y107" i="43"/>
  <c r="Y109" i="43"/>
  <c r="Y108" i="43"/>
  <c r="Z75" i="43" a="1"/>
  <c r="Z75" i="43" s="1"/>
  <c r="Z73" i="43" a="1"/>
  <c r="Z73" i="43" s="1"/>
  <c r="Z57" i="43"/>
  <c r="Z56" i="43"/>
  <c r="Z58" i="43"/>
  <c r="Z50" i="43"/>
  <c r="Z47" i="43"/>
  <c r="Z51" i="43"/>
  <c r="Z48" i="43"/>
  <c r="Y104" i="43"/>
  <c r="Y362" i="43"/>
  <c r="Y111" i="43"/>
  <c r="Y136" i="43" s="1"/>
  <c r="Z196" i="43" a="1"/>
  <c r="Z196" i="43" s="1"/>
  <c r="Z197" i="43" a="1"/>
  <c r="Z197" i="43" s="1"/>
  <c r="Z198" i="43" a="1"/>
  <c r="Z198" i="43" s="1"/>
  <c r="Z192" i="43" a="1"/>
  <c r="Z192" i="43" s="1"/>
  <c r="Z312" i="43" s="1"/>
  <c r="Z193" i="43" a="1"/>
  <c r="Z193" i="43" s="1"/>
  <c r="Z190" i="43" a="1"/>
  <c r="Z190" i="43" s="1"/>
  <c r="Z191" i="43" a="1"/>
  <c r="Z191" i="43" s="1"/>
  <c r="Z194" i="43" a="1"/>
  <c r="Z194" i="43" s="1"/>
  <c r="Z186" i="43" a="1"/>
  <c r="Z186" i="43" s="1"/>
  <c r="Z181" i="43" a="1"/>
  <c r="Z181" i="43" s="1"/>
  <c r="Z177" i="43" a="1"/>
  <c r="Z177" i="43" s="1"/>
  <c r="Z187" i="43" a="1"/>
  <c r="Z187" i="43" s="1"/>
  <c r="Z311" i="43" s="1"/>
  <c r="Z185" i="43" a="1"/>
  <c r="Z185" i="43" s="1"/>
  <c r="Z178" i="43" a="1"/>
  <c r="Z178" i="43" s="1"/>
  <c r="Z176" i="43" a="1"/>
  <c r="Z176" i="43" s="1"/>
  <c r="Z267" i="43" s="1"/>
  <c r="Z188" i="43" a="1"/>
  <c r="Z188" i="43" s="1"/>
  <c r="Z179" i="43" a="1"/>
  <c r="Z179" i="43" s="1"/>
  <c r="Z294" i="43" s="1"/>
  <c r="Z184" i="43" a="1"/>
  <c r="Z184" i="43" s="1"/>
  <c r="Z180" i="43" a="1"/>
  <c r="Z180" i="43" s="1"/>
  <c r="Z301" i="43" s="1"/>
  <c r="Z172" i="43" a="1"/>
  <c r="Z172" i="43" s="1"/>
  <c r="Z173" i="43" a="1"/>
  <c r="Z173" i="43" s="1"/>
  <c r="Z304" i="43" s="1"/>
  <c r="Z170" i="43" a="1"/>
  <c r="Z170" i="43" s="1"/>
  <c r="Z230" i="43" s="1"/>
  <c r="Z174" i="43" a="1"/>
  <c r="Z174" i="43" s="1"/>
  <c r="Z171" i="43" a="1"/>
  <c r="Z171" i="43" s="1"/>
  <c r="Z159" i="43" a="1"/>
  <c r="Z159" i="43" s="1"/>
  <c r="Z161" i="43" a="1"/>
  <c r="Z161" i="43" s="1"/>
  <c r="Z160" i="43" a="1"/>
  <c r="Z160" i="43" s="1"/>
  <c r="Z162" i="43" a="1"/>
  <c r="Z162" i="43" s="1"/>
  <c r="Z154" i="43" a="1"/>
  <c r="Z154" i="43" s="1"/>
  <c r="Z155" i="43" a="1"/>
  <c r="Z155" i="43" s="1"/>
  <c r="Z152" i="43" a="1"/>
  <c r="Z152" i="43" s="1"/>
  <c r="Z156" i="43" a="1"/>
  <c r="Z156" i="43" s="1"/>
  <c r="Z153" i="43" a="1"/>
  <c r="Z153" i="43" s="1"/>
  <c r="Z146" i="43" a="1"/>
  <c r="Z146" i="43" s="1"/>
  <c r="Z298" i="43" s="1"/>
  <c r="Z148" i="43" a="1"/>
  <c r="Z148" i="43" s="1"/>
  <c r="Z147" i="43" a="1"/>
  <c r="Z147" i="43" s="1"/>
  <c r="Z144" i="43" a="1"/>
  <c r="Z144" i="43" s="1"/>
  <c r="Z141" i="43" a="1"/>
  <c r="Z141" i="43" s="1"/>
  <c r="Z138" i="43" a="1"/>
  <c r="Z138" i="43" s="1"/>
  <c r="Z140" i="43" a="1"/>
  <c r="Z140" i="43" s="1"/>
  <c r="Z299" i="43" s="1"/>
  <c r="Z142" i="43" a="1"/>
  <c r="Z142" i="43" s="1"/>
  <c r="Z143" i="43" a="1"/>
  <c r="Z143" i="43" s="1"/>
  <c r="Z139" i="43" a="1"/>
  <c r="Z139" i="43" s="1"/>
  <c r="Z123" i="43" a="1"/>
  <c r="Z123" i="43" s="1"/>
  <c r="Y9" i="43"/>
  <c r="Y24" i="43" s="1"/>
  <c r="Z86" i="43" a="1"/>
  <c r="Z86" i="43" s="1"/>
  <c r="Z87" i="43" a="1"/>
  <c r="Z87" i="43" s="1"/>
  <c r="Z80" i="43" a="1"/>
  <c r="Z80" i="43" s="1"/>
  <c r="Z78" i="43" a="1"/>
  <c r="Z78" i="43" s="1"/>
  <c r="Z79" i="43" a="1"/>
  <c r="Z79" i="43" s="1"/>
  <c r="Z77" i="43" a="1"/>
  <c r="Z77" i="43" s="1"/>
  <c r="Z7" i="43" a="1"/>
  <c r="Z7" i="43" s="1"/>
  <c r="Z10" i="43" a="1"/>
  <c r="Z10" i="43" s="1"/>
  <c r="Z13" i="43" a="1"/>
  <c r="Z13" i="43" s="1"/>
  <c r="Z12" i="43" a="1"/>
  <c r="Z12" i="43" s="1"/>
  <c r="Z11" i="43" a="1"/>
  <c r="Z11" i="43" s="1"/>
  <c r="Z8" i="43" a="1"/>
  <c r="Z8" i="43" s="1"/>
  <c r="Z15" i="43" a="1"/>
  <c r="Z15" i="43" s="1"/>
  <c r="Z112" i="43" s="1"/>
  <c r="Z20" i="43" a="1"/>
  <c r="Z20" i="43" s="1"/>
  <c r="Z119" i="43" s="1"/>
  <c r="AA3" i="43"/>
  <c r="Z19" i="43" a="1"/>
  <c r="Z19" i="43" s="1"/>
  <c r="Z118" i="43" s="1"/>
  <c r="Z411" i="43" l="1"/>
  <c r="Y368" i="43"/>
  <c r="Y374" i="43"/>
  <c r="Y37" i="43"/>
  <c r="Z38" i="43"/>
  <c r="Z37" i="43" s="1"/>
  <c r="Z405" i="43"/>
  <c r="I41" i="259"/>
  <c r="I42" i="259" s="1"/>
  <c r="H41" i="259"/>
  <c r="Z308" i="43"/>
  <c r="Z151" i="43"/>
  <c r="Z386" i="43"/>
  <c r="Z105" i="43"/>
  <c r="Z25" i="43"/>
  <c r="Z336" i="43"/>
  <c r="Z337" i="43" s="1"/>
  <c r="Z114" i="43"/>
  <c r="Z71" i="43"/>
  <c r="Z22" i="43"/>
  <c r="AL208" i="259"/>
  <c r="AL211" i="259" s="1"/>
  <c r="AL176" i="259" s="1"/>
  <c r="AL108" i="259"/>
  <c r="AG321" i="259"/>
  <c r="AG322" i="259"/>
  <c r="AG268" i="259"/>
  <c r="AL12" i="259"/>
  <c r="AL30" i="259" s="1"/>
  <c r="Z30" i="43"/>
  <c r="Z33" i="43"/>
  <c r="Z272" i="43"/>
  <c r="Z292" i="43"/>
  <c r="Z295" i="43" s="1"/>
  <c r="Z321" i="43"/>
  <c r="AA214" i="43"/>
  <c r="Y319" i="43"/>
  <c r="AA320" i="43" a="1"/>
  <c r="AA320" i="43" s="1"/>
  <c r="AA319" i="43" a="1"/>
  <c r="AA319" i="43" s="1"/>
  <c r="AA322" i="43"/>
  <c r="AA318" i="43" a="1"/>
  <c r="AA318" i="43" s="1"/>
  <c r="AA317" i="43" a="1"/>
  <c r="AA317" i="43" s="1"/>
  <c r="AA323" i="43"/>
  <c r="AA324" i="43"/>
  <c r="Y318" i="43"/>
  <c r="Z265" i="43"/>
  <c r="Z268" i="43" s="1"/>
  <c r="Y322" i="43"/>
  <c r="Z325" i="43"/>
  <c r="Z302" i="43"/>
  <c r="AA297" i="43"/>
  <c r="AA290" i="43"/>
  <c r="Z305" i="43"/>
  <c r="Z209" i="43"/>
  <c r="Z264" i="43"/>
  <c r="Z269" i="43" s="1"/>
  <c r="Z310" i="43"/>
  <c r="AA263" i="43"/>
  <c r="Z224" i="43"/>
  <c r="Z231" i="43"/>
  <c r="Z232" i="43" s="1"/>
  <c r="Z233" i="43" s="1"/>
  <c r="Z234" i="43" s="1"/>
  <c r="Z225" i="43"/>
  <c r="Z245" i="43"/>
  <c r="Z17" i="43" s="1"/>
  <c r="AA244" i="43" a="1"/>
  <c r="AA244" i="43" s="1"/>
  <c r="AA116" i="43" s="1"/>
  <c r="AA243" i="43" a="1"/>
  <c r="AA243" i="43" s="1"/>
  <c r="AA115" i="43" s="1"/>
  <c r="AA242" i="43" a="1"/>
  <c r="AA242" i="43" s="1"/>
  <c r="Z246" i="43"/>
  <c r="AA75" i="43" a="1"/>
  <c r="AA75" i="43" s="1"/>
  <c r="AA216" i="43" a="1"/>
  <c r="AA216" i="43" s="1"/>
  <c r="AA218" i="43"/>
  <c r="Z29" i="43"/>
  <c r="Z189" i="43"/>
  <c r="Z195" i="43" s="1"/>
  <c r="Z200" i="43" s="1"/>
  <c r="Y206" i="43"/>
  <c r="Y204" i="43"/>
  <c r="Z203" i="43"/>
  <c r="Z205" i="43"/>
  <c r="Z32" i="43"/>
  <c r="Z28" i="43"/>
  <c r="Z31" i="43"/>
  <c r="Z107" i="43"/>
  <c r="Z108" i="43"/>
  <c r="Z109" i="43"/>
  <c r="Z111" i="43"/>
  <c r="Z136" i="43" s="1"/>
  <c r="AA73" i="43" a="1"/>
  <c r="AA73" i="43" s="1"/>
  <c r="AA57" i="43"/>
  <c r="AA63" i="43" s="1"/>
  <c r="AA58" i="43"/>
  <c r="AA64" i="43" s="1"/>
  <c r="AA56" i="43"/>
  <c r="AA62" i="43" s="1"/>
  <c r="Z60" i="43"/>
  <c r="Z362" i="43"/>
  <c r="Z44" i="43"/>
  <c r="Z49" i="43"/>
  <c r="Z46" i="43"/>
  <c r="AA51" i="43"/>
  <c r="AA48" i="43"/>
  <c r="AA47" i="43"/>
  <c r="AA50" i="43"/>
  <c r="Z53" i="43"/>
  <c r="Z52" i="43" s="1"/>
  <c r="Z43" i="43"/>
  <c r="Y106" i="43"/>
  <c r="Y110" i="43" s="1"/>
  <c r="Y238" i="43" s="1"/>
  <c r="Y239" i="43" s="1"/>
  <c r="Y343" i="43"/>
  <c r="AA197" i="43" a="1"/>
  <c r="AA197" i="43" s="1"/>
  <c r="AA198" i="43" a="1"/>
  <c r="AA198" i="43" s="1"/>
  <c r="AA196" i="43" a="1"/>
  <c r="AA196" i="43" s="1"/>
  <c r="AA193" i="43" a="1"/>
  <c r="AA193" i="43" s="1"/>
  <c r="AA190" i="43" a="1"/>
  <c r="AA190" i="43" s="1"/>
  <c r="AA194" i="43" a="1"/>
  <c r="AA194" i="43" s="1"/>
  <c r="AA191" i="43" a="1"/>
  <c r="AA191" i="43" s="1"/>
  <c r="AA192" i="43" a="1"/>
  <c r="AA192" i="43" s="1"/>
  <c r="AA312" i="43" s="1"/>
  <c r="AA187" i="43" a="1"/>
  <c r="AA187" i="43" s="1"/>
  <c r="AA311" i="43" s="1"/>
  <c r="AA185" i="43" a="1"/>
  <c r="AA185" i="43" s="1"/>
  <c r="AA178" i="43" a="1"/>
  <c r="AA178" i="43" s="1"/>
  <c r="AA188" i="43" a="1"/>
  <c r="AA188" i="43" s="1"/>
  <c r="AA179" i="43" a="1"/>
  <c r="AA179" i="43" s="1"/>
  <c r="AA294" i="43" s="1"/>
  <c r="AA186" i="43" a="1"/>
  <c r="AA186" i="43" s="1"/>
  <c r="AA181" i="43" a="1"/>
  <c r="AA181" i="43" s="1"/>
  <c r="AA184" i="43" a="1"/>
  <c r="AA184" i="43" s="1"/>
  <c r="AA180" i="43" a="1"/>
  <c r="AA180" i="43" s="1"/>
  <c r="AA301" i="43" s="1"/>
  <c r="AA176" i="43" a="1"/>
  <c r="AA176" i="43" s="1"/>
  <c r="AA267" i="43" s="1"/>
  <c r="AA177" i="43" a="1"/>
  <c r="AA177" i="43" s="1"/>
  <c r="AA173" i="43" a="1"/>
  <c r="AA173" i="43" s="1"/>
  <c r="AA304" i="43" s="1"/>
  <c r="AA170" i="43" a="1"/>
  <c r="AA170" i="43" s="1"/>
  <c r="AA230" i="43" s="1"/>
  <c r="AA174" i="43" a="1"/>
  <c r="AA174" i="43" s="1"/>
  <c r="AA171" i="43" a="1"/>
  <c r="AA171" i="43" s="1"/>
  <c r="AA172" i="43" a="1"/>
  <c r="AA172" i="43" s="1"/>
  <c r="AA160" i="43" a="1"/>
  <c r="AA160" i="43" s="1"/>
  <c r="AA159" i="43" a="1"/>
  <c r="AA159" i="43" s="1"/>
  <c r="AA162" i="43" a="1"/>
  <c r="AA162" i="43" s="1"/>
  <c r="AA161" i="43" a="1"/>
  <c r="AA161" i="43" s="1"/>
  <c r="AA155" i="43" a="1"/>
  <c r="AA155" i="43" s="1"/>
  <c r="AA152" i="43" a="1"/>
  <c r="AA152" i="43" s="1"/>
  <c r="AA154" i="43" a="1"/>
  <c r="AA154" i="43" s="1"/>
  <c r="AA156" i="43" a="1"/>
  <c r="AA156" i="43" s="1"/>
  <c r="AA153" i="43" a="1"/>
  <c r="AA153" i="43" s="1"/>
  <c r="AA147" i="43" a="1"/>
  <c r="AA147" i="43" s="1"/>
  <c r="AA148" i="43" a="1"/>
  <c r="AA148" i="43" s="1"/>
  <c r="AA144" i="43" a="1"/>
  <c r="AA144" i="43" s="1"/>
  <c r="AA146" i="43" a="1"/>
  <c r="AA146" i="43" s="1"/>
  <c r="AA298" i="43" s="1"/>
  <c r="AA142" i="43" a="1"/>
  <c r="AA142" i="43" s="1"/>
  <c r="AA143" i="43" a="1"/>
  <c r="AA143" i="43" s="1"/>
  <c r="AA139" i="43" a="1"/>
  <c r="AA139" i="43" s="1"/>
  <c r="AA141" i="43" a="1"/>
  <c r="AA141" i="43" s="1"/>
  <c r="AA138" i="43" a="1"/>
  <c r="AA138" i="43" s="1"/>
  <c r="AA140" i="43" a="1"/>
  <c r="AA140" i="43" s="1"/>
  <c r="AA299" i="43" s="1"/>
  <c r="AA123" i="43" a="1"/>
  <c r="AA123" i="43" s="1"/>
  <c r="Y14" i="43"/>
  <c r="Y27" i="43" s="1"/>
  <c r="AA87" i="43" a="1"/>
  <c r="AA87" i="43" s="1"/>
  <c r="AA86" i="43" a="1"/>
  <c r="AA86" i="43" s="1"/>
  <c r="Z88" i="43"/>
  <c r="Z89" i="43" s="1"/>
  <c r="Z81" i="43"/>
  <c r="Z82" i="43" s="1"/>
  <c r="AA77" i="43" a="1"/>
  <c r="AA77" i="43" s="1"/>
  <c r="AA78" i="43" a="1"/>
  <c r="AA78" i="43" s="1"/>
  <c r="AA79" i="43" a="1"/>
  <c r="AA79" i="43" s="1"/>
  <c r="AA80" i="43" a="1"/>
  <c r="AA80" i="43" s="1"/>
  <c r="AA7" i="43" a="1"/>
  <c r="AA7" i="43" s="1"/>
  <c r="AA10" i="43" a="1"/>
  <c r="AA10" i="43" s="1"/>
  <c r="AA13" i="43" a="1"/>
  <c r="AA13" i="43" s="1"/>
  <c r="AA12" i="43" a="1"/>
  <c r="AA12" i="43" s="1"/>
  <c r="AA11" i="43" a="1"/>
  <c r="AA11" i="43" s="1"/>
  <c r="Z175" i="43"/>
  <c r="Z182" i="43" s="1"/>
  <c r="Z344" i="43" s="1"/>
  <c r="Z163" i="43"/>
  <c r="Z137" i="43"/>
  <c r="Z330" i="43"/>
  <c r="Z157" i="43"/>
  <c r="AA15" i="43" a="1"/>
  <c r="AA15" i="43" s="1"/>
  <c r="AA112" i="43" s="1"/>
  <c r="AA20" i="43" a="1"/>
  <c r="AA20" i="43" s="1"/>
  <c r="AA119" i="43" s="1"/>
  <c r="AA19" i="43" a="1"/>
  <c r="AA19" i="43" s="1"/>
  <c r="AA118" i="43" s="1"/>
  <c r="AB3" i="43"/>
  <c r="AA129" i="43"/>
  <c r="AA8" i="43" a="1"/>
  <c r="AA8" i="43" s="1"/>
  <c r="Z368" i="43" l="1"/>
  <c r="AA411" i="43"/>
  <c r="Z39" i="43"/>
  <c r="M41" i="259" s="1"/>
  <c r="M42" i="259" s="1"/>
  <c r="AA386" i="43"/>
  <c r="AA38" i="43"/>
  <c r="AA39" i="43" s="1"/>
  <c r="AA405" i="43"/>
  <c r="G41" i="259"/>
  <c r="G42" i="259" s="1"/>
  <c r="H42" i="259"/>
  <c r="AA308" i="43"/>
  <c r="AA151" i="43"/>
  <c r="Z313" i="43"/>
  <c r="Z314" i="43"/>
  <c r="AA105" i="43"/>
  <c r="AA25" i="43"/>
  <c r="AL178" i="259"/>
  <c r="Z332" i="43"/>
  <c r="Z331" i="43"/>
  <c r="AA336" i="43"/>
  <c r="AA337" i="43" s="1"/>
  <c r="AA114" i="43"/>
  <c r="Z235" i="43"/>
  <c r="AA71" i="43"/>
  <c r="AA22" i="43"/>
  <c r="AA30" i="43"/>
  <c r="AL105" i="259"/>
  <c r="AL106" i="259" s="1"/>
  <c r="AL110" i="259" s="1"/>
  <c r="AL138" i="259"/>
  <c r="AG324" i="259"/>
  <c r="AG155" i="259"/>
  <c r="AG35" i="259" s="1"/>
  <c r="AG271" i="259"/>
  <c r="AA33" i="43"/>
  <c r="AA215" i="43"/>
  <c r="Z293" i="43"/>
  <c r="Z270" i="43"/>
  <c r="AA265" i="43"/>
  <c r="AA268" i="43" s="1"/>
  <c r="X318" i="43"/>
  <c r="Y320" i="43"/>
  <c r="Y265" i="43" s="1"/>
  <c r="AA305" i="43"/>
  <c r="AA325" i="43"/>
  <c r="X319" i="43"/>
  <c r="AB322" i="43"/>
  <c r="AB324" i="43"/>
  <c r="AB319" i="43" a="1"/>
  <c r="AB319" i="43" s="1"/>
  <c r="AB320" i="43" a="1"/>
  <c r="AB320" i="43" s="1"/>
  <c r="AB323" i="43"/>
  <c r="AB318" i="43" a="1"/>
  <c r="AB318" i="43" s="1"/>
  <c r="AB317" i="43" a="1"/>
  <c r="AB317" i="43" s="1"/>
  <c r="X322" i="43"/>
  <c r="X325" i="43" s="1"/>
  <c r="Y325" i="43"/>
  <c r="AA292" i="43"/>
  <c r="AA293" i="43" s="1"/>
  <c r="AA321" i="43"/>
  <c r="AA300" i="43"/>
  <c r="AB297" i="43"/>
  <c r="AB290" i="43"/>
  <c r="AA307" i="43"/>
  <c r="AA302" i="43"/>
  <c r="AA310" i="43"/>
  <c r="AA314" i="43" s="1"/>
  <c r="Z315" i="43"/>
  <c r="Z266" i="43"/>
  <c r="AA272" i="43"/>
  <c r="AA264" i="43"/>
  <c r="AA269" i="43" s="1"/>
  <c r="Z300" i="43"/>
  <c r="Y240" i="43"/>
  <c r="AA225" i="43"/>
  <c r="AA246" i="43"/>
  <c r="AB242" i="43" a="1"/>
  <c r="AB242" i="43" s="1"/>
  <c r="AB244" i="43" a="1"/>
  <c r="AB244" i="43" s="1"/>
  <c r="AB116" i="43" s="1"/>
  <c r="AB243" i="43" a="1"/>
  <c r="AB243" i="43" s="1"/>
  <c r="AB115" i="43" s="1"/>
  <c r="AA231" i="43"/>
  <c r="AA232" i="43" s="1"/>
  <c r="AA233" i="43" s="1"/>
  <c r="AA234" i="43" s="1"/>
  <c r="AA224" i="43"/>
  <c r="Z226" i="43"/>
  <c r="AB218" i="43"/>
  <c r="AB216" i="43" a="1"/>
  <c r="AB216" i="43" s="1"/>
  <c r="AA219" i="43"/>
  <c r="AA29" i="43"/>
  <c r="AA209" i="43"/>
  <c r="AA203" i="43"/>
  <c r="AA205" i="43"/>
  <c r="AA189" i="43"/>
  <c r="AA195" i="43" s="1"/>
  <c r="AA200" i="43" s="1"/>
  <c r="Z208" i="43"/>
  <c r="Z210" i="43" s="1"/>
  <c r="AA32" i="43"/>
  <c r="AA107" i="43"/>
  <c r="AA28" i="43"/>
  <c r="AA109" i="43"/>
  <c r="AA31" i="43"/>
  <c r="Y26" i="43"/>
  <c r="AA108" i="43"/>
  <c r="Y16" i="43"/>
  <c r="Y18" i="43" s="1"/>
  <c r="Y21" i="43" s="1"/>
  <c r="AA111" i="43"/>
  <c r="AA136" i="43" s="1"/>
  <c r="AB73" i="43" a="1"/>
  <c r="AB73" i="43" s="1"/>
  <c r="AB75" i="43" a="1"/>
  <c r="AB75" i="43" s="1"/>
  <c r="AB58" i="43"/>
  <c r="AB64" i="43" s="1"/>
  <c r="AB56" i="43"/>
  <c r="AB62" i="43" s="1"/>
  <c r="AB57" i="43"/>
  <c r="AB63" i="43" s="1"/>
  <c r="AA60" i="43"/>
  <c r="Z45" i="43"/>
  <c r="Z59" i="43" s="1"/>
  <c r="Z69" i="43" s="1"/>
  <c r="AA362" i="43"/>
  <c r="AA53" i="43"/>
  <c r="AA54" i="43" s="1"/>
  <c r="AA43" i="43"/>
  <c r="AA46" i="43"/>
  <c r="AA49" i="43"/>
  <c r="AB51" i="43"/>
  <c r="AB48" i="43"/>
  <c r="AB47" i="43"/>
  <c r="AB50" i="43"/>
  <c r="AA44" i="43"/>
  <c r="Y349" i="43"/>
  <c r="AB198" i="43" a="1"/>
  <c r="AB198" i="43" s="1"/>
  <c r="AB197" i="43" a="1"/>
  <c r="AB197" i="43" s="1"/>
  <c r="AB194" i="43" a="1"/>
  <c r="AB194" i="43" s="1"/>
  <c r="AB193" i="43" a="1"/>
  <c r="AB193" i="43" s="1"/>
  <c r="AB191" i="43" a="1"/>
  <c r="AB191" i="43" s="1"/>
  <c r="AB285" i="43" s="1"/>
  <c r="AB192" i="43" a="1"/>
  <c r="AB192" i="43" s="1"/>
  <c r="AB312" i="43" s="1"/>
  <c r="AB188" i="43" a="1"/>
  <c r="AB188" i="43" s="1"/>
  <c r="AB179" i="43" a="1"/>
  <c r="AB179" i="43" s="1"/>
  <c r="AB294" i="43" s="1"/>
  <c r="AB184" i="43" a="1"/>
  <c r="AB184" i="43" s="1"/>
  <c r="AB180" i="43" a="1"/>
  <c r="AB180" i="43" s="1"/>
  <c r="AB301" i="43" s="1"/>
  <c r="AB176" i="43" a="1"/>
  <c r="AB176" i="43" s="1"/>
  <c r="AB267" i="43" s="1"/>
  <c r="AB178" i="43" a="1"/>
  <c r="AB178" i="43" s="1"/>
  <c r="AB186" i="43" a="1"/>
  <c r="AB186" i="43" s="1"/>
  <c r="AB284" i="43" s="1"/>
  <c r="AB181" i="43" a="1"/>
  <c r="AB181" i="43" s="1"/>
  <c r="AB177" i="43" a="1"/>
  <c r="AB177" i="43" s="1"/>
  <c r="AB277" i="43" s="1"/>
  <c r="AB187" i="43" a="1"/>
  <c r="AB187" i="43" s="1"/>
  <c r="AB311" i="43" s="1"/>
  <c r="AB174" i="43" a="1"/>
  <c r="AB174" i="43" s="1"/>
  <c r="AB171" i="43" a="1"/>
  <c r="AB171" i="43" s="1"/>
  <c r="AB172" i="43" a="1"/>
  <c r="AB172" i="43" s="1"/>
  <c r="AB173" i="43" a="1"/>
  <c r="AB173" i="43" s="1"/>
  <c r="AB304" i="43" s="1"/>
  <c r="AB161" i="43" a="1"/>
  <c r="AB161" i="43" s="1"/>
  <c r="AB160" i="43" a="1"/>
  <c r="AB160" i="43" s="1"/>
  <c r="AB162" i="43" a="1"/>
  <c r="AB162" i="43" s="1"/>
  <c r="AB156" i="43" a="1"/>
  <c r="AB156" i="43" s="1"/>
  <c r="AB153" i="43" a="1"/>
  <c r="AB153" i="43" s="1"/>
  <c r="AB155" i="43" a="1"/>
  <c r="AB155" i="43" s="1"/>
  <c r="AB154" i="43" a="1"/>
  <c r="AB154" i="43" s="1"/>
  <c r="AB148" i="43" a="1"/>
  <c r="AB148" i="43" s="1"/>
  <c r="AB146" i="43" a="1"/>
  <c r="AB146" i="43" s="1"/>
  <c r="AB298" i="43" s="1"/>
  <c r="AB147" i="43" a="1"/>
  <c r="AB147" i="43" s="1"/>
  <c r="AB143" i="43" a="1"/>
  <c r="AB143" i="43" s="1"/>
  <c r="AB139" i="43" a="1"/>
  <c r="AB139" i="43" s="1"/>
  <c r="AB276" i="43" s="1"/>
  <c r="AB140" i="43" a="1"/>
  <c r="AB140" i="43" s="1"/>
  <c r="AB299" i="43" s="1"/>
  <c r="AB141" i="43" a="1"/>
  <c r="AB141" i="43" s="1"/>
  <c r="AB142" i="43" a="1"/>
  <c r="AB142" i="43" s="1"/>
  <c r="AB123" i="43" a="1"/>
  <c r="AB123" i="43" s="1"/>
  <c r="Z84" i="43"/>
  <c r="AB86" i="43" a="1"/>
  <c r="AB86" i="43" s="1"/>
  <c r="AB87" i="43" a="1"/>
  <c r="AB87" i="43" s="1"/>
  <c r="AA88" i="43"/>
  <c r="AA89" i="43" s="1"/>
  <c r="Z90" i="43"/>
  <c r="AB79" i="43" a="1"/>
  <c r="AB79" i="43" s="1"/>
  <c r="AB77" i="43" a="1"/>
  <c r="AB77" i="43" s="1"/>
  <c r="AB80" i="43" a="1"/>
  <c r="AB80" i="43" s="1"/>
  <c r="AB78" i="43" a="1"/>
  <c r="AB78" i="43" s="1"/>
  <c r="AA81" i="43"/>
  <c r="AA82" i="43" s="1"/>
  <c r="Z83" i="43"/>
  <c r="AB7" i="43" a="1"/>
  <c r="AB7" i="43" s="1"/>
  <c r="AB13" i="43" a="1"/>
  <c r="AB13" i="43" s="1"/>
  <c r="AB12" i="43" a="1"/>
  <c r="AB12" i="43" s="1"/>
  <c r="AB11" i="43" a="1"/>
  <c r="AB11" i="43" s="1"/>
  <c r="Z201" i="43"/>
  <c r="AA157" i="43"/>
  <c r="Z104" i="43"/>
  <c r="Z303" i="43" s="1"/>
  <c r="Z9" i="43"/>
  <c r="Z24" i="43" s="1"/>
  <c r="AB185" i="43" a="1"/>
  <c r="AB185" i="43" s="1"/>
  <c r="AB138" i="43" a="1"/>
  <c r="AB138" i="43" s="1"/>
  <c r="AB129" i="43"/>
  <c r="AB196" i="43" a="1"/>
  <c r="AB196" i="43" s="1"/>
  <c r="AC3" i="43"/>
  <c r="AB15" i="43" a="1"/>
  <c r="AB15" i="43" s="1"/>
  <c r="AB112" i="43" s="1"/>
  <c r="AB152" i="43" a="1"/>
  <c r="AB152" i="43" s="1"/>
  <c r="AA330" i="43"/>
  <c r="AA163" i="43"/>
  <c r="AA137" i="43"/>
  <c r="AA175" i="43"/>
  <c r="AA182" i="43" s="1"/>
  <c r="AA344" i="43" s="1"/>
  <c r="AA52" i="43" l="1"/>
  <c r="AA45" i="43" s="1"/>
  <c r="AA59" i="43" s="1"/>
  <c r="AA368" i="43"/>
  <c r="AB411" i="43"/>
  <c r="Y380" i="43"/>
  <c r="Y34" i="43"/>
  <c r="Z374" i="43"/>
  <c r="AA61" i="43"/>
  <c r="L41" i="259"/>
  <c r="L42" i="259" s="1"/>
  <c r="AA37" i="43"/>
  <c r="Q41" i="259"/>
  <c r="Q42" i="259" s="1"/>
  <c r="P41" i="259"/>
  <c r="P42" i="259" s="1"/>
  <c r="AB308" i="43"/>
  <c r="AB151" i="43"/>
  <c r="AB386" i="43"/>
  <c r="AG274" i="259"/>
  <c r="AB209" i="43"/>
  <c r="AA315" i="43"/>
  <c r="AA313" i="43"/>
  <c r="AA331" i="43"/>
  <c r="AA332" i="43"/>
  <c r="AB114" i="43"/>
  <c r="AA235" i="43"/>
  <c r="AB71" i="43"/>
  <c r="AB22" i="43"/>
  <c r="AB264" i="43"/>
  <c r="AB269" i="43" s="1"/>
  <c r="AG154" i="259"/>
  <c r="AG159" i="259" s="1"/>
  <c r="AB30" i="43"/>
  <c r="AL241" i="259"/>
  <c r="AH267" i="259"/>
  <c r="AG180" i="259"/>
  <c r="AA270" i="43"/>
  <c r="Y321" i="43"/>
  <c r="AB265" i="43"/>
  <c r="AB325" i="43"/>
  <c r="AC317" i="43" a="1"/>
  <c r="AC317" i="43" s="1"/>
  <c r="AC323" i="43"/>
  <c r="AC320" i="43" a="1"/>
  <c r="AC320" i="43" s="1"/>
  <c r="AC322" i="43"/>
  <c r="AC319" i="43" a="1"/>
  <c r="AC319" i="43" s="1"/>
  <c r="AC318" i="43" a="1"/>
  <c r="AC318" i="43" s="1"/>
  <c r="AC324" i="43"/>
  <c r="AA295" i="43"/>
  <c r="AB292" i="43"/>
  <c r="AB295" i="43" s="1"/>
  <c r="AB321" i="43"/>
  <c r="X320" i="43"/>
  <c r="X321" i="43" s="1"/>
  <c r="X13" i="43" s="1"/>
  <c r="X32" i="43" s="1"/>
  <c r="AB286" i="43"/>
  <c r="AB288" i="43" s="1"/>
  <c r="AB307" i="43"/>
  <c r="AA309" i="43"/>
  <c r="AB302" i="43"/>
  <c r="AB300" i="43"/>
  <c r="AC297" i="43"/>
  <c r="AB305" i="43"/>
  <c r="AB310" i="43"/>
  <c r="AC274" i="43"/>
  <c r="Z206" i="43"/>
  <c r="Z271" i="43"/>
  <c r="AB272" i="43"/>
  <c r="AA266" i="43"/>
  <c r="AB224" i="43"/>
  <c r="AC242" i="43" a="1"/>
  <c r="AC242" i="43" s="1"/>
  <c r="AC243" i="43" a="1"/>
  <c r="AC243" i="43" s="1"/>
  <c r="AC115" i="43" s="1"/>
  <c r="AC244" i="43" a="1"/>
  <c r="AC244" i="43" s="1"/>
  <c r="AC116" i="43" s="1"/>
  <c r="AB231" i="43"/>
  <c r="AB246" i="43"/>
  <c r="Z237" i="43"/>
  <c r="Z227" i="43"/>
  <c r="Z228" i="43" s="1"/>
  <c r="AC218" i="43"/>
  <c r="AC216" i="43" a="1"/>
  <c r="AC216" i="43" s="1"/>
  <c r="C34" i="260" s="1"/>
  <c r="AB205" i="43"/>
  <c r="AB203" i="43"/>
  <c r="AA208" i="43"/>
  <c r="AA210" i="43" s="1"/>
  <c r="Z204" i="43"/>
  <c r="AB189" i="43"/>
  <c r="AB32" i="43"/>
  <c r="AB29" i="43"/>
  <c r="AC198" i="43" a="1"/>
  <c r="AC198" i="43" s="1"/>
  <c r="AC191" i="43" a="1"/>
  <c r="AC191" i="43" s="1"/>
  <c r="AC285" i="43" s="1"/>
  <c r="AC186" i="43" a="1"/>
  <c r="AC186" i="43" s="1"/>
  <c r="AC284" i="43" s="1"/>
  <c r="AC181" i="43" a="1"/>
  <c r="AC181" i="43" s="1"/>
  <c r="AC178" i="43" a="1"/>
  <c r="AC178" i="43" s="1"/>
  <c r="AC174" i="43" a="1"/>
  <c r="AC174" i="43" s="1"/>
  <c r="AC170" i="43" a="1"/>
  <c r="AC170" i="43" s="1"/>
  <c r="AC159" i="43" a="1"/>
  <c r="AC159" i="43" s="1"/>
  <c r="AC155" i="43" a="1"/>
  <c r="AC155" i="43" s="1"/>
  <c r="AC153" i="43" a="1"/>
  <c r="AC153" i="43" s="1"/>
  <c r="AC148" i="43" a="1"/>
  <c r="AC148" i="43" s="1"/>
  <c r="AC144" i="43" a="1"/>
  <c r="AC144" i="43" s="1"/>
  <c r="AC281" i="43" s="1"/>
  <c r="AC139" i="43" a="1"/>
  <c r="AC139" i="43" s="1"/>
  <c r="AC276" i="43" s="1"/>
  <c r="AC196" i="43" a="1"/>
  <c r="AC196" i="43" s="1"/>
  <c r="AC188" i="43" a="1"/>
  <c r="AC188" i="43" s="1"/>
  <c r="AC177" i="43" a="1"/>
  <c r="AC177" i="43" s="1"/>
  <c r="AC277" i="43" s="1"/>
  <c r="AC161" i="43" a="1"/>
  <c r="AC161" i="43" s="1"/>
  <c r="AC154" i="43" a="1"/>
  <c r="AC154" i="43" s="1"/>
  <c r="AC143" i="43" a="1"/>
  <c r="AC143" i="43" s="1"/>
  <c r="AC140" i="43" a="1"/>
  <c r="AC140" i="43" s="1"/>
  <c r="AC299" i="43" s="1"/>
  <c r="AC197" i="43" a="1"/>
  <c r="AC197" i="43" s="1"/>
  <c r="AC193" i="43" a="1"/>
  <c r="AC193" i="43" s="1"/>
  <c r="AC190" i="43" a="1"/>
  <c r="AC190" i="43" s="1"/>
  <c r="AC184" i="43" a="1"/>
  <c r="AC184" i="43" s="1"/>
  <c r="AC180" i="43" a="1"/>
  <c r="AC180" i="43" s="1"/>
  <c r="AC301" i="43" s="1"/>
  <c r="AC173" i="43" a="1"/>
  <c r="AC173" i="43" s="1"/>
  <c r="AC304" i="43" s="1"/>
  <c r="AC162" i="43" a="1"/>
  <c r="AC162" i="43" s="1"/>
  <c r="AC147" i="43" a="1"/>
  <c r="AC147" i="43" s="1"/>
  <c r="AC141" i="43" a="1"/>
  <c r="AC141" i="43" s="1"/>
  <c r="AC138" i="43" a="1"/>
  <c r="AC138" i="43" s="1"/>
  <c r="AC192" i="43" a="1"/>
  <c r="AC192" i="43" s="1"/>
  <c r="AC312" i="43" s="1"/>
  <c r="AC185" i="43" a="1"/>
  <c r="AC185" i="43" s="1"/>
  <c r="AC172" i="43" a="1"/>
  <c r="AC172" i="43" s="1"/>
  <c r="AC156" i="43" a="1"/>
  <c r="AC156" i="43" s="1"/>
  <c r="AC152" i="43" a="1"/>
  <c r="AC152" i="43" s="1"/>
  <c r="AC187" i="43" a="1"/>
  <c r="AC187" i="43" s="1"/>
  <c r="AC311" i="43" s="1"/>
  <c r="AC171" i="43" a="1"/>
  <c r="AC171" i="43" s="1"/>
  <c r="AC160" i="43" a="1"/>
  <c r="AC160" i="43" s="1"/>
  <c r="AC146" i="43" a="1"/>
  <c r="AC146" i="43" s="1"/>
  <c r="AC298" i="43" s="1"/>
  <c r="AC123" i="43" a="1"/>
  <c r="AC123" i="43" s="1"/>
  <c r="AC176" i="43" a="1"/>
  <c r="AC176" i="43" s="1"/>
  <c r="AC267" i="43" s="1"/>
  <c r="AC194" i="43" a="1"/>
  <c r="AC194" i="43" s="1"/>
  <c r="AC179" i="43" a="1"/>
  <c r="AC179" i="43" s="1"/>
  <c r="AC294" i="43" s="1"/>
  <c r="AC142" i="43" a="1"/>
  <c r="AC142" i="43" s="1"/>
  <c r="AB109" i="43"/>
  <c r="AB31" i="43"/>
  <c r="AB108" i="43"/>
  <c r="AB111" i="43"/>
  <c r="AB136" i="43" s="1"/>
  <c r="AC73" i="43" a="1"/>
  <c r="AC73" i="43" s="1"/>
  <c r="AC77" i="43" a="1"/>
  <c r="AC77" i="43" s="1"/>
  <c r="AC78" i="43" a="1"/>
  <c r="AC78" i="43" s="1"/>
  <c r="AC80" i="43" a="1"/>
  <c r="AC80" i="43" s="1"/>
  <c r="AC79" i="43" a="1"/>
  <c r="AC79" i="43" s="1"/>
  <c r="AC87" i="43" a="1"/>
  <c r="AC87" i="43" s="1"/>
  <c r="AC75" i="43" a="1"/>
  <c r="AC75" i="43" s="1"/>
  <c r="AC86" i="43" a="1"/>
  <c r="AC86" i="43" s="1"/>
  <c r="AB60" i="43"/>
  <c r="AC56" i="43"/>
  <c r="AC62" i="43" s="1"/>
  <c r="AC13" i="43" a="1"/>
  <c r="AC13" i="43" s="1"/>
  <c r="AC111" i="43" s="1"/>
  <c r="AC8" i="43" a="1"/>
  <c r="AC8" i="43" s="1"/>
  <c r="AC58" i="43"/>
  <c r="AC64" i="43" s="1"/>
  <c r="AC10" i="43" a="1"/>
  <c r="AC10" i="43" s="1"/>
  <c r="AC20" i="43" a="1"/>
  <c r="AC20" i="43" s="1"/>
  <c r="AC119" i="43" s="1"/>
  <c r="AC137" i="43" s="1"/>
  <c r="AC12" i="43" a="1"/>
  <c r="AC12" i="43" s="1"/>
  <c r="AC7" i="43" a="1"/>
  <c r="AC7" i="43" s="1"/>
  <c r="AC57" i="43"/>
  <c r="AC63" i="43" s="1"/>
  <c r="AC19" i="43" a="1"/>
  <c r="AC19" i="43" s="1"/>
  <c r="AC118" i="43" s="1"/>
  <c r="AC11" i="43" a="1"/>
  <c r="AC11" i="43" s="1"/>
  <c r="AC15" i="43" a="1"/>
  <c r="AC15" i="43" s="1"/>
  <c r="AC112" i="43" s="1"/>
  <c r="AB44" i="43"/>
  <c r="AB362" i="43"/>
  <c r="AB46" i="43"/>
  <c r="AB49" i="43"/>
  <c r="AB43" i="43"/>
  <c r="AC48" i="43"/>
  <c r="AC47" i="43"/>
  <c r="AC51" i="43"/>
  <c r="AC50" i="43"/>
  <c r="AB53" i="43"/>
  <c r="AB54" i="43" s="1"/>
  <c r="Y113" i="43"/>
  <c r="AA90" i="43"/>
  <c r="AB88" i="43"/>
  <c r="AB89" i="43" s="1"/>
  <c r="AB81" i="43"/>
  <c r="AB82" i="43" s="1"/>
  <c r="AA83" i="43"/>
  <c r="AA84" i="43"/>
  <c r="Z14" i="43"/>
  <c r="Z27" i="43" s="1"/>
  <c r="AD3" i="43"/>
  <c r="AD48" i="43" s="1"/>
  <c r="AC129" i="43"/>
  <c r="AB157" i="43"/>
  <c r="Z343" i="43"/>
  <c r="Z106" i="43"/>
  <c r="AA104" i="43"/>
  <c r="AA303" i="43" s="1"/>
  <c r="AA9" i="43"/>
  <c r="AA24" i="43" s="1"/>
  <c r="AA201" i="43"/>
  <c r="AB52" i="43" l="1"/>
  <c r="AC411" i="43"/>
  <c r="AB368" i="43"/>
  <c r="AB61" i="43"/>
  <c r="AC38" i="43"/>
  <c r="AC39" i="43" s="1"/>
  <c r="AC405" i="43"/>
  <c r="AA65" i="43"/>
  <c r="AA69" i="43"/>
  <c r="AA374" i="43"/>
  <c r="AC308" i="43"/>
  <c r="AC151" i="43"/>
  <c r="AB313" i="43"/>
  <c r="AB314" i="43"/>
  <c r="AC386" i="43"/>
  <c r="AC392" i="43"/>
  <c r="AQ7" i="43"/>
  <c r="AC105" i="43"/>
  <c r="AC25" i="43"/>
  <c r="C79" i="260"/>
  <c r="C36" i="260"/>
  <c r="C81" i="260"/>
  <c r="AC37" i="43"/>
  <c r="AC230" i="43"/>
  <c r="Y340" i="43"/>
  <c r="Y339" i="43"/>
  <c r="AC114" i="43"/>
  <c r="AC104" i="43"/>
  <c r="AC303" i="43" s="1"/>
  <c r="AC22" i="43"/>
  <c r="AB270" i="43"/>
  <c r="AH269" i="259"/>
  <c r="AC33" i="43"/>
  <c r="AC30" i="43"/>
  <c r="AC325" i="43"/>
  <c r="X11" i="43"/>
  <c r="X12" i="43"/>
  <c r="X31" i="43" s="1"/>
  <c r="X10" i="43"/>
  <c r="X8" i="43"/>
  <c r="X265" i="43"/>
  <c r="AD154" i="43" a="1"/>
  <c r="AD154" i="43" s="1"/>
  <c r="AD155" i="43" a="1"/>
  <c r="AD155" i="43" s="1"/>
  <c r="AD142" i="43" a="1"/>
  <c r="AD142" i="43" s="1"/>
  <c r="AD156" i="43" a="1"/>
  <c r="AD156" i="43" s="1"/>
  <c r="AD141" i="43" a="1"/>
  <c r="AD141" i="43" s="1"/>
  <c r="AD162" i="43" a="1"/>
  <c r="AD162" i="43" s="1"/>
  <c r="AD160" i="43" a="1"/>
  <c r="AD160" i="43" s="1"/>
  <c r="AD161" i="43" a="1"/>
  <c r="AD161" i="43" s="1"/>
  <c r="AD139" i="43" a="1"/>
  <c r="AD139" i="43" s="1"/>
  <c r="AD276" i="43" s="1"/>
  <c r="AD318" i="43" a="1"/>
  <c r="AD318" i="43" s="1"/>
  <c r="AD322" i="43"/>
  <c r="AD324" i="43"/>
  <c r="AD317" i="43" a="1"/>
  <c r="AD317" i="43" s="1"/>
  <c r="AD323" i="43"/>
  <c r="AD320" i="43" a="1"/>
  <c r="AD320" i="43" s="1"/>
  <c r="AD319" i="43" a="1"/>
  <c r="AD319" i="43" s="1"/>
  <c r="AC300" i="43"/>
  <c r="AC265" i="43"/>
  <c r="AC292" i="43"/>
  <c r="AC295" i="43" s="1"/>
  <c r="AC321" i="43"/>
  <c r="AC264" i="43"/>
  <c r="AC269" i="43" s="1"/>
  <c r="AB293" i="43"/>
  <c r="AC310" i="43"/>
  <c r="AC314" i="43" s="1"/>
  <c r="AC307" i="43"/>
  <c r="AB309" i="43"/>
  <c r="AC286" i="43"/>
  <c r="AC288" i="43" s="1"/>
  <c r="AB315" i="43"/>
  <c r="AC305" i="43"/>
  <c r="AC302" i="43"/>
  <c r="AC282" i="43"/>
  <c r="AC272" i="43"/>
  <c r="AA206" i="43"/>
  <c r="AA271" i="43"/>
  <c r="AC275" i="43"/>
  <c r="AC280" i="43"/>
  <c r="AC278" i="43"/>
  <c r="AB263" i="43"/>
  <c r="AC225" i="43"/>
  <c r="AD274" i="43"/>
  <c r="AC224" i="43"/>
  <c r="AC246" i="43"/>
  <c r="AC231" i="43"/>
  <c r="AD243" i="43" a="1"/>
  <c r="AD243" i="43" s="1"/>
  <c r="AD115" i="43" s="1"/>
  <c r="AD244" i="43" a="1"/>
  <c r="AD244" i="43" s="1"/>
  <c r="AD116" i="43" s="1"/>
  <c r="AA226" i="43"/>
  <c r="AA245" i="43"/>
  <c r="AA17" i="43" s="1"/>
  <c r="AA204" i="43"/>
  <c r="AC205" i="43"/>
  <c r="AC203" i="43"/>
  <c r="AC189" i="43"/>
  <c r="AC195" i="43" s="1"/>
  <c r="AC200" i="43" s="1"/>
  <c r="AB208" i="43"/>
  <c r="AB210" i="43" s="1"/>
  <c r="AC209" i="43"/>
  <c r="AD172" i="43" a="1"/>
  <c r="AD172" i="43" s="1"/>
  <c r="AD194" i="43" a="1"/>
  <c r="AD194" i="43" s="1"/>
  <c r="AC163" i="43"/>
  <c r="AD10" i="43" a="1"/>
  <c r="AD10" i="43" s="1"/>
  <c r="AD11" i="43" a="1"/>
  <c r="AD11" i="43" s="1"/>
  <c r="AD123" i="43" a="1"/>
  <c r="AD123" i="43" s="1"/>
  <c r="AD12" i="43" a="1"/>
  <c r="AD12" i="43" s="1"/>
  <c r="AC29" i="43"/>
  <c r="AC108" i="43"/>
  <c r="AC31" i="43"/>
  <c r="AC109" i="43"/>
  <c r="AC88" i="43"/>
  <c r="AC90" i="43" s="1"/>
  <c r="AC157" i="43"/>
  <c r="AC175" i="43"/>
  <c r="AC182" i="43" s="1"/>
  <c r="AC32" i="43"/>
  <c r="AC136" i="43"/>
  <c r="Z26" i="43"/>
  <c r="AC107" i="43"/>
  <c r="AC28" i="43"/>
  <c r="Z16" i="43"/>
  <c r="AC81" i="43"/>
  <c r="AC83" i="43" s="1"/>
  <c r="AC71" i="43"/>
  <c r="AC44" i="43"/>
  <c r="AC53" i="43"/>
  <c r="AC54" i="43" s="1"/>
  <c r="AC60" i="43"/>
  <c r="AC9" i="43"/>
  <c r="AD56" i="43"/>
  <c r="AD62" i="43" s="1"/>
  <c r="AD57" i="43"/>
  <c r="AD63" i="43" s="1"/>
  <c r="AD7" i="43" a="1"/>
  <c r="AD7" i="43" s="1"/>
  <c r="AD58" i="43"/>
  <c r="AD64" i="43" s="1"/>
  <c r="AD51" i="43"/>
  <c r="AD50" i="43"/>
  <c r="AD47" i="43"/>
  <c r="AC46" i="43"/>
  <c r="AC43" i="43"/>
  <c r="AB45" i="43"/>
  <c r="AB59" i="43" s="1"/>
  <c r="AC49" i="43"/>
  <c r="X111" i="43"/>
  <c r="X136" i="43" s="1"/>
  <c r="Y351" i="43"/>
  <c r="Y350" i="43"/>
  <c r="Y117" i="43"/>
  <c r="AB84" i="43"/>
  <c r="AB90" i="43"/>
  <c r="AB83" i="43"/>
  <c r="AA343" i="43"/>
  <c r="AA106" i="43"/>
  <c r="AA14" i="43"/>
  <c r="AA27" i="43" s="1"/>
  <c r="AD185" i="43" a="1"/>
  <c r="AD185" i="43" s="1"/>
  <c r="AD181" i="43" a="1"/>
  <c r="AD181" i="43" s="1"/>
  <c r="AD184" i="43" a="1"/>
  <c r="AD184" i="43" s="1"/>
  <c r="AD15" i="43" a="1"/>
  <c r="AD15" i="43" s="1"/>
  <c r="AD112" i="43" s="1"/>
  <c r="AD165" i="43" a="1"/>
  <c r="AD165" i="43" s="1"/>
  <c r="AD197" i="43" a="1"/>
  <c r="AD197" i="43" s="1"/>
  <c r="AD196" i="43" a="1"/>
  <c r="AD196" i="43" s="1"/>
  <c r="AD188" i="43" a="1"/>
  <c r="AD188" i="43" s="1"/>
  <c r="AD178" i="43" a="1"/>
  <c r="AD178" i="43" s="1"/>
  <c r="AE3" i="43"/>
  <c r="Z349" i="43"/>
  <c r="Z110" i="43"/>
  <c r="Z238" i="43" s="1"/>
  <c r="Z239" i="43" s="1"/>
  <c r="AE50" i="43" l="1"/>
  <c r="AE48" i="43"/>
  <c r="AE49" i="43" s="1"/>
  <c r="AC52" i="43"/>
  <c r="AC45" i="43" s="1"/>
  <c r="AC59" i="43" s="1"/>
  <c r="AD405" i="43"/>
  <c r="X30" i="43"/>
  <c r="X411" i="43"/>
  <c r="AD411" i="43"/>
  <c r="Z380" i="43"/>
  <c r="Z34" i="43"/>
  <c r="AC61" i="43"/>
  <c r="X38" i="43"/>
  <c r="X37" i="43" s="1"/>
  <c r="X405" i="43"/>
  <c r="AB65" i="43"/>
  <c r="AB66" i="43" s="1"/>
  <c r="AB69" i="43"/>
  <c r="Y41" i="259"/>
  <c r="Z41" i="259" s="1"/>
  <c r="X41" i="259"/>
  <c r="X42" i="259" s="1"/>
  <c r="AD22" i="43"/>
  <c r="X105" i="43"/>
  <c r="X106" i="43" s="1"/>
  <c r="X25" i="43"/>
  <c r="AC315" i="43"/>
  <c r="AC313" i="43"/>
  <c r="AC232" i="43"/>
  <c r="AC279" i="43"/>
  <c r="AC204" i="43"/>
  <c r="AC271" i="43"/>
  <c r="AC106" i="43"/>
  <c r="AC110" i="43" s="1"/>
  <c r="AD104" i="43"/>
  <c r="AD362" i="43"/>
  <c r="X33" i="43"/>
  <c r="AH268" i="259"/>
  <c r="AH322" i="259"/>
  <c r="AE319" i="43" s="1" a="1"/>
  <c r="AE319" i="43" s="1"/>
  <c r="AH321" i="259"/>
  <c r="AE318" i="43" s="1" a="1"/>
  <c r="AE318" i="43" s="1"/>
  <c r="X28" i="43"/>
  <c r="AC270" i="43"/>
  <c r="AD292" i="43"/>
  <c r="AD321" i="43"/>
  <c r="AD325" i="43"/>
  <c r="AE142" i="43" a="1"/>
  <c r="AE142" i="43" s="1"/>
  <c r="AE162" i="43" a="1"/>
  <c r="AE162" i="43" s="1"/>
  <c r="AE161" i="43" a="1"/>
  <c r="AE161" i="43" s="1"/>
  <c r="AE154" i="43" a="1"/>
  <c r="AE154" i="43" s="1"/>
  <c r="AE160" i="43" a="1"/>
  <c r="AE160" i="43" s="1"/>
  <c r="AE141" i="43" a="1"/>
  <c r="AE141" i="43" s="1"/>
  <c r="AE165" i="43" a="1"/>
  <c r="AE165" i="43" s="1"/>
  <c r="AE320" i="43" a="1"/>
  <c r="AE320" i="43" s="1"/>
  <c r="AE155" i="43" a="1"/>
  <c r="AE155" i="43" s="1"/>
  <c r="AE323" i="43"/>
  <c r="AE156" i="43" a="1"/>
  <c r="AE156" i="43" s="1"/>
  <c r="AE317" i="43" a="1"/>
  <c r="AE317" i="43" s="1"/>
  <c r="AE324" i="43"/>
  <c r="AE322" i="43"/>
  <c r="AD265" i="43"/>
  <c r="AD307" i="43"/>
  <c r="AC309" i="43"/>
  <c r="AB268" i="43"/>
  <c r="AB266" i="43"/>
  <c r="AD297" i="43"/>
  <c r="AD246" i="43"/>
  <c r="Z240" i="43"/>
  <c r="AA237" i="43"/>
  <c r="AA227" i="43"/>
  <c r="AA228" i="43" s="1"/>
  <c r="X29" i="43"/>
  <c r="AC208" i="43"/>
  <c r="AC210" i="43" s="1"/>
  <c r="AC206" i="43"/>
  <c r="AE194" i="43" a="1"/>
  <c r="AE194" i="43" s="1"/>
  <c r="AE172" i="43" a="1"/>
  <c r="AE172" i="43" s="1"/>
  <c r="AC201" i="43"/>
  <c r="AC89" i="43"/>
  <c r="AA26" i="43"/>
  <c r="AD29" i="43"/>
  <c r="AD108" i="43"/>
  <c r="AE15" i="43" a="1"/>
  <c r="AE15" i="43" s="1"/>
  <c r="AE112" i="43" s="1"/>
  <c r="AE11" i="43" a="1"/>
  <c r="AE11" i="43" s="1"/>
  <c r="AE12" i="43" a="1"/>
  <c r="AE12" i="43" s="1"/>
  <c r="AE123" i="43" a="1"/>
  <c r="AE123" i="43" s="1"/>
  <c r="AE10" i="43" a="1"/>
  <c r="AE10" i="43" s="1"/>
  <c r="AC14" i="43"/>
  <c r="AC24" i="43"/>
  <c r="AD31" i="43"/>
  <c r="AD109" i="43"/>
  <c r="AD107" i="43"/>
  <c r="AD28" i="43"/>
  <c r="AA16" i="43"/>
  <c r="AD71" i="43"/>
  <c r="AC82" i="43"/>
  <c r="AC84" i="43"/>
  <c r="AE8" i="43" a="1"/>
  <c r="AE8" i="43" s="1"/>
  <c r="AE57" i="43"/>
  <c r="AE56" i="43"/>
  <c r="AE58" i="43"/>
  <c r="AE7" i="43" a="1"/>
  <c r="AE7" i="43" s="1"/>
  <c r="AD60" i="43"/>
  <c r="AD44" i="43"/>
  <c r="AD53" i="43"/>
  <c r="AD54" i="43" s="1"/>
  <c r="AD49" i="43"/>
  <c r="AD46" i="43"/>
  <c r="AD43" i="43"/>
  <c r="AE47" i="43"/>
  <c r="AE51" i="43"/>
  <c r="X109" i="43"/>
  <c r="X9" i="43"/>
  <c r="X24" i="43" s="1"/>
  <c r="X108" i="43"/>
  <c r="X107" i="43"/>
  <c r="Y121" i="43"/>
  <c r="Y120" i="43"/>
  <c r="Y122" i="43"/>
  <c r="Z18" i="43"/>
  <c r="Z21" i="43" s="1"/>
  <c r="Z113" i="43"/>
  <c r="AF3" i="43"/>
  <c r="AF50" i="43" s="1"/>
  <c r="AG50" i="43" s="1"/>
  <c r="AH50" i="43" s="1"/>
  <c r="AI50" i="43" s="1"/>
  <c r="AJ50" i="43" s="1"/>
  <c r="AK50" i="43" s="1"/>
  <c r="AL50" i="43" s="1"/>
  <c r="AM50" i="43" s="1"/>
  <c r="AN50" i="43" s="1"/>
  <c r="AA349" i="43"/>
  <c r="AA110" i="43"/>
  <c r="AA238" i="43" s="1"/>
  <c r="AA239" i="43" s="1"/>
  <c r="AD52" i="43" l="1"/>
  <c r="AD45" i="43" s="1"/>
  <c r="AD59" i="43" s="1"/>
  <c r="AD65" i="43" s="1"/>
  <c r="AE405" i="43"/>
  <c r="AE411" i="43"/>
  <c r="AC16" i="43"/>
  <c r="AC27" i="43"/>
  <c r="X374" i="43"/>
  <c r="AA380" i="43"/>
  <c r="AA34" i="43"/>
  <c r="AD61" i="43"/>
  <c r="X39" i="43"/>
  <c r="AC65" i="43"/>
  <c r="AC66" i="43" s="1"/>
  <c r="AC69" i="43"/>
  <c r="AE62" i="43"/>
  <c r="AE63" i="43"/>
  <c r="AE64" i="43"/>
  <c r="AC374" i="43"/>
  <c r="AA41" i="259"/>
  <c r="Y42" i="259"/>
  <c r="AE22" i="43"/>
  <c r="AE105" i="43"/>
  <c r="AE25" i="43"/>
  <c r="C55" i="260"/>
  <c r="Z340" i="43"/>
  <c r="Z339" i="43"/>
  <c r="AE104" i="43"/>
  <c r="D55" i="260" s="1"/>
  <c r="AE362" i="43"/>
  <c r="AH324" i="259"/>
  <c r="AH155" i="259"/>
  <c r="AH35" i="259" s="1"/>
  <c r="AH271" i="259"/>
  <c r="AE265" i="43"/>
  <c r="AF322" i="43"/>
  <c r="AF162" i="43" a="1"/>
  <c r="AF162" i="43" s="1"/>
  <c r="AF161" i="43" a="1"/>
  <c r="AF161" i="43" s="1"/>
  <c r="AF155" i="43" a="1"/>
  <c r="AF155" i="43" s="1"/>
  <c r="AF323" i="43"/>
  <c r="AF156" i="43" a="1"/>
  <c r="AF156" i="43" s="1"/>
  <c r="AF141" i="43" a="1"/>
  <c r="AF141" i="43" s="1"/>
  <c r="AF154" i="43" a="1"/>
  <c r="AF154" i="43" s="1"/>
  <c r="AF324" i="43"/>
  <c r="AF320" i="43" a="1"/>
  <c r="AF320" i="43" s="1"/>
  <c r="AF142" i="43" a="1"/>
  <c r="AF142" i="43" s="1"/>
  <c r="AF165" i="43" a="1"/>
  <c r="AF165" i="43" s="1"/>
  <c r="AG165" i="43" s="1"/>
  <c r="AH165" i="43" s="1"/>
  <c r="AI165" i="43" s="1"/>
  <c r="AJ165" i="43" s="1"/>
  <c r="AK165" i="43" s="1"/>
  <c r="AL165" i="43" s="1"/>
  <c r="AM165" i="43" s="1"/>
  <c r="AN165" i="43" s="1"/>
  <c r="AF160" i="43" a="1"/>
  <c r="AF160" i="43" s="1"/>
  <c r="AF317" i="43" a="1"/>
  <c r="AF317" i="43" s="1"/>
  <c r="AF292" i="43" s="1"/>
  <c r="AE292" i="43"/>
  <c r="AE321" i="43"/>
  <c r="AE325" i="43"/>
  <c r="AA240" i="43"/>
  <c r="AC290" i="43"/>
  <c r="AC293" i="43" s="1"/>
  <c r="AC263" i="43"/>
  <c r="AC113" i="43"/>
  <c r="AC238" i="43"/>
  <c r="AB245" i="43"/>
  <c r="AB17" i="43" s="1"/>
  <c r="AF196" i="43" a="1"/>
  <c r="AF196" i="43" s="1"/>
  <c r="AF178" i="43" a="1"/>
  <c r="AF178" i="43" s="1"/>
  <c r="AG178" i="43" s="1"/>
  <c r="AH178" i="43" s="1"/>
  <c r="AI178" i="43" s="1"/>
  <c r="AJ178" i="43" s="1"/>
  <c r="AK178" i="43" s="1"/>
  <c r="AL178" i="43" s="1"/>
  <c r="AM178" i="43" s="1"/>
  <c r="AN178" i="43" s="1"/>
  <c r="AF171" i="43" a="1"/>
  <c r="AF171" i="43" s="1"/>
  <c r="AF231" i="43" s="1"/>
  <c r="AG231" i="43" s="1"/>
  <c r="AF184" i="43" a="1"/>
  <c r="AF184" i="43" s="1"/>
  <c r="AF181" i="43" a="1"/>
  <c r="AF181" i="43" s="1"/>
  <c r="AF179" i="43" a="1"/>
  <c r="AF179" i="43" s="1"/>
  <c r="AF294" i="43" s="1"/>
  <c r="AF174" i="43" a="1"/>
  <c r="AF174" i="43" s="1"/>
  <c r="AF172" i="43" a="1"/>
  <c r="AF172" i="43" s="1"/>
  <c r="AF185" i="43" a="1"/>
  <c r="AF185" i="43" s="1"/>
  <c r="AF197" i="43" a="1"/>
  <c r="AF197" i="43" s="1"/>
  <c r="AF194" i="43" a="1"/>
  <c r="AF194" i="43" s="1"/>
  <c r="AG194" i="43" s="1"/>
  <c r="AH194" i="43" s="1"/>
  <c r="AI194" i="43" s="1"/>
  <c r="AJ194" i="43" s="1"/>
  <c r="AK194" i="43" s="1"/>
  <c r="AL194" i="43" s="1"/>
  <c r="AM194" i="43" s="1"/>
  <c r="AN194" i="43" s="1"/>
  <c r="AF188" i="43" a="1"/>
  <c r="AF188" i="43" s="1"/>
  <c r="AF12" i="43" a="1"/>
  <c r="AF12" i="43" s="1"/>
  <c r="AF123" i="43" a="1"/>
  <c r="AF123" i="43" s="1"/>
  <c r="AG123" i="43" s="1"/>
  <c r="AH123" i="43" s="1"/>
  <c r="AI123" i="43" s="1"/>
  <c r="AJ123" i="43" s="1"/>
  <c r="AK123" i="43" s="1"/>
  <c r="AL123" i="43" s="1"/>
  <c r="AM123" i="43" s="1"/>
  <c r="AN123" i="43" s="1"/>
  <c r="AF10" i="43" a="1"/>
  <c r="AF10" i="43" s="1"/>
  <c r="AF11" i="43" a="1"/>
  <c r="AF11" i="43" s="1"/>
  <c r="AF15" i="43" a="1"/>
  <c r="AF15" i="43" s="1"/>
  <c r="AF112" i="43" s="1"/>
  <c r="AC26" i="43"/>
  <c r="AE31" i="43"/>
  <c r="AE109" i="43"/>
  <c r="AE28" i="43"/>
  <c r="AE107" i="43"/>
  <c r="AE108" i="43"/>
  <c r="AE29" i="43"/>
  <c r="AE71" i="43"/>
  <c r="AF58" i="43"/>
  <c r="AF7" i="43" a="1"/>
  <c r="AF7" i="43" s="1"/>
  <c r="AF57" i="43"/>
  <c r="AF56" i="43"/>
  <c r="AF8" i="43" a="1"/>
  <c r="AF8" i="43" s="1"/>
  <c r="AE9" i="43"/>
  <c r="AE24" i="43" s="1"/>
  <c r="AE60" i="43"/>
  <c r="AE53" i="43"/>
  <c r="AE54" i="43" s="1"/>
  <c r="AE44" i="43"/>
  <c r="AE46" i="43"/>
  <c r="AF47" i="43"/>
  <c r="AF48" i="43"/>
  <c r="AF51" i="43"/>
  <c r="AG51" i="43" s="1"/>
  <c r="AH51" i="43" s="1"/>
  <c r="AI51" i="43" s="1"/>
  <c r="AJ51" i="43" s="1"/>
  <c r="AK51" i="43" s="1"/>
  <c r="AL51" i="43" s="1"/>
  <c r="AM51" i="43" s="1"/>
  <c r="AN51" i="43" s="1"/>
  <c r="AE43" i="43"/>
  <c r="X14" i="43"/>
  <c r="X110" i="43"/>
  <c r="X113" i="43" s="1"/>
  <c r="X117" i="43" s="1"/>
  <c r="X122" i="43" s="1"/>
  <c r="Y124" i="43"/>
  <c r="Y130" i="43" s="1"/>
  <c r="Y333" i="43" s="1"/>
  <c r="Y135" i="43"/>
  <c r="Y145" i="43" s="1"/>
  <c r="Y352" i="43"/>
  <c r="Y342" i="43" s="1"/>
  <c r="Y345" i="43" s="1"/>
  <c r="AG3" i="43"/>
  <c r="AA18" i="43"/>
  <c r="AA21" i="43" s="1"/>
  <c r="Z350" i="43"/>
  <c r="Z351" i="43"/>
  <c r="Z117" i="43"/>
  <c r="AA113" i="43"/>
  <c r="AE52" i="43" l="1"/>
  <c r="AE45" i="43" s="1"/>
  <c r="AE368" i="43"/>
  <c r="AF405" i="43"/>
  <c r="AF411" i="43"/>
  <c r="X26" i="43"/>
  <c r="X27" i="43"/>
  <c r="AC380" i="43"/>
  <c r="AC34" i="43"/>
  <c r="AE61" i="43"/>
  <c r="AA42" i="259"/>
  <c r="AB41" i="259"/>
  <c r="AB42" i="259" s="1"/>
  <c r="AD66" i="43"/>
  <c r="Z42" i="259"/>
  <c r="AH274" i="259"/>
  <c r="AF105" i="43"/>
  <c r="AF25" i="43"/>
  <c r="D56" i="260"/>
  <c r="AE106" i="43"/>
  <c r="AE110" i="43" s="1"/>
  <c r="D57" i="260" s="1"/>
  <c r="AA339" i="43"/>
  <c r="AA340" i="43"/>
  <c r="Y335" i="43"/>
  <c r="Y334" i="43"/>
  <c r="AF362" i="43"/>
  <c r="AF22" i="43"/>
  <c r="AF63" i="43"/>
  <c r="AG63" i="43" s="1"/>
  <c r="AH63" i="43" s="1"/>
  <c r="AI63" i="43" s="1"/>
  <c r="AJ63" i="43" s="1"/>
  <c r="AK63" i="43" s="1"/>
  <c r="AL63" i="43" s="1"/>
  <c r="AM63" i="43" s="1"/>
  <c r="AN63" i="43" s="1"/>
  <c r="AF62" i="43"/>
  <c r="AG62" i="43" s="1"/>
  <c r="AH62" i="43" s="1"/>
  <c r="AI62" i="43" s="1"/>
  <c r="AJ62" i="43" s="1"/>
  <c r="AK62" i="43" s="1"/>
  <c r="AL62" i="43" s="1"/>
  <c r="AM62" i="43" s="1"/>
  <c r="AN62" i="43" s="1"/>
  <c r="AF64" i="43"/>
  <c r="AG64" i="43" s="1"/>
  <c r="AH64" i="43" s="1"/>
  <c r="AI64" i="43" s="1"/>
  <c r="AJ64" i="43" s="1"/>
  <c r="AK64" i="43" s="1"/>
  <c r="AL64" i="43" s="1"/>
  <c r="AM64" i="43" s="1"/>
  <c r="AN64" i="43" s="1"/>
  <c r="AH154" i="259"/>
  <c r="AH159" i="259" s="1"/>
  <c r="AI267" i="259"/>
  <c r="AH180" i="259"/>
  <c r="AH231" i="43"/>
  <c r="AG171" i="43"/>
  <c r="AG155" i="43" s="1"/>
  <c r="AF325" i="43"/>
  <c r="AF104" i="43"/>
  <c r="E55" i="260" s="1"/>
  <c r="E56" i="260" s="1"/>
  <c r="AC268" i="43"/>
  <c r="AC266" i="43"/>
  <c r="Y149" i="43"/>
  <c r="Y150" i="43" s="1"/>
  <c r="AC245" i="43"/>
  <c r="AC17" i="43" s="1"/>
  <c r="AF205" i="43"/>
  <c r="AF108" i="43"/>
  <c r="AF29" i="43"/>
  <c r="AG29" i="43" s="1"/>
  <c r="AH29" i="43" s="1"/>
  <c r="AI29" i="43" s="1"/>
  <c r="AJ29" i="43" s="1"/>
  <c r="AF109" i="43"/>
  <c r="AF31" i="43"/>
  <c r="AG31" i="43" s="1"/>
  <c r="AH31" i="43" s="1"/>
  <c r="AI31" i="43" s="1"/>
  <c r="AJ31" i="43" s="1"/>
  <c r="AK31" i="43" s="1"/>
  <c r="AL31" i="43" s="1"/>
  <c r="AM31" i="43" s="1"/>
  <c r="AN31" i="43" s="1"/>
  <c r="AF28" i="43"/>
  <c r="AF107" i="43"/>
  <c r="AF71" i="43"/>
  <c r="AF9" i="43"/>
  <c r="AF24" i="43" s="1"/>
  <c r="AG24" i="43" s="1"/>
  <c r="AH24" i="43" s="1"/>
  <c r="AI24" i="43" s="1"/>
  <c r="AJ24" i="43" s="1"/>
  <c r="AK24" i="43" s="1"/>
  <c r="AL24" i="43" s="1"/>
  <c r="AM24" i="43" s="1"/>
  <c r="AN24" i="43" s="1"/>
  <c r="AF60" i="43"/>
  <c r="AF53" i="43"/>
  <c r="AF43" i="43"/>
  <c r="AF44" i="43"/>
  <c r="AF46" i="43"/>
  <c r="AF49" i="43"/>
  <c r="AG49" i="43" s="1"/>
  <c r="AH49" i="43" s="1"/>
  <c r="AI49" i="43" s="1"/>
  <c r="AJ49" i="43" s="1"/>
  <c r="AK49" i="43" s="1"/>
  <c r="AL49" i="43" s="1"/>
  <c r="AM49" i="43" s="1"/>
  <c r="AN49" i="43" s="1"/>
  <c r="X16" i="43"/>
  <c r="X18" i="43" s="1"/>
  <c r="X21" i="43" s="1"/>
  <c r="X121" i="43"/>
  <c r="X120" i="43"/>
  <c r="Z131" i="43"/>
  <c r="X135" i="43"/>
  <c r="X145" i="43" s="1"/>
  <c r="X124" i="43"/>
  <c r="X130" i="43" s="1"/>
  <c r="AE181" i="43" a="1"/>
  <c r="AE181" i="43" s="1"/>
  <c r="AG181" i="43" s="1"/>
  <c r="AH181" i="43" s="1"/>
  <c r="AI181" i="43" s="1"/>
  <c r="AJ181" i="43" s="1"/>
  <c r="AK181" i="43" s="1"/>
  <c r="AL181" i="43" s="1"/>
  <c r="AM181" i="43" s="1"/>
  <c r="AN181" i="43" s="1"/>
  <c r="AE197" i="43" a="1"/>
  <c r="AE197" i="43" s="1"/>
  <c r="AG197" i="43" s="1"/>
  <c r="AH197" i="43" s="1"/>
  <c r="AI197" i="43" s="1"/>
  <c r="AJ197" i="43" s="1"/>
  <c r="AK197" i="43" s="1"/>
  <c r="AL197" i="43" s="1"/>
  <c r="AM197" i="43" s="1"/>
  <c r="AN197" i="43" s="1"/>
  <c r="AE184" i="43" a="1"/>
  <c r="AE184" i="43" s="1"/>
  <c r="AE185" i="43" a="1"/>
  <c r="AE185" i="43" s="1"/>
  <c r="AG161" i="43"/>
  <c r="AH161" i="43" s="1"/>
  <c r="AI161" i="43" s="1"/>
  <c r="AJ161" i="43" s="1"/>
  <c r="AK161" i="43" s="1"/>
  <c r="AL161" i="43" s="1"/>
  <c r="AM161" i="43" s="1"/>
  <c r="AN161" i="43" s="1"/>
  <c r="AE188" i="43" a="1"/>
  <c r="AE188" i="43" s="1"/>
  <c r="AG188" i="43" s="1"/>
  <c r="AH188" i="43" s="1"/>
  <c r="AI188" i="43" s="1"/>
  <c r="AJ188" i="43" s="1"/>
  <c r="AK188" i="43" s="1"/>
  <c r="AL188" i="43" s="1"/>
  <c r="AM188" i="43" s="1"/>
  <c r="AN188" i="43" s="1"/>
  <c r="AE196" i="43" a="1"/>
  <c r="AE196" i="43" s="1"/>
  <c r="AE178" i="43" a="1"/>
  <c r="AE178" i="43" s="1"/>
  <c r="AH3" i="43"/>
  <c r="Z122" i="43"/>
  <c r="Z121" i="43"/>
  <c r="Z120" i="43"/>
  <c r="AA350" i="43"/>
  <c r="AA351" i="43"/>
  <c r="AA117" i="43"/>
  <c r="AF52" i="43" l="1"/>
  <c r="AF45" i="43" s="1"/>
  <c r="AF59" i="43" s="1"/>
  <c r="AG56" i="43"/>
  <c r="AH56" i="43" s="1"/>
  <c r="AI56" i="43" s="1"/>
  <c r="AJ56" i="43" s="1"/>
  <c r="AK56" i="43" s="1"/>
  <c r="AL56" i="43" s="1"/>
  <c r="AM56" i="43" s="1"/>
  <c r="AN56" i="43" s="1"/>
  <c r="AK29" i="43"/>
  <c r="AL29" i="43" s="1"/>
  <c r="AM29" i="43" s="1"/>
  <c r="AN29" i="43" s="1"/>
  <c r="AF368" i="43"/>
  <c r="AG58" i="43"/>
  <c r="AH58" i="43" s="1"/>
  <c r="AI58" i="43" s="1"/>
  <c r="AJ58" i="43" s="1"/>
  <c r="AK58" i="43" s="1"/>
  <c r="AL58" i="43" s="1"/>
  <c r="AM58" i="43" s="1"/>
  <c r="AN58" i="43" s="1"/>
  <c r="AG28" i="43"/>
  <c r="AH28" i="43" s="1"/>
  <c r="AI28" i="43" s="1"/>
  <c r="AJ28" i="43" s="1"/>
  <c r="AK28" i="43" s="1"/>
  <c r="AG57" i="43"/>
  <c r="AH57" i="43" s="1"/>
  <c r="AI57" i="43" s="1"/>
  <c r="AJ57" i="43" s="1"/>
  <c r="AK57" i="43" s="1"/>
  <c r="AL57" i="43" s="1"/>
  <c r="AM57" i="43" s="1"/>
  <c r="AN57" i="43" s="1"/>
  <c r="X380" i="43"/>
  <c r="X34" i="43"/>
  <c r="AF61" i="43"/>
  <c r="AE59" i="43"/>
  <c r="AE374" i="43"/>
  <c r="D59" i="260"/>
  <c r="AF106" i="43"/>
  <c r="AF110" i="43" s="1"/>
  <c r="E57" i="260" s="1"/>
  <c r="E58" i="260" s="1"/>
  <c r="AI269" i="259"/>
  <c r="AI231" i="43"/>
  <c r="AH171" i="43"/>
  <c r="AH155" i="43" s="1"/>
  <c r="Y166" i="43"/>
  <c r="AD263" i="43"/>
  <c r="X149" i="43"/>
  <c r="X166" i="43" s="1"/>
  <c r="AE238" i="43"/>
  <c r="AC226" i="43"/>
  <c r="C76" i="260" s="1"/>
  <c r="AG184" i="43"/>
  <c r="AF206" i="43"/>
  <c r="AF54" i="43"/>
  <c r="AG54" i="43" s="1"/>
  <c r="AH54" i="43" s="1"/>
  <c r="AI54" i="43" s="1"/>
  <c r="AJ54" i="43" s="1"/>
  <c r="AK54" i="43" s="1"/>
  <c r="AL54" i="43" s="1"/>
  <c r="AM54" i="43" s="1"/>
  <c r="AN54" i="43" s="1"/>
  <c r="X131" i="43"/>
  <c r="Y131" i="43"/>
  <c r="AG160" i="43"/>
  <c r="AI3" i="43"/>
  <c r="Z352" i="43"/>
  <c r="Z342" i="43" s="1"/>
  <c r="Z345" i="43" s="1"/>
  <c r="Z124" i="43"/>
  <c r="Z130" i="43" s="1"/>
  <c r="AA131" i="43" s="1"/>
  <c r="Z135" i="43"/>
  <c r="Z145" i="43" s="1"/>
  <c r="AA122" i="43"/>
  <c r="AA120" i="43"/>
  <c r="AA121" i="43"/>
  <c r="AG53" i="43" l="1"/>
  <c r="AH53" i="43" s="1"/>
  <c r="AG48" i="43"/>
  <c r="AL28" i="43"/>
  <c r="AM28" i="43" s="1"/>
  <c r="AN28" i="43" s="1"/>
  <c r="AE65" i="43"/>
  <c r="AE66" i="43" s="1"/>
  <c r="AF374" i="43"/>
  <c r="C38" i="260"/>
  <c r="E59" i="260"/>
  <c r="AH160" i="43"/>
  <c r="AI268" i="259"/>
  <c r="AI322" i="259"/>
  <c r="AI321" i="259"/>
  <c r="AJ231" i="43"/>
  <c r="AI171" i="43"/>
  <c r="AI155" i="43" s="1"/>
  <c r="X150" i="43"/>
  <c r="AD290" i="43"/>
  <c r="Z149" i="43"/>
  <c r="Z150" i="43" s="1"/>
  <c r="Z309" i="43"/>
  <c r="AF238" i="43"/>
  <c r="AC237" i="43"/>
  <c r="AC240" i="43" s="1"/>
  <c r="AC239" i="43"/>
  <c r="AH184" i="43"/>
  <c r="AF65" i="43"/>
  <c r="AG65" i="43" s="1"/>
  <c r="AH65" i="43" s="1"/>
  <c r="AG185" i="43"/>
  <c r="AB10" i="43" a="1"/>
  <c r="AB10" i="43" s="1"/>
  <c r="AG196" i="43"/>
  <c r="AJ3" i="43"/>
  <c r="AA352" i="43"/>
  <c r="AA342" i="43" s="1"/>
  <c r="AA345" i="43" s="1"/>
  <c r="AA135" i="43"/>
  <c r="AA145" i="43" s="1"/>
  <c r="AA124" i="43"/>
  <c r="AA130" i="43" s="1"/>
  <c r="AB131" i="43" s="1"/>
  <c r="Z333" i="43"/>
  <c r="AG52" i="43" l="1"/>
  <c r="AH48" i="43"/>
  <c r="AI53" i="43"/>
  <c r="AH52" i="43"/>
  <c r="AI65" i="43"/>
  <c r="AH66" i="43"/>
  <c r="AG59" i="43"/>
  <c r="AH59" i="43" s="1"/>
  <c r="AF66" i="43"/>
  <c r="AB38" i="43"/>
  <c r="AB37" i="43" s="1"/>
  <c r="AB405" i="43"/>
  <c r="AG374" i="43"/>
  <c r="D38" i="260"/>
  <c r="D37" i="260"/>
  <c r="K28" i="260" s="1"/>
  <c r="L46" i="260" s="1"/>
  <c r="D36" i="260"/>
  <c r="AI324" i="259"/>
  <c r="Z335" i="43"/>
  <c r="Z334" i="43"/>
  <c r="Z166" i="43"/>
  <c r="AI160" i="43"/>
  <c r="AJ160" i="43" s="1"/>
  <c r="AK160" i="43" s="1"/>
  <c r="AL160" i="43" s="1"/>
  <c r="AM160" i="43" s="1"/>
  <c r="AN160" i="43" s="1"/>
  <c r="AH196" i="43"/>
  <c r="AI155" i="259"/>
  <c r="AI35" i="259" s="1"/>
  <c r="AI271" i="259"/>
  <c r="AK231" i="43"/>
  <c r="AJ171" i="43"/>
  <c r="AJ155" i="43" s="1"/>
  <c r="AA149" i="43"/>
  <c r="AA150" i="43" s="1"/>
  <c r="AB214" i="43"/>
  <c r="AI184" i="43"/>
  <c r="AB107" i="43"/>
  <c r="AB28" i="43"/>
  <c r="AG66" i="43"/>
  <c r="AH185" i="43"/>
  <c r="AB8" i="43" a="1"/>
  <c r="AB8" i="43" s="1"/>
  <c r="AK3" i="43"/>
  <c r="AA333" i="43"/>
  <c r="AI48" i="43" l="1"/>
  <c r="AI59" i="43"/>
  <c r="AJ53" i="43"/>
  <c r="AI52" i="43"/>
  <c r="AJ65" i="43"/>
  <c r="AK65" i="43" s="1"/>
  <c r="AL65" i="43" s="1"/>
  <c r="AM65" i="43" s="1"/>
  <c r="AN65" i="43" s="1"/>
  <c r="AI66" i="43"/>
  <c r="AB39" i="43"/>
  <c r="U41" i="259" s="1"/>
  <c r="U42" i="259" s="1"/>
  <c r="AH374" i="43"/>
  <c r="AI274" i="259"/>
  <c r="AB105" i="43"/>
  <c r="AB25" i="43"/>
  <c r="C40" i="260"/>
  <c r="C42" i="260" s="1"/>
  <c r="C46" i="260" s="1"/>
  <c r="M46" i="260"/>
  <c r="L72" i="260"/>
  <c r="AA335" i="43"/>
  <c r="AA334" i="43"/>
  <c r="AI154" i="259"/>
  <c r="AI159" i="259" s="1"/>
  <c r="AI196" i="43"/>
  <c r="AJ196" i="43" s="1"/>
  <c r="AK196" i="43" s="1"/>
  <c r="AL196" i="43" s="1"/>
  <c r="AM196" i="43" s="1"/>
  <c r="AN196" i="43" s="1"/>
  <c r="AI180" i="259"/>
  <c r="AJ267" i="259"/>
  <c r="AB33" i="43"/>
  <c r="AL231" i="43"/>
  <c r="AK171" i="43"/>
  <c r="AK155" i="43" s="1"/>
  <c r="AA166" i="43"/>
  <c r="AB215" i="43"/>
  <c r="AB219" i="43"/>
  <c r="AJ184" i="43"/>
  <c r="AJ48" i="43"/>
  <c r="AI185" i="43"/>
  <c r="AC362" i="43"/>
  <c r="AB144" i="43" a="1"/>
  <c r="AB144" i="43" s="1"/>
  <c r="AB281" i="43" s="1"/>
  <c r="AD8" i="43" a="1"/>
  <c r="AD8" i="43" s="1"/>
  <c r="AD25" i="43" s="1"/>
  <c r="AL3" i="43"/>
  <c r="AK53" i="43" l="1"/>
  <c r="AJ52" i="43"/>
  <c r="AJ66" i="43"/>
  <c r="AJ59" i="43"/>
  <c r="T41" i="259"/>
  <c r="T42" i="259" s="1"/>
  <c r="AI374" i="43"/>
  <c r="AC368" i="43"/>
  <c r="AD368" i="43"/>
  <c r="J38" i="260"/>
  <c r="J40" i="260" s="1"/>
  <c r="J37" i="260" s="1"/>
  <c r="L38" i="260"/>
  <c r="L40" i="260" s="1"/>
  <c r="L37" i="260" s="1"/>
  <c r="K38" i="260"/>
  <c r="K40" i="260" s="1"/>
  <c r="K37" i="260" s="1"/>
  <c r="C72" i="260"/>
  <c r="D46" i="260"/>
  <c r="AJ269" i="259"/>
  <c r="AD105" i="43"/>
  <c r="AD106" i="43" s="1"/>
  <c r="AD110" i="43" s="1"/>
  <c r="AM231" i="43"/>
  <c r="AL171" i="43"/>
  <c r="AL155" i="43" s="1"/>
  <c r="AB282" i="43"/>
  <c r="AK184" i="43"/>
  <c r="AK48" i="43"/>
  <c r="AJ185" i="43"/>
  <c r="AB190" i="43" a="1"/>
  <c r="AB190" i="43" s="1"/>
  <c r="AB9" i="43"/>
  <c r="AB24" i="43" s="1"/>
  <c r="AB104" i="43"/>
  <c r="AB303" i="43" s="1"/>
  <c r="AM3" i="43"/>
  <c r="AL53" i="43" l="1"/>
  <c r="AK52" i="43"/>
  <c r="AK59" i="43"/>
  <c r="AK66" i="43"/>
  <c r="AN3" i="43"/>
  <c r="AB374" i="43"/>
  <c r="AJ374" i="43"/>
  <c r="L17" i="260"/>
  <c r="D72" i="260"/>
  <c r="E46" i="260"/>
  <c r="C57" i="260"/>
  <c r="AD238" i="43"/>
  <c r="AB225" i="43"/>
  <c r="AB226" i="43" s="1"/>
  <c r="AC227" i="43" s="1"/>
  <c r="AC228" i="43" s="1"/>
  <c r="AB336" i="43"/>
  <c r="AC336" i="43"/>
  <c r="AJ268" i="259"/>
  <c r="AJ321" i="259"/>
  <c r="AJ322" i="259"/>
  <c r="AN231" i="43"/>
  <c r="AN171" i="43" s="1"/>
  <c r="AM171" i="43"/>
  <c r="AM155" i="43" s="1"/>
  <c r="AB271" i="43"/>
  <c r="AB287" i="43"/>
  <c r="AB206" i="43"/>
  <c r="AB204" i="43"/>
  <c r="AL184" i="43"/>
  <c r="AL48" i="43"/>
  <c r="AK185" i="43"/>
  <c r="AD144" i="43" a="1"/>
  <c r="AD144" i="43" s="1"/>
  <c r="AD281" i="43" s="1"/>
  <c r="AD282" i="43" s="1"/>
  <c r="AD9" i="43"/>
  <c r="AD24" i="43" s="1"/>
  <c r="AB106" i="43"/>
  <c r="AB14" i="43"/>
  <c r="AB27" i="43" s="1"/>
  <c r="AM53" i="43" l="1"/>
  <c r="AL52" i="43"/>
  <c r="AL66" i="43"/>
  <c r="AL59" i="43"/>
  <c r="AD374" i="43"/>
  <c r="AK374" i="43"/>
  <c r="C59" i="260"/>
  <c r="D58" i="260"/>
  <c r="F46" i="260"/>
  <c r="E72" i="260"/>
  <c r="AC339" i="43"/>
  <c r="AB227" i="43"/>
  <c r="AB228" i="43" s="1"/>
  <c r="AJ324" i="259"/>
  <c r="AJ155" i="259"/>
  <c r="AJ271" i="259"/>
  <c r="AN155" i="43"/>
  <c r="AC287" i="43"/>
  <c r="AM184" i="43"/>
  <c r="AB26" i="43"/>
  <c r="AB16" i="43"/>
  <c r="AM48" i="43"/>
  <c r="AE349" i="43"/>
  <c r="AL185" i="43"/>
  <c r="AE179" i="43" a="1"/>
  <c r="AE179" i="43" s="1"/>
  <c r="AE294" i="43" s="1"/>
  <c r="AD179" i="43" a="1"/>
  <c r="AD179" i="43" s="1"/>
  <c r="AD294" i="43" s="1"/>
  <c r="AB159" i="43" a="1"/>
  <c r="AB159" i="43" s="1"/>
  <c r="AC349" i="43"/>
  <c r="AB349" i="43"/>
  <c r="AB110" i="43"/>
  <c r="AB238" i="43" s="1"/>
  <c r="AN53" i="43" l="1"/>
  <c r="AN52" i="43" s="1"/>
  <c r="AM52" i="43"/>
  <c r="AM59" i="43"/>
  <c r="AN66" i="43"/>
  <c r="AM66" i="43"/>
  <c r="AB380" i="43"/>
  <c r="AB34" i="43"/>
  <c r="AL374" i="43"/>
  <c r="AJ274" i="259"/>
  <c r="G46" i="260"/>
  <c r="F72" i="260"/>
  <c r="AJ180" i="259"/>
  <c r="AK267" i="259"/>
  <c r="AJ35" i="259"/>
  <c r="AJ154" i="259"/>
  <c r="AE295" i="43"/>
  <c r="AD293" i="43"/>
  <c r="AD295" i="43"/>
  <c r="AE290" i="43"/>
  <c r="AE293" i="43" s="1"/>
  <c r="AF295" i="43"/>
  <c r="AF290" i="43"/>
  <c r="AF293" i="43" s="1"/>
  <c r="AB239" i="43"/>
  <c r="AB163" i="43"/>
  <c r="AN184" i="43"/>
  <c r="AM44" i="43"/>
  <c r="AN48" i="43"/>
  <c r="AM47" i="43"/>
  <c r="AM46" i="43" s="1"/>
  <c r="AM43" i="43"/>
  <c r="AM45" i="43"/>
  <c r="AM185" i="43"/>
  <c r="AB113" i="43"/>
  <c r="AD349" i="43"/>
  <c r="AN59" i="43" l="1"/>
  <c r="AN374" i="43"/>
  <c r="AM374" i="43"/>
  <c r="H46" i="260"/>
  <c r="G72" i="260"/>
  <c r="AB339" i="43"/>
  <c r="AJ159" i="259"/>
  <c r="AK269" i="259"/>
  <c r="AG290" i="43"/>
  <c r="AN44" i="43"/>
  <c r="AN47" i="43"/>
  <c r="AN46" i="43" s="1"/>
  <c r="AN43" i="43"/>
  <c r="AN45" i="43"/>
  <c r="AM60" i="43"/>
  <c r="AF349" i="43"/>
  <c r="AN185" i="43"/>
  <c r="AB18" i="43"/>
  <c r="AB117" i="43"/>
  <c r="AB350" i="43"/>
  <c r="AB351" i="43"/>
  <c r="AM7" i="43" l="1"/>
  <c r="I46" i="260"/>
  <c r="H72" i="260"/>
  <c r="AM362" i="43"/>
  <c r="AK321" i="259"/>
  <c r="AK322" i="259"/>
  <c r="AK268" i="259"/>
  <c r="AG317" i="43"/>
  <c r="AN60" i="43"/>
  <c r="AN61" i="43" s="1"/>
  <c r="AB20" i="43" a="1"/>
  <c r="AB20" i="43" s="1"/>
  <c r="AB195" i="43"/>
  <c r="AC351" i="43"/>
  <c r="AC350" i="43"/>
  <c r="AP7" i="43" l="1"/>
  <c r="AM9" i="43"/>
  <c r="AM10" i="43"/>
  <c r="AM405" i="43" s="1"/>
  <c r="AM11" i="43"/>
  <c r="AM411" i="43" s="1"/>
  <c r="AM104" i="43"/>
  <c r="L55" i="260" s="1"/>
  <c r="M55" i="260" s="1"/>
  <c r="M56" i="260" s="1"/>
  <c r="J46" i="260"/>
  <c r="I72" i="260"/>
  <c r="AK155" i="259"/>
  <c r="AK154" i="259" s="1"/>
  <c r="AK271" i="259"/>
  <c r="AK324" i="259"/>
  <c r="AG294" i="43"/>
  <c r="AG295" i="43" s="1"/>
  <c r="AN7" i="43"/>
  <c r="AB200" i="43"/>
  <c r="AB119" i="43"/>
  <c r="AM108" i="43" l="1"/>
  <c r="AM107" i="43"/>
  <c r="AM205" i="43"/>
  <c r="AK274" i="259"/>
  <c r="K46" i="260"/>
  <c r="K72" i="260" s="1"/>
  <c r="J72" i="260"/>
  <c r="AN362" i="43"/>
  <c r="AN368" i="43" s="1"/>
  <c r="AN22" i="43"/>
  <c r="AK159" i="259"/>
  <c r="AK35" i="259"/>
  <c r="AK180" i="259"/>
  <c r="AL267" i="259"/>
  <c r="AG179" i="43"/>
  <c r="AH290" i="43"/>
  <c r="AN71" i="43"/>
  <c r="AN11" i="43"/>
  <c r="AN411" i="43" s="1"/>
  <c r="AN10" i="43"/>
  <c r="AN405" i="43" s="1"/>
  <c r="AN9" i="43"/>
  <c r="AN104" i="43"/>
  <c r="AN205" i="43" s="1"/>
  <c r="AN208" i="43" s="1"/>
  <c r="AB137" i="43"/>
  <c r="AB121" i="43"/>
  <c r="AB170" i="43" a="1"/>
  <c r="AB170" i="43" s="1"/>
  <c r="AB330" i="43"/>
  <c r="AN107" i="43" l="1"/>
  <c r="AB331" i="43"/>
  <c r="AB332" i="43"/>
  <c r="AB230" i="43"/>
  <c r="AB232" i="43" s="1"/>
  <c r="AB233" i="43" s="1"/>
  <c r="AC337" i="43"/>
  <c r="AB337" i="43"/>
  <c r="AL269" i="259"/>
  <c r="AN108" i="43"/>
  <c r="AH317" i="43"/>
  <c r="AB175" i="43"/>
  <c r="AD176" i="43" a="1"/>
  <c r="AD176" i="43" s="1"/>
  <c r="AD267" i="43" s="1"/>
  <c r="AD386" i="43" l="1"/>
  <c r="AB237" i="43"/>
  <c r="AB240" i="43" s="1"/>
  <c r="AC340" i="43"/>
  <c r="AB340" i="43"/>
  <c r="AC233" i="43"/>
  <c r="AC234" i="43" s="1"/>
  <c r="AB234" i="43"/>
  <c r="AB235" i="43"/>
  <c r="AL321" i="259"/>
  <c r="AL268" i="259"/>
  <c r="AL322" i="259"/>
  <c r="AD271" i="43"/>
  <c r="AD268" i="43"/>
  <c r="AH294" i="43"/>
  <c r="AB182" i="43"/>
  <c r="AB344" i="43" s="1"/>
  <c r="AD171" i="43" a="1"/>
  <c r="AD171" i="43" s="1"/>
  <c r="AD231" i="43" s="1"/>
  <c r="AD174" i="43" a="1"/>
  <c r="AD174" i="43" s="1"/>
  <c r="AD205" i="43" s="1"/>
  <c r="AE176" i="43" a="1"/>
  <c r="AE176" i="43" s="1"/>
  <c r="AE267" i="43" s="1"/>
  <c r="AH179" i="43" l="1"/>
  <c r="AH295" i="43"/>
  <c r="AE386" i="43"/>
  <c r="AC235" i="43"/>
  <c r="AL155" i="259"/>
  <c r="AL154" i="259" s="1"/>
  <c r="AL271" i="259"/>
  <c r="AL274" i="259" s="1"/>
  <c r="AL324" i="259"/>
  <c r="AF318" i="43" a="1"/>
  <c r="AF318" i="43" s="1"/>
  <c r="AI290" i="43"/>
  <c r="AE271" i="43"/>
  <c r="AI317" i="43"/>
  <c r="AB343" i="43"/>
  <c r="AB201" i="43"/>
  <c r="AD206" i="43"/>
  <c r="AD208" i="43"/>
  <c r="AL180" i="259" l="1"/>
  <c r="AF176" i="43" s="1" a="1"/>
  <c r="AF176" i="43" s="1"/>
  <c r="AF267" i="43" s="1"/>
  <c r="AL159" i="259"/>
  <c r="AF152" i="43" a="1"/>
  <c r="AF152" i="43" s="1"/>
  <c r="AL35" i="259"/>
  <c r="AF153" i="43" a="1"/>
  <c r="AF153" i="43" s="1"/>
  <c r="AI294" i="43"/>
  <c r="AI295" i="43" s="1"/>
  <c r="AC330" i="43"/>
  <c r="AF271" i="43" l="1"/>
  <c r="AF386" i="43"/>
  <c r="AC332" i="43"/>
  <c r="AC331" i="43"/>
  <c r="AF30" i="43"/>
  <c r="AF272" i="43"/>
  <c r="AF157" i="43"/>
  <c r="AF264" i="43"/>
  <c r="AF269" i="43" s="1"/>
  <c r="AI179" i="43"/>
  <c r="AJ290" i="43"/>
  <c r="AC343" i="43"/>
  <c r="AG272" i="43" l="1"/>
  <c r="AH272" i="43" s="1"/>
  <c r="AI272" i="43" s="1"/>
  <c r="AJ272" i="43" s="1"/>
  <c r="AK272" i="43" s="1"/>
  <c r="AL272" i="43" s="1"/>
  <c r="AM272" i="43" s="1"/>
  <c r="AJ317" i="43"/>
  <c r="AC344" i="43"/>
  <c r="AE174" i="43" a="1"/>
  <c r="AE174" i="43" s="1"/>
  <c r="AE205" i="43" s="1"/>
  <c r="AF208" i="43" s="1"/>
  <c r="AE171" i="43" a="1"/>
  <c r="AE171" i="43" s="1"/>
  <c r="AE231" i="43" s="1"/>
  <c r="AN272" i="43" l="1"/>
  <c r="AJ294" i="43"/>
  <c r="AJ295" i="43" s="1"/>
  <c r="AE206" i="43"/>
  <c r="AE208" i="43"/>
  <c r="AJ179" i="43" l="1"/>
  <c r="AK290" i="43"/>
  <c r="AK317" i="43" l="1"/>
  <c r="AK294" i="43" l="1"/>
  <c r="AK295" i="43" s="1"/>
  <c r="AK179" i="43" l="1"/>
  <c r="AL290" i="43"/>
  <c r="AL317" i="43" l="1"/>
  <c r="AL294" i="43"/>
  <c r="AL295" i="43" s="1"/>
  <c r="AL179" i="43" l="1"/>
  <c r="AM290" i="43"/>
  <c r="AM317" i="43" l="1"/>
  <c r="AM294" i="43" l="1"/>
  <c r="AM295" i="43" s="1"/>
  <c r="AM179" i="43" l="1"/>
  <c r="AN290" i="43"/>
  <c r="AN317" i="43" l="1"/>
  <c r="AN294" i="43" l="1"/>
  <c r="AN179" i="43" l="1"/>
  <c r="AN295" i="43"/>
  <c r="AB19" i="43" a="1"/>
  <c r="AB19" i="43" s="1"/>
  <c r="AB21" i="43" l="1"/>
  <c r="AB118" i="43"/>
  <c r="AB120" i="43" l="1"/>
  <c r="AB122" i="43"/>
  <c r="AB352" i="43" l="1"/>
  <c r="AB342" i="43" s="1"/>
  <c r="AB345" i="43" s="1"/>
  <c r="AB124" i="43"/>
  <c r="AB130" i="43" s="1"/>
  <c r="AB135" i="43"/>
  <c r="AB145" i="43" s="1"/>
  <c r="AB149" i="43" l="1"/>
  <c r="AB166" i="43" s="1"/>
  <c r="AC214" i="43"/>
  <c r="AB333" i="43"/>
  <c r="AB334" i="43" l="1"/>
  <c r="AB335" i="43"/>
  <c r="AC219" i="43"/>
  <c r="AC215" i="43"/>
  <c r="AB150" i="43"/>
  <c r="AD190" i="43" l="1" a="1"/>
  <c r="AD190" i="43" s="1"/>
  <c r="AD225" i="43" s="1"/>
  <c r="AD159" i="43" l="1" a="1"/>
  <c r="AD159" i="43" s="1"/>
  <c r="AD163" i="43" s="1"/>
  <c r="AG43" i="43" l="1"/>
  <c r="AG45" i="43"/>
  <c r="AG47" i="43"/>
  <c r="AG44" i="43"/>
  <c r="AG46" i="43" l="1"/>
  <c r="AG60" i="43"/>
  <c r="AG7" i="43" s="1"/>
  <c r="AH43" i="43"/>
  <c r="AI43" i="43"/>
  <c r="AL43" i="43"/>
  <c r="AJ44" i="43"/>
  <c r="AI45" i="43"/>
  <c r="AH47" i="43"/>
  <c r="AH46" i="43" s="1"/>
  <c r="AI47" i="43"/>
  <c r="AI46" i="43" s="1"/>
  <c r="AL47" i="43"/>
  <c r="AL46" i="43" s="1"/>
  <c r="AH44" i="43"/>
  <c r="AI44" i="43"/>
  <c r="AK44" i="43"/>
  <c r="AL44" i="43"/>
  <c r="AG61" i="43" l="1"/>
  <c r="AI60" i="43"/>
  <c r="AK47" i="43"/>
  <c r="AK46" i="43" s="1"/>
  <c r="AJ43" i="43"/>
  <c r="AJ47" i="43"/>
  <c r="AJ46" i="43" s="1"/>
  <c r="AJ45" i="43"/>
  <c r="AK45" i="43"/>
  <c r="AK43" i="43"/>
  <c r="AL45" i="43"/>
  <c r="AL60" i="43" s="1"/>
  <c r="AP60" i="43" s="1"/>
  <c r="AH45" i="43"/>
  <c r="AH60" i="43" s="1"/>
  <c r="AI7" i="43" l="1"/>
  <c r="AI362" i="43" s="1"/>
  <c r="AL7" i="43"/>
  <c r="AG362" i="43"/>
  <c r="AG22" i="43"/>
  <c r="AG12" i="43"/>
  <c r="AG109" i="43" s="1"/>
  <c r="AG10" i="43"/>
  <c r="AG405" i="43" s="1"/>
  <c r="AG9" i="43"/>
  <c r="AG104" i="43"/>
  <c r="F55" i="260" s="1"/>
  <c r="F56" i="260" s="1"/>
  <c r="AG11" i="43"/>
  <c r="AG411" i="43" s="1"/>
  <c r="AG71" i="43"/>
  <c r="AH61" i="43"/>
  <c r="AH7" i="43"/>
  <c r="AM61" i="43"/>
  <c r="AK60" i="43"/>
  <c r="AJ60" i="43"/>
  <c r="AI61" i="43"/>
  <c r="AI104" i="43" l="1"/>
  <c r="H55" i="260" s="1"/>
  <c r="AI9" i="43"/>
  <c r="AL10" i="43"/>
  <c r="AL405" i="43" s="1"/>
  <c r="AI10" i="43"/>
  <c r="AI405" i="43" s="1"/>
  <c r="AI11" i="43"/>
  <c r="AI411" i="43" s="1"/>
  <c r="AG368" i="43"/>
  <c r="AG107" i="43"/>
  <c r="AM71" i="43"/>
  <c r="AL9" i="43"/>
  <c r="AL11" i="43"/>
  <c r="AM22" i="43"/>
  <c r="AL104" i="43"/>
  <c r="K55" i="260" s="1"/>
  <c r="L56" i="260" s="1"/>
  <c r="AL362" i="43"/>
  <c r="AK7" i="43"/>
  <c r="AH362" i="43"/>
  <c r="AH22" i="43"/>
  <c r="AI22" i="43"/>
  <c r="AG205" i="43"/>
  <c r="AG208" i="43" s="1"/>
  <c r="AG108" i="43"/>
  <c r="AH104" i="43"/>
  <c r="G55" i="260" s="1"/>
  <c r="G56" i="260" s="1"/>
  <c r="AH9" i="43"/>
  <c r="AH11" i="43"/>
  <c r="AH411" i="43" s="1"/>
  <c r="AH10" i="43"/>
  <c r="AH405" i="43" s="1"/>
  <c r="AH71" i="43"/>
  <c r="AJ61" i="43"/>
  <c r="AJ7" i="43"/>
  <c r="AI71" i="43"/>
  <c r="AK61" i="43"/>
  <c r="AL61" i="43"/>
  <c r="AI107" i="43" l="1"/>
  <c r="AI205" i="43"/>
  <c r="AL107" i="43"/>
  <c r="AI108" i="43"/>
  <c r="AH368" i="43"/>
  <c r="AM368" i="43"/>
  <c r="AL108" i="43"/>
  <c r="AL411" i="43"/>
  <c r="AK10" i="43"/>
  <c r="AK405" i="43" s="1"/>
  <c r="AL71" i="43"/>
  <c r="AH107" i="43"/>
  <c r="AK11" i="43"/>
  <c r="AK362" i="43"/>
  <c r="AL205" i="43"/>
  <c r="AM208" i="43" s="1"/>
  <c r="AK9" i="43"/>
  <c r="AK104" i="43"/>
  <c r="J55" i="260" s="1"/>
  <c r="K56" i="260" s="1"/>
  <c r="AL22" i="43"/>
  <c r="AI368" i="43"/>
  <c r="H56" i="260"/>
  <c r="AK22" i="43"/>
  <c r="AJ362" i="43"/>
  <c r="AJ22" i="43"/>
  <c r="AG172" i="43"/>
  <c r="AG174" i="43"/>
  <c r="AH205" i="43"/>
  <c r="AH208" i="43" s="1"/>
  <c r="AH108" i="43"/>
  <c r="AJ11" i="43"/>
  <c r="AJ411" i="43" s="1"/>
  <c r="AJ10" i="43"/>
  <c r="AJ405" i="43" s="1"/>
  <c r="AJ9" i="43"/>
  <c r="AJ104" i="43"/>
  <c r="I55" i="260" s="1"/>
  <c r="I56" i="260" s="1"/>
  <c r="AJ71" i="43"/>
  <c r="AK71" i="43"/>
  <c r="AJ368" i="43" l="1"/>
  <c r="AL368" i="43"/>
  <c r="AK108" i="43"/>
  <c r="AK411" i="43"/>
  <c r="AK107" i="43"/>
  <c r="AJ107" i="43"/>
  <c r="AK205" i="43"/>
  <c r="AL208" i="43" s="1"/>
  <c r="AI208" i="43"/>
  <c r="AK368" i="43"/>
  <c r="J56" i="260"/>
  <c r="AJ205" i="43"/>
  <c r="AJ208" i="43" s="1"/>
  <c r="AH172" i="43"/>
  <c r="AH174" i="43"/>
  <c r="AJ108" i="43"/>
  <c r="AK208" i="43" l="1"/>
  <c r="AI174" i="43"/>
  <c r="AI172" i="43"/>
  <c r="AJ172" i="43" l="1"/>
  <c r="AJ174" i="43"/>
  <c r="AG8" i="43"/>
  <c r="AG25" i="43" s="1"/>
  <c r="AG105" i="43" l="1"/>
  <c r="AG106" i="43" s="1"/>
  <c r="AG110" i="43" s="1"/>
  <c r="F57" i="260" s="1"/>
  <c r="AK174" i="43"/>
  <c r="AK172" i="43"/>
  <c r="F59" i="260" l="1"/>
  <c r="F58" i="260"/>
  <c r="AG238" i="43"/>
  <c r="AG349" i="43"/>
  <c r="AL172" i="43"/>
  <c r="AL174" i="43"/>
  <c r="AH8" i="43"/>
  <c r="AH25" i="43" s="1"/>
  <c r="AI8" i="43"/>
  <c r="AI25" i="43" s="1"/>
  <c r="AJ8" i="43"/>
  <c r="AJ25" i="43" s="1"/>
  <c r="AK8" i="43"/>
  <c r="AK25" i="43" s="1"/>
  <c r="AL8" i="43"/>
  <c r="AL25" i="43" s="1"/>
  <c r="AM8" i="43"/>
  <c r="AM25" i="43" s="1"/>
  <c r="AN8" i="43"/>
  <c r="AN25" i="43" s="1"/>
  <c r="AM174" i="43" l="1"/>
  <c r="AN105" i="43"/>
  <c r="AN106" i="43" s="1"/>
  <c r="AM105" i="43"/>
  <c r="AM106" i="43" s="1"/>
  <c r="AI105" i="43"/>
  <c r="AI106" i="43" s="1"/>
  <c r="AL105" i="43"/>
  <c r="AL106" i="43" s="1"/>
  <c r="AH105" i="43"/>
  <c r="AH106" i="43" s="1"/>
  <c r="AJ105" i="43"/>
  <c r="AJ106" i="43" s="1"/>
  <c r="AK105" i="43"/>
  <c r="AK106" i="43" s="1"/>
  <c r="AM172" i="43"/>
  <c r="AM349" i="43" l="1"/>
  <c r="AJ349" i="43"/>
  <c r="AN349" i="43"/>
  <c r="AH349" i="43"/>
  <c r="AI349" i="43"/>
  <c r="AL349" i="43"/>
  <c r="AK349" i="43"/>
  <c r="AN172" i="43"/>
  <c r="AN174" i="43"/>
  <c r="AD214" i="43" l="1"/>
  <c r="AC18" i="43" l="1"/>
  <c r="AC21" i="43" s="1"/>
  <c r="AC117" i="43"/>
  <c r="AC120" i="43" s="1"/>
  <c r="AC121" i="43" l="1"/>
  <c r="AC122" i="43"/>
  <c r="AC124" i="43" l="1"/>
  <c r="AC130" i="43" s="1"/>
  <c r="AC352" i="43"/>
  <c r="AC342" i="43" s="1"/>
  <c r="AC345" i="43" s="1"/>
  <c r="AC135" i="43"/>
  <c r="AC145" i="43" l="1"/>
  <c r="AC149" i="43" s="1"/>
  <c r="AC131" i="43"/>
  <c r="AC333" i="43"/>
  <c r="AC150" i="43" l="1"/>
  <c r="AC166" i="43"/>
  <c r="AC334" i="43"/>
  <c r="AC335" i="43"/>
  <c r="AE263" i="43"/>
  <c r="AF263" i="43"/>
  <c r="AG263" i="43"/>
  <c r="AE268" i="43" l="1"/>
  <c r="AF319" i="43" a="1"/>
  <c r="AF319" i="43" s="1"/>
  <c r="AF265" i="43" l="1"/>
  <c r="AF321" i="43"/>
  <c r="AF270" i="43" l="1"/>
  <c r="AG270" i="43" s="1"/>
  <c r="AH270" i="43" s="1"/>
  <c r="AI270" i="43" s="1"/>
  <c r="AJ270" i="43" s="1"/>
  <c r="AK270" i="43" s="1"/>
  <c r="AL270" i="43" s="1"/>
  <c r="AM270" i="43" s="1"/>
  <c r="AN270" i="43" s="1"/>
  <c r="AF268" i="43"/>
  <c r="AF266" i="43"/>
  <c r="AH268" i="43" l="1"/>
  <c r="AI268" i="43" s="1"/>
  <c r="AJ268" i="43" s="1"/>
  <c r="AK268" i="43" s="1"/>
  <c r="AL268" i="43" s="1"/>
  <c r="AM268" i="43" s="1"/>
  <c r="AN268" i="43" s="1"/>
  <c r="AG265" i="43"/>
  <c r="AG318" i="43" l="1"/>
  <c r="AG319" i="43"/>
  <c r="AG264" i="43"/>
  <c r="AG269" i="43" s="1"/>
  <c r="AG267" i="43" l="1"/>
  <c r="AG153" i="43"/>
  <c r="AG321" i="43"/>
  <c r="AG176" i="43" l="1"/>
  <c r="AG386" i="43"/>
  <c r="AG271" i="43"/>
  <c r="AH263" i="43"/>
  <c r="AH265" i="43" s="1"/>
  <c r="AG152" i="43"/>
  <c r="AG30" i="43"/>
  <c r="AG157" i="43" l="1"/>
  <c r="AH264" i="43"/>
  <c r="AH269" i="43" s="1"/>
  <c r="AH318" i="43"/>
  <c r="AH319" i="43"/>
  <c r="AH267" i="43" l="1"/>
  <c r="AH153" i="43"/>
  <c r="AH30" i="43" s="1"/>
  <c r="AH321" i="43"/>
  <c r="AH176" i="43" l="1"/>
  <c r="AH386" i="43"/>
  <c r="AH271" i="43"/>
  <c r="AI263" i="43"/>
  <c r="AI265" i="43" s="1"/>
  <c r="AH152" i="43"/>
  <c r="AH157" i="43" l="1"/>
  <c r="AI318" i="43"/>
  <c r="AI319" i="43"/>
  <c r="AI264" i="43"/>
  <c r="AI269" i="43" s="1"/>
  <c r="AI267" i="43" l="1"/>
  <c r="AI153" i="43"/>
  <c r="AI30" i="43" s="1"/>
  <c r="AI321" i="43"/>
  <c r="AI176" i="43" l="1"/>
  <c r="AI386" i="43"/>
  <c r="AJ263" i="43"/>
  <c r="AJ265" i="43" s="1"/>
  <c r="AI271" i="43"/>
  <c r="AI152" i="43"/>
  <c r="AI157" i="43" l="1"/>
  <c r="AJ264" i="43"/>
  <c r="AJ269" i="43" s="1"/>
  <c r="AJ318" i="43"/>
  <c r="AJ319" i="43"/>
  <c r="AJ267" i="43" l="1"/>
  <c r="AJ153" i="43"/>
  <c r="AJ30" i="43" s="1"/>
  <c r="AJ321" i="43"/>
  <c r="AJ176" i="43" l="1"/>
  <c r="AJ386" i="43"/>
  <c r="AK263" i="43"/>
  <c r="AK265" i="43" s="1"/>
  <c r="AJ271" i="43"/>
  <c r="AJ152" i="43"/>
  <c r="AJ157" i="43" l="1"/>
  <c r="AK318" i="43"/>
  <c r="AK319" i="43"/>
  <c r="AK264" i="43"/>
  <c r="AK269" i="43" s="1"/>
  <c r="AK267" i="43" l="1"/>
  <c r="AK153" i="43"/>
  <c r="AK321" i="43"/>
  <c r="AK176" i="43" l="1"/>
  <c r="AK386" i="43"/>
  <c r="AK271" i="43"/>
  <c r="AL263" i="43"/>
  <c r="AL265" i="43" s="1"/>
  <c r="AK152" i="43"/>
  <c r="AK30" i="43"/>
  <c r="AK157" i="43" l="1"/>
  <c r="AL264" i="43"/>
  <c r="AL269" i="43" s="1"/>
  <c r="AL318" i="43"/>
  <c r="AL319" i="43"/>
  <c r="AL267" i="43" l="1"/>
  <c r="AL153" i="43"/>
  <c r="AL30" i="43" s="1"/>
  <c r="AL321" i="43"/>
  <c r="AL176" i="43" l="1"/>
  <c r="AL386" i="43"/>
  <c r="AL271" i="43"/>
  <c r="AM263" i="43"/>
  <c r="AM265" i="43" s="1"/>
  <c r="AM318" i="43" s="1"/>
  <c r="AL152" i="43"/>
  <c r="AL157" i="43" l="1"/>
  <c r="AM319" i="43"/>
  <c r="AM264" i="43"/>
  <c r="AM269" i="43" s="1"/>
  <c r="AM267" i="43" l="1"/>
  <c r="AM153" i="43"/>
  <c r="AM30" i="43" s="1"/>
  <c r="AM321" i="43"/>
  <c r="AM176" i="43" l="1"/>
  <c r="AM386" i="43"/>
  <c r="AN263" i="43"/>
  <c r="AN265" i="43" s="1"/>
  <c r="AM271" i="43"/>
  <c r="AM152" i="43"/>
  <c r="AM157" i="43" l="1"/>
  <c r="AN264" i="43"/>
  <c r="AN269" i="43" s="1"/>
  <c r="AN318" i="43"/>
  <c r="AN319" i="43"/>
  <c r="AN267" i="43" l="1"/>
  <c r="AN153" i="43"/>
  <c r="AN30" i="43" s="1"/>
  <c r="AN321" i="43"/>
  <c r="AE152" i="43" a="1"/>
  <c r="AE152" i="43" s="1"/>
  <c r="AE153" i="43" a="1"/>
  <c r="AE153" i="43" s="1"/>
  <c r="AE30" i="43" s="1"/>
  <c r="AF138" i="43" a="1"/>
  <c r="AF138" i="43" s="1"/>
  <c r="AF33" i="43" s="1"/>
  <c r="AG33" i="43" s="1"/>
  <c r="AH33" i="43" s="1"/>
  <c r="AI33" i="43" s="1"/>
  <c r="AJ33" i="43" s="1"/>
  <c r="AK33" i="43" s="1"/>
  <c r="AL33" i="43" s="1"/>
  <c r="AM33" i="43" s="1"/>
  <c r="AN33" i="43" s="1"/>
  <c r="AD143" i="43" a="1"/>
  <c r="AD143" i="43" s="1"/>
  <c r="AE138" i="43" a="1"/>
  <c r="AE138" i="43" s="1"/>
  <c r="AE33" i="43" s="1"/>
  <c r="AN176" i="43" l="1"/>
  <c r="AN386" i="43"/>
  <c r="AN271" i="43"/>
  <c r="AE157" i="43"/>
  <c r="AN152" i="43"/>
  <c r="AN157" i="43" s="1"/>
  <c r="AG138" i="43"/>
  <c r="AE272" i="43"/>
  <c r="AE264" i="43"/>
  <c r="AE270" i="43" l="1"/>
  <c r="AE269" i="43"/>
  <c r="AE266" i="43"/>
  <c r="AD138" i="43" l="1" a="1"/>
  <c r="AD138" i="43" s="1"/>
  <c r="AD33" i="43" s="1"/>
  <c r="AA38" i="259"/>
  <c r="AA152" i="259" l="1"/>
  <c r="AA168" i="259"/>
  <c r="AA170" i="259" s="1"/>
  <c r="AB217" i="259"/>
  <c r="AA333" i="259"/>
  <c r="AA339" i="259"/>
  <c r="AB222" i="259" l="1"/>
  <c r="AB218" i="259"/>
  <c r="AA335" i="259"/>
  <c r="AA334" i="259"/>
  <c r="AA340" i="259"/>
  <c r="AA344" i="259"/>
  <c r="AA342" i="259"/>
  <c r="AA338" i="259" l="1"/>
  <c r="AA240" i="259"/>
  <c r="AA243" i="259" s="1"/>
  <c r="AA345" i="259"/>
  <c r="AA343" i="259"/>
  <c r="AA129" i="259"/>
  <c r="AA130" i="259" l="1"/>
  <c r="AA150" i="259"/>
  <c r="AC217" i="259"/>
  <c r="AC222" i="259" s="1"/>
  <c r="AD222" i="259" s="1"/>
  <c r="AE222" i="259" s="1"/>
  <c r="AF222" i="259" s="1"/>
  <c r="AG222" i="259" s="1"/>
  <c r="AH222" i="259" s="1"/>
  <c r="AI222" i="259" s="1"/>
  <c r="AJ222" i="259" s="1"/>
  <c r="AK222" i="259" s="1"/>
  <c r="AL222" i="259" s="1"/>
  <c r="AB248" i="259"/>
  <c r="AB21" i="259" s="1"/>
  <c r="AB114" i="259"/>
  <c r="AE131" i="259" l="1"/>
  <c r="AA336" i="259"/>
  <c r="AA337" i="259" s="1"/>
  <c r="AC218" i="259" l="1"/>
  <c r="AC219" i="259" s="1"/>
  <c r="AB129" i="259"/>
  <c r="AD217" i="259" l="1"/>
  <c r="AC126" i="259"/>
  <c r="AC127" i="259" l="1"/>
  <c r="AD221" i="259"/>
  <c r="AD218" i="259" l="1"/>
  <c r="AD219" i="259" s="1"/>
  <c r="AD218" i="43"/>
  <c r="AD219" i="43" s="1"/>
  <c r="AC129" i="259"/>
  <c r="AD216" i="43" l="1" a="1"/>
  <c r="AD216" i="43" s="1"/>
  <c r="AE217" i="259"/>
  <c r="AD126" i="259"/>
  <c r="AD126" i="43" l="1"/>
  <c r="AD127" i="259"/>
  <c r="AE221" i="259"/>
  <c r="AE214" i="43"/>
  <c r="AD215" i="43"/>
  <c r="AE218" i="259" l="1"/>
  <c r="AE219" i="259" s="1"/>
  <c r="AD129" i="259"/>
  <c r="AD127" i="43"/>
  <c r="AD129" i="43" s="1"/>
  <c r="AF217" i="259" l="1"/>
  <c r="AE126" i="259"/>
  <c r="AE127" i="259" l="1"/>
  <c r="AF221" i="259"/>
  <c r="AF218" i="259" l="1"/>
  <c r="AF219" i="259" s="1"/>
  <c r="AE129" i="259"/>
  <c r="AG217" i="259" l="1"/>
  <c r="AF126" i="259"/>
  <c r="AF127" i="259" l="1"/>
  <c r="AG221" i="259"/>
  <c r="AG218" i="259" l="1"/>
  <c r="AG219" i="259" s="1"/>
  <c r="AF129" i="259"/>
  <c r="AH217" i="259" l="1"/>
  <c r="AG126" i="259"/>
  <c r="AG127" i="259" l="1"/>
  <c r="AH221" i="259"/>
  <c r="AH218" i="259" l="1"/>
  <c r="AH219" i="259" s="1"/>
  <c r="AE218" i="43"/>
  <c r="AE219" i="43" s="1"/>
  <c r="AG129" i="259"/>
  <c r="AE216" i="43" l="1" a="1"/>
  <c r="AE216" i="43" s="1"/>
  <c r="AI217" i="259"/>
  <c r="AH126" i="259"/>
  <c r="AE126" i="43" l="1"/>
  <c r="AH127" i="259"/>
  <c r="AI221" i="259"/>
  <c r="AF214" i="43"/>
  <c r="AE215" i="43"/>
  <c r="AI218" i="259" l="1"/>
  <c r="AI219" i="259" s="1"/>
  <c r="AH129" i="259"/>
  <c r="AE127" i="43"/>
  <c r="AJ217" i="259" l="1"/>
  <c r="AI126" i="259"/>
  <c r="AE129" i="43"/>
  <c r="AI127" i="259" l="1"/>
  <c r="AJ221" i="259"/>
  <c r="AJ218" i="259" l="1"/>
  <c r="AJ219" i="259" s="1"/>
  <c r="AI129" i="259"/>
  <c r="AK217" i="259" l="1"/>
  <c r="AJ126" i="259"/>
  <c r="AJ127" i="259" l="1"/>
  <c r="AK221" i="259"/>
  <c r="AK218" i="259" l="1"/>
  <c r="AK219" i="259" s="1"/>
  <c r="AJ129" i="259"/>
  <c r="AL217" i="259" l="1"/>
  <c r="AK126" i="259"/>
  <c r="AK127" i="259" l="1"/>
  <c r="AL221" i="259"/>
  <c r="AL218" i="259" l="1"/>
  <c r="AL219" i="259" s="1"/>
  <c r="AF218" i="43"/>
  <c r="AF219" i="43" s="1"/>
  <c r="AK129" i="259"/>
  <c r="AF216" i="43" l="1" a="1"/>
  <c r="AF216" i="43" s="1"/>
  <c r="AL126" i="259"/>
  <c r="AF126" i="43" l="1"/>
  <c r="AL127" i="259"/>
  <c r="AF215" i="43"/>
  <c r="AG214" i="43"/>
  <c r="AL129" i="259" l="1"/>
  <c r="AF127" i="43"/>
  <c r="AF129" i="43" l="1"/>
  <c r="AA179" i="259" l="1"/>
  <c r="AA186" i="259" s="1"/>
  <c r="AA212" i="259"/>
  <c r="AA213" i="259" s="1"/>
  <c r="AA307" i="259"/>
  <c r="AA304" i="259"/>
  <c r="AA316" i="259" l="1"/>
  <c r="AB300" i="259"/>
  <c r="AB306" i="259"/>
  <c r="AA305" i="259"/>
  <c r="AA308" i="259"/>
  <c r="AA306" i="259"/>
  <c r="AC300" i="259"/>
  <c r="AC302" i="259" s="1"/>
  <c r="AA303" i="259"/>
  <c r="AB305" i="259" l="1"/>
  <c r="AB303" i="259"/>
  <c r="AC184" i="259"/>
  <c r="AC301" i="259"/>
  <c r="AC146" i="259" s="1"/>
  <c r="AC307" i="259"/>
  <c r="AD300" i="259"/>
  <c r="AD302" i="259" s="1"/>
  <c r="AA193" i="259"/>
  <c r="AA199" i="259" s="1"/>
  <c r="AA203" i="259" s="1"/>
  <c r="AA204" i="259" s="1"/>
  <c r="AC17" i="259"/>
  <c r="AC140" i="259"/>
  <c r="AC177" i="259" l="1"/>
  <c r="AC148" i="259" s="1"/>
  <c r="AC212" i="259" s="1"/>
  <c r="AC213" i="259" s="1"/>
  <c r="AC316" i="259"/>
  <c r="AC18" i="259"/>
  <c r="AC32" i="259" s="1"/>
  <c r="AC111" i="259"/>
  <c r="AC45" i="259"/>
  <c r="AC46" i="259" s="1"/>
  <c r="AC37" i="259"/>
  <c r="AB45" i="259"/>
  <c r="AB46" i="259" s="1"/>
  <c r="AB18" i="259"/>
  <c r="AB32" i="259" s="1"/>
  <c r="AB37" i="259"/>
  <c r="AB111" i="259"/>
  <c r="AD184" i="259"/>
  <c r="AD180" i="43" s="1" a="1"/>
  <c r="AD180" i="43" s="1"/>
  <c r="AD301" i="43" s="1"/>
  <c r="AE300" i="259"/>
  <c r="AE302" i="259" s="1"/>
  <c r="AD301" i="259"/>
  <c r="AD146" i="259" s="1"/>
  <c r="AD146" i="43" s="1" a="1"/>
  <c r="AD146" i="43" s="1"/>
  <c r="AD307" i="259"/>
  <c r="AC310" i="259"/>
  <c r="AC311" i="259" s="1"/>
  <c r="AC147" i="259" s="1"/>
  <c r="AC315" i="259"/>
  <c r="AC196" i="259" s="1"/>
  <c r="AD310" i="259"/>
  <c r="AD17" i="259"/>
  <c r="AD140" i="259"/>
  <c r="AD140" i="43" s="1" a="1"/>
  <c r="AD140" i="43" s="1"/>
  <c r="AD299" i="43" s="1"/>
  <c r="AD303" i="43" l="1"/>
  <c r="AD177" i="259"/>
  <c r="AD316" i="259"/>
  <c r="AC314" i="259"/>
  <c r="AC191" i="259" s="1"/>
  <c r="AC193" i="259" s="1"/>
  <c r="AD37" i="259"/>
  <c r="AD111" i="259"/>
  <c r="AD18" i="259"/>
  <c r="AD32" i="259" s="1"/>
  <c r="AD45" i="259"/>
  <c r="AD46" i="259" s="1"/>
  <c r="AD298" i="43"/>
  <c r="AD300" i="43" s="1"/>
  <c r="AE140" i="259"/>
  <c r="AE17" i="259"/>
  <c r="AB20" i="259"/>
  <c r="AB22" i="259" s="1"/>
  <c r="AB31" i="259"/>
  <c r="AB39" i="259"/>
  <c r="AD302" i="43"/>
  <c r="AE297" i="43"/>
  <c r="AC136" i="259"/>
  <c r="AC113" i="259"/>
  <c r="AD173" i="43" a="1"/>
  <c r="AD173" i="43" s="1"/>
  <c r="AE184" i="259"/>
  <c r="AE307" i="259"/>
  <c r="AF300" i="259"/>
  <c r="AF302" i="259" s="1"/>
  <c r="AE301" i="259"/>
  <c r="AE146" i="259" s="1"/>
  <c r="AB136" i="259"/>
  <c r="AB113" i="259"/>
  <c r="AD13" i="43" a="1"/>
  <c r="AD13" i="43" s="1"/>
  <c r="AD148" i="259"/>
  <c r="AC20" i="259"/>
  <c r="AC39" i="259"/>
  <c r="AC31" i="259"/>
  <c r="AC206" i="259" l="1"/>
  <c r="AC207" i="259" s="1"/>
  <c r="AE177" i="259"/>
  <c r="AE148" i="259" s="1"/>
  <c r="AE316" i="259"/>
  <c r="AB117" i="259"/>
  <c r="AE315" i="259"/>
  <c r="AE196" i="259" s="1"/>
  <c r="AF310" i="259"/>
  <c r="AD212" i="259"/>
  <c r="AD213" i="259" s="1"/>
  <c r="AD148" i="43" a="1"/>
  <c r="AD148" i="43" s="1"/>
  <c r="AF184" i="259"/>
  <c r="AF301" i="259"/>
  <c r="AF146" i="259" s="1"/>
  <c r="AF307" i="259"/>
  <c r="AG300" i="259"/>
  <c r="AG302" i="259" s="1"/>
  <c r="AD304" i="43"/>
  <c r="AD305" i="43" s="1"/>
  <c r="AB193" i="259"/>
  <c r="AD14" i="43"/>
  <c r="AD27" i="43" s="1"/>
  <c r="AD111" i="43"/>
  <c r="AD32" i="43"/>
  <c r="AF17" i="259"/>
  <c r="AF140" i="259"/>
  <c r="AE18" i="259"/>
  <c r="AE45" i="259"/>
  <c r="AE46" i="259" s="1"/>
  <c r="AE37" i="259"/>
  <c r="AE111" i="259"/>
  <c r="AD20" i="259"/>
  <c r="AD31" i="259"/>
  <c r="AD39" i="259"/>
  <c r="AD113" i="259"/>
  <c r="AD136" i="259"/>
  <c r="AE310" i="259"/>
  <c r="AE311" i="259" s="1"/>
  <c r="AE147" i="259" s="1"/>
  <c r="AD311" i="259"/>
  <c r="AD147" i="259" s="1"/>
  <c r="AD147" i="43" s="1" a="1"/>
  <c r="AD147" i="43" s="1"/>
  <c r="AD151" i="43" s="1"/>
  <c r="AD315" i="259"/>
  <c r="AD196" i="259" s="1"/>
  <c r="AD192" i="43" s="1" a="1"/>
  <c r="AD192" i="43" s="1"/>
  <c r="AD312" i="43" s="1"/>
  <c r="AB121" i="259" l="1"/>
  <c r="AB120" i="259"/>
  <c r="AF177" i="259"/>
  <c r="AF148" i="259" s="1"/>
  <c r="AF212" i="259" s="1"/>
  <c r="AF213" i="259" s="1"/>
  <c r="AF316" i="259"/>
  <c r="AD16" i="43"/>
  <c r="AD26" i="43"/>
  <c r="AD314" i="259"/>
  <c r="AD191" i="259" s="1"/>
  <c r="AE31" i="259"/>
  <c r="AE20" i="259"/>
  <c r="AF18" i="259"/>
  <c r="AF45" i="259"/>
  <c r="AF46" i="259" s="1"/>
  <c r="AF37" i="259"/>
  <c r="AF111" i="259"/>
  <c r="AG184" i="259"/>
  <c r="AG301" i="259"/>
  <c r="AG146" i="259" s="1"/>
  <c r="AG307" i="259"/>
  <c r="AH300" i="259"/>
  <c r="AH302" i="259" s="1"/>
  <c r="AG17" i="259"/>
  <c r="AG140" i="259"/>
  <c r="AD308" i="43"/>
  <c r="AE113" i="259"/>
  <c r="AE136" i="259"/>
  <c r="C64" i="260"/>
  <c r="AD113" i="43"/>
  <c r="AD136" i="43"/>
  <c r="AE314" i="259"/>
  <c r="AE191" i="259" s="1"/>
  <c r="AE212" i="259"/>
  <c r="AE213" i="259" s="1"/>
  <c r="C66" i="260"/>
  <c r="AD209" i="43"/>
  <c r="AD210" i="43" s="1"/>
  <c r="AD380" i="43" l="1"/>
  <c r="AD34" i="43"/>
  <c r="AG177" i="259"/>
  <c r="AG148" i="259" s="1"/>
  <c r="AG212" i="259" s="1"/>
  <c r="AG213" i="259" s="1"/>
  <c r="AG316" i="259"/>
  <c r="AH17" i="259"/>
  <c r="AE13" i="43" s="1" a="1"/>
  <c r="AE13" i="43" s="1"/>
  <c r="AH140" i="259"/>
  <c r="AE140" i="43" s="1" a="1"/>
  <c r="AE140" i="43" s="1"/>
  <c r="AE299" i="43" s="1"/>
  <c r="AF136" i="259"/>
  <c r="AF113" i="259"/>
  <c r="C61" i="260"/>
  <c r="AD350" i="43"/>
  <c r="AD351" i="43"/>
  <c r="AG18" i="259"/>
  <c r="AG111" i="259"/>
  <c r="AG45" i="259"/>
  <c r="AG46" i="259" s="1"/>
  <c r="AG37" i="259"/>
  <c r="AG315" i="259"/>
  <c r="AG196" i="259" s="1"/>
  <c r="AH310" i="259"/>
  <c r="AF20" i="259"/>
  <c r="AF31" i="259"/>
  <c r="AB122" i="259"/>
  <c r="AF311" i="259"/>
  <c r="AF147" i="259" s="1"/>
  <c r="AF315" i="259"/>
  <c r="AF196" i="259" s="1"/>
  <c r="AG310" i="259"/>
  <c r="AG311" i="259" s="1"/>
  <c r="AG147" i="259" s="1"/>
  <c r="AH184" i="259"/>
  <c r="AE180" i="43" s="1" a="1"/>
  <c r="AE180" i="43" s="1"/>
  <c r="AE301" i="43" s="1"/>
  <c r="AI300" i="259"/>
  <c r="AI302" i="259" s="1"/>
  <c r="AH301" i="259"/>
  <c r="AH146" i="259" s="1"/>
  <c r="AE146" i="43" s="1" a="1"/>
  <c r="AE146" i="43" s="1"/>
  <c r="AH307" i="259"/>
  <c r="AD187" i="43" a="1"/>
  <c r="AD187" i="43" s="1"/>
  <c r="AB25" i="259"/>
  <c r="AB27" i="259" s="1"/>
  <c r="AB137" i="259"/>
  <c r="AE303" i="43" l="1"/>
  <c r="AH177" i="259"/>
  <c r="AH148" i="259" s="1"/>
  <c r="AH212" i="259" s="1"/>
  <c r="AH213" i="259" s="1"/>
  <c r="AH316" i="259"/>
  <c r="AG314" i="259"/>
  <c r="AG191" i="259" s="1"/>
  <c r="AF314" i="259"/>
  <c r="AF191" i="259" s="1"/>
  <c r="AH311" i="259"/>
  <c r="AH147" i="259" s="1"/>
  <c r="AE147" i="43" s="1" a="1"/>
  <c r="AE147" i="43" s="1"/>
  <c r="AE151" i="43" s="1"/>
  <c r="AE148" i="43" a="1"/>
  <c r="AE148" i="43" s="1"/>
  <c r="AG136" i="259"/>
  <c r="AG113" i="259"/>
  <c r="AB199" i="259"/>
  <c r="AI310" i="259"/>
  <c r="AI17" i="259"/>
  <c r="AI140" i="259"/>
  <c r="AB124" i="259"/>
  <c r="AB135" i="259"/>
  <c r="AB145" i="259" s="1"/>
  <c r="AB149" i="259" s="1"/>
  <c r="AB152" i="259" s="1"/>
  <c r="AG20" i="259"/>
  <c r="AG31" i="259"/>
  <c r="AE298" i="43"/>
  <c r="AE300" i="43" s="1"/>
  <c r="AE173" i="43" a="1"/>
  <c r="AE173" i="43" s="1"/>
  <c r="AF297" i="43"/>
  <c r="AE302" i="43"/>
  <c r="AH37" i="259"/>
  <c r="AH18" i="259"/>
  <c r="AH111" i="259"/>
  <c r="AH45" i="259"/>
  <c r="AH46" i="259" s="1"/>
  <c r="AD311" i="43"/>
  <c r="AD310" i="43" s="1"/>
  <c r="AD314" i="43" s="1"/>
  <c r="AI184" i="259"/>
  <c r="AI307" i="259"/>
  <c r="AJ300" i="259"/>
  <c r="AJ302" i="259" s="1"/>
  <c r="AI301" i="259"/>
  <c r="AI146" i="259" s="1"/>
  <c r="AE111" i="43"/>
  <c r="AE14" i="43"/>
  <c r="AE32" i="43"/>
  <c r="AI177" i="259" l="1"/>
  <c r="AI148" i="259" s="1"/>
  <c r="AI316" i="259"/>
  <c r="AI315" i="259"/>
  <c r="AI196" i="259" s="1"/>
  <c r="AH315" i="259"/>
  <c r="AH196" i="259" s="1"/>
  <c r="AE192" i="43" s="1" a="1"/>
  <c r="AE192" i="43" s="1"/>
  <c r="AE312" i="43" s="1"/>
  <c r="AE308" i="43"/>
  <c r="AI18" i="259"/>
  <c r="AI45" i="259"/>
  <c r="AI46" i="259" s="1"/>
  <c r="AI37" i="259"/>
  <c r="AI111" i="259"/>
  <c r="AJ17" i="259"/>
  <c r="AJ140" i="259"/>
  <c r="AE113" i="43"/>
  <c r="AE136" i="43"/>
  <c r="AE307" i="43"/>
  <c r="AD309" i="43"/>
  <c r="AD313" i="43"/>
  <c r="AD315" i="43"/>
  <c r="AH20" i="259"/>
  <c r="AH31" i="259"/>
  <c r="AJ184" i="259"/>
  <c r="AJ301" i="259"/>
  <c r="AJ146" i="259" s="1"/>
  <c r="AJ307" i="259"/>
  <c r="AK300" i="259"/>
  <c r="AK302" i="259" s="1"/>
  <c r="AE304" i="43"/>
  <c r="AE305" i="43" s="1"/>
  <c r="AB150" i="259"/>
  <c r="D66" i="260"/>
  <c r="AE209" i="43"/>
  <c r="AE210" i="43" s="1"/>
  <c r="AE16" i="43"/>
  <c r="AE26" i="43"/>
  <c r="AI311" i="259"/>
  <c r="AI147" i="259" s="1"/>
  <c r="AH113" i="259"/>
  <c r="AH136" i="259"/>
  <c r="AB203" i="259"/>
  <c r="AB130" i="259"/>
  <c r="AH314" i="259" l="1"/>
  <c r="AH191" i="259" s="1"/>
  <c r="AJ177" i="259"/>
  <c r="AJ316" i="259"/>
  <c r="AJ310" i="259"/>
  <c r="AJ311" i="259" s="1"/>
  <c r="AJ147" i="259" s="1"/>
  <c r="AE187" i="43" a="1"/>
  <c r="AE187" i="43" s="1"/>
  <c r="AI314" i="259"/>
  <c r="AI191" i="259" s="1"/>
  <c r="AF131" i="259"/>
  <c r="AB336" i="259"/>
  <c r="AB333" i="259"/>
  <c r="AB339" i="259"/>
  <c r="AJ45" i="259"/>
  <c r="AJ46" i="259" s="1"/>
  <c r="AJ18" i="259"/>
  <c r="AJ37" i="259"/>
  <c r="AJ111" i="259"/>
  <c r="AI31" i="259"/>
  <c r="AI20" i="259"/>
  <c r="AB179" i="259"/>
  <c r="AB186" i="259" s="1"/>
  <c r="AB204" i="259" s="1"/>
  <c r="AK184" i="259"/>
  <c r="AK301" i="259"/>
  <c r="AK146" i="259" s="1"/>
  <c r="AK307" i="259"/>
  <c r="AL300" i="259"/>
  <c r="AL302" i="259" s="1"/>
  <c r="D61" i="260"/>
  <c r="AE351" i="43"/>
  <c r="AE350" i="43"/>
  <c r="AI212" i="259"/>
  <c r="AI213" i="259" s="1"/>
  <c r="AI113" i="259"/>
  <c r="AI136" i="259"/>
  <c r="AK17" i="259"/>
  <c r="AK140" i="259"/>
  <c r="AJ148" i="259"/>
  <c r="AJ212" i="259" s="1"/>
  <c r="AJ213" i="259" s="1"/>
  <c r="AK177" i="259" l="1"/>
  <c r="AK148" i="259" s="1"/>
  <c r="AK212" i="259" s="1"/>
  <c r="AK213" i="259" s="1"/>
  <c r="AK316" i="259"/>
  <c r="AK310" i="259"/>
  <c r="AK311" i="259" s="1"/>
  <c r="AK147" i="259" s="1"/>
  <c r="AJ315" i="259"/>
  <c r="AJ196" i="259" s="1"/>
  <c r="AE311" i="43"/>
  <c r="AE310" i="43" s="1"/>
  <c r="AB340" i="259"/>
  <c r="AB342" i="259"/>
  <c r="AB344" i="259"/>
  <c r="AK18" i="259"/>
  <c r="AK111" i="259"/>
  <c r="AK45" i="259"/>
  <c r="AK46" i="259" s="1"/>
  <c r="AK37" i="259"/>
  <c r="AB335" i="259"/>
  <c r="AB334" i="259"/>
  <c r="AJ136" i="259"/>
  <c r="AJ113" i="259"/>
  <c r="AL184" i="259"/>
  <c r="AF180" i="43" s="1" a="1"/>
  <c r="AF180" i="43" s="1"/>
  <c r="AF301" i="43" s="1"/>
  <c r="AF303" i="43" s="1"/>
  <c r="AG303" i="43" s="1"/>
  <c r="AH303" i="43" s="1"/>
  <c r="AL301" i="259"/>
  <c r="AL146" i="259" s="1"/>
  <c r="AL307" i="259"/>
  <c r="AC245" i="259"/>
  <c r="AJ20" i="259"/>
  <c r="AJ31" i="259"/>
  <c r="AL17" i="259"/>
  <c r="AF13" i="43" s="1" a="1"/>
  <c r="AF13" i="43" s="1"/>
  <c r="AL140" i="259"/>
  <c r="AF140" i="43" s="1" a="1"/>
  <c r="AF140" i="43" s="1"/>
  <c r="AF299" i="43" s="1"/>
  <c r="AJ314" i="259" l="1"/>
  <c r="AJ191" i="259" s="1"/>
  <c r="AF307" i="43"/>
  <c r="AE314" i="43"/>
  <c r="AL177" i="259"/>
  <c r="AL148" i="259" s="1"/>
  <c r="AL212" i="259" s="1"/>
  <c r="AL213" i="259" s="1"/>
  <c r="AL316" i="259"/>
  <c r="AE309" i="43"/>
  <c r="AE313" i="43"/>
  <c r="AE315" i="43"/>
  <c r="AL310" i="259"/>
  <c r="AK315" i="259"/>
  <c r="AK196" i="259" s="1"/>
  <c r="AL315" i="259"/>
  <c r="AL196" i="259" s="1"/>
  <c r="AF192" i="43" s="1" a="1"/>
  <c r="AF192" i="43" s="1"/>
  <c r="AF312" i="43" s="1"/>
  <c r="AF148" i="43" a="1"/>
  <c r="AF148" i="43" s="1"/>
  <c r="E66" i="260" s="1"/>
  <c r="AF32" i="43"/>
  <c r="AF111" i="43"/>
  <c r="AF14" i="43"/>
  <c r="AK20" i="259"/>
  <c r="AK31" i="259"/>
  <c r="AB337" i="259"/>
  <c r="AB343" i="259"/>
  <c r="AB345" i="259"/>
  <c r="AL37" i="259"/>
  <c r="AL111" i="259"/>
  <c r="AL18" i="259"/>
  <c r="AL45" i="259"/>
  <c r="AL46" i="259" s="1"/>
  <c r="AC114" i="259"/>
  <c r="AC117" i="259" s="1"/>
  <c r="AC248" i="259"/>
  <c r="AC21" i="259" s="1"/>
  <c r="AC22" i="259" s="1"/>
  <c r="AB338" i="259"/>
  <c r="AG297" i="43"/>
  <c r="AI303" i="43"/>
  <c r="AJ303" i="43" s="1"/>
  <c r="AK303" i="43" s="1"/>
  <c r="AL303" i="43" s="1"/>
  <c r="AM303" i="43" s="1"/>
  <c r="AN303" i="43" s="1"/>
  <c r="AF302" i="43"/>
  <c r="AG302" i="43" s="1"/>
  <c r="AH302" i="43" s="1"/>
  <c r="AI302" i="43" s="1"/>
  <c r="AJ302" i="43" s="1"/>
  <c r="AK302" i="43" s="1"/>
  <c r="AL302" i="43" s="1"/>
  <c r="AM302" i="43" s="1"/>
  <c r="AN302" i="43" s="1"/>
  <c r="AK136" i="259"/>
  <c r="AK113" i="259"/>
  <c r="AF173" i="43" l="1" a="1"/>
  <c r="AF173" i="43" s="1"/>
  <c r="AF209" i="43" s="1"/>
  <c r="AF210" i="43" s="1"/>
  <c r="AL311" i="259"/>
  <c r="AL147" i="259" s="1"/>
  <c r="AF147" i="43" s="1" a="1"/>
  <c r="AF147" i="43" s="1"/>
  <c r="AK314" i="259"/>
  <c r="AK191" i="259" s="1"/>
  <c r="AG299" i="43"/>
  <c r="AG13" i="43" s="1"/>
  <c r="AL113" i="259"/>
  <c r="AL136" i="259"/>
  <c r="AG301" i="43"/>
  <c r="AF16" i="43"/>
  <c r="AF26" i="43"/>
  <c r="AC118" i="259"/>
  <c r="AC23" i="259" s="1"/>
  <c r="AL314" i="259"/>
  <c r="AL191" i="259" s="1"/>
  <c r="AL20" i="259"/>
  <c r="AL31" i="259"/>
  <c r="AF113" i="43"/>
  <c r="AF136" i="43"/>
  <c r="AF304" i="43" l="1"/>
  <c r="AF305" i="43" s="1"/>
  <c r="AF308" i="43"/>
  <c r="AF151" i="43"/>
  <c r="AG140" i="43"/>
  <c r="AF187" i="43" a="1"/>
  <c r="AF187" i="43" s="1"/>
  <c r="AH301" i="43"/>
  <c r="AG14" i="43"/>
  <c r="AG32" i="43"/>
  <c r="AG111" i="43"/>
  <c r="E61" i="260"/>
  <c r="AF350" i="43"/>
  <c r="AF351" i="43"/>
  <c r="AG180" i="43"/>
  <c r="AH297" i="43"/>
  <c r="AH299" i="43" s="1"/>
  <c r="AG304" i="43"/>
  <c r="AG173" i="43" s="1"/>
  <c r="AG298" i="43"/>
  <c r="AG146" i="43" s="1"/>
  <c r="AG16" i="43" l="1"/>
  <c r="AG26" i="43"/>
  <c r="AG148" i="43"/>
  <c r="AH180" i="43"/>
  <c r="AH298" i="43"/>
  <c r="AH146" i="43" s="1"/>
  <c r="AI297" i="43"/>
  <c r="AI299" i="43" s="1"/>
  <c r="AH304" i="43"/>
  <c r="AH173" i="43" s="1"/>
  <c r="AH148" i="43" s="1"/>
  <c r="AH13" i="43"/>
  <c r="AH140" i="43"/>
  <c r="AG136" i="43"/>
  <c r="AG113" i="43"/>
  <c r="AI301" i="43"/>
  <c r="AF311" i="43"/>
  <c r="AF310" i="43" s="1"/>
  <c r="AF314" i="43" s="1"/>
  <c r="AG310" i="43" l="1"/>
  <c r="AG313" i="43" s="1"/>
  <c r="G66" i="260"/>
  <c r="AH209" i="43"/>
  <c r="AH210" i="43" s="1"/>
  <c r="AJ301" i="43"/>
  <c r="AI140" i="43"/>
  <c r="AI13" i="43"/>
  <c r="AI180" i="43"/>
  <c r="AI298" i="43"/>
  <c r="AI146" i="43" s="1"/>
  <c r="AI304" i="43"/>
  <c r="AI173" i="43" s="1"/>
  <c r="AI148" i="43" s="1"/>
  <c r="AJ297" i="43"/>
  <c r="AJ299" i="43" s="1"/>
  <c r="AG307" i="43"/>
  <c r="AF309" i="43"/>
  <c r="AF313" i="43"/>
  <c r="AF315" i="43"/>
  <c r="F61" i="260"/>
  <c r="AG351" i="43"/>
  <c r="AG350" i="43"/>
  <c r="AH111" i="43"/>
  <c r="AH32" i="43"/>
  <c r="F66" i="260"/>
  <c r="AG209" i="43"/>
  <c r="AG210" i="43" s="1"/>
  <c r="AH310" i="43" l="1"/>
  <c r="AH313" i="43" s="1"/>
  <c r="AJ13" i="43"/>
  <c r="AJ140" i="43"/>
  <c r="AJ180" i="43"/>
  <c r="AK297" i="43"/>
  <c r="AK299" i="43" s="1"/>
  <c r="AJ304" i="43"/>
  <c r="AJ173" i="43" s="1"/>
  <c r="AJ148" i="43" s="1"/>
  <c r="AJ298" i="43"/>
  <c r="AJ146" i="43" s="1"/>
  <c r="AH136" i="43"/>
  <c r="AK301" i="43"/>
  <c r="AI32" i="43"/>
  <c r="AI111" i="43"/>
  <c r="H66" i="260"/>
  <c r="AI209" i="43"/>
  <c r="AI210" i="43" s="1"/>
  <c r="AI310" i="43" l="1"/>
  <c r="AI313" i="43" s="1"/>
  <c r="AK13" i="43"/>
  <c r="AK140" i="43"/>
  <c r="AI136" i="43"/>
  <c r="AG308" i="43"/>
  <c r="AG147" i="43" s="1"/>
  <c r="AG151" i="43" s="1"/>
  <c r="AG312" i="43"/>
  <c r="AG192" i="43" s="1"/>
  <c r="AH307" i="43"/>
  <c r="I66" i="260"/>
  <c r="AJ209" i="43"/>
  <c r="AJ210" i="43" s="1"/>
  <c r="AL301" i="43"/>
  <c r="AK180" i="43"/>
  <c r="AL297" i="43"/>
  <c r="AL299" i="43" s="1"/>
  <c r="AK304" i="43"/>
  <c r="AK173" i="43" s="1"/>
  <c r="AK148" i="43" s="1"/>
  <c r="AK298" i="43"/>
  <c r="AK146" i="43" s="1"/>
  <c r="AJ32" i="43"/>
  <c r="AJ111" i="43"/>
  <c r="AJ310" i="43" l="1"/>
  <c r="AJ313" i="43" s="1"/>
  <c r="J66" i="260"/>
  <c r="AK209" i="43"/>
  <c r="AK210" i="43" s="1"/>
  <c r="AJ136" i="43"/>
  <c r="AL13" i="43"/>
  <c r="AL140" i="43"/>
  <c r="AL180" i="43"/>
  <c r="AL298" i="43"/>
  <c r="AL146" i="43" s="1"/>
  <c r="AM297" i="43"/>
  <c r="AM299" i="43" s="1"/>
  <c r="AM13" i="43" s="1"/>
  <c r="AM111" i="43" s="1"/>
  <c r="AL304" i="43"/>
  <c r="AL173" i="43" s="1"/>
  <c r="AL148" i="43" s="1"/>
  <c r="AK32" i="43"/>
  <c r="AK111" i="43"/>
  <c r="AN301" i="43"/>
  <c r="AM301" i="43"/>
  <c r="AG311" i="43"/>
  <c r="AG187" i="43" s="1"/>
  <c r="AI307" i="43"/>
  <c r="AH308" i="43"/>
  <c r="AH147" i="43" s="1"/>
  <c r="AH151" i="43" s="1"/>
  <c r="AH312" i="43"/>
  <c r="AH192" i="43" s="1"/>
  <c r="AM298" i="43" l="1"/>
  <c r="AM146" i="43" s="1"/>
  <c r="AK310" i="43"/>
  <c r="AK313" i="43" s="1"/>
  <c r="AM180" i="43"/>
  <c r="AN297" i="43"/>
  <c r="AN299" i="43" s="1"/>
  <c r="AN298" i="43" s="1"/>
  <c r="AN146" i="43" s="1"/>
  <c r="AM304" i="43"/>
  <c r="AM173" i="43" s="1"/>
  <c r="AM148" i="43" s="1"/>
  <c r="AJ307" i="43"/>
  <c r="AI308" i="43"/>
  <c r="AI147" i="43" s="1"/>
  <c r="AI151" i="43" s="1"/>
  <c r="AI312" i="43"/>
  <c r="AI192" i="43" s="1"/>
  <c r="K66" i="260"/>
  <c r="AL209" i="43"/>
  <c r="AL210" i="43" s="1"/>
  <c r="AN180" i="43"/>
  <c r="AN304" i="43"/>
  <c r="AN173" i="43" s="1"/>
  <c r="AH311" i="43"/>
  <c r="AH187" i="43" s="1"/>
  <c r="AK136" i="43"/>
  <c r="AM140" i="43"/>
  <c r="AL111" i="43"/>
  <c r="AL32" i="43"/>
  <c r="AL310" i="43" l="1"/>
  <c r="AL313" i="43" s="1"/>
  <c r="AN13" i="43"/>
  <c r="AN140" i="43"/>
  <c r="AJ308" i="43"/>
  <c r="AJ147" i="43" s="1"/>
  <c r="AJ151" i="43" s="1"/>
  <c r="AJ312" i="43"/>
  <c r="AJ192" i="43" s="1"/>
  <c r="AK307" i="43"/>
  <c r="AL136" i="43"/>
  <c r="AM32" i="43"/>
  <c r="L66" i="260"/>
  <c r="AM209" i="43"/>
  <c r="AM210" i="43" s="1"/>
  <c r="AI311" i="43"/>
  <c r="AI187" i="43" s="1"/>
  <c r="AN148" i="43"/>
  <c r="AN310" i="43" l="1"/>
  <c r="AN313" i="43" s="1"/>
  <c r="AM310" i="43"/>
  <c r="AM313" i="43" s="1"/>
  <c r="AJ311" i="43"/>
  <c r="AJ187" i="43" s="1"/>
  <c r="AM136" i="43"/>
  <c r="AK308" i="43"/>
  <c r="AK147" i="43" s="1"/>
  <c r="AK151" i="43" s="1"/>
  <c r="AK312" i="43"/>
  <c r="AK192" i="43" s="1"/>
  <c r="AL307" i="43"/>
  <c r="M66" i="260"/>
  <c r="AN209" i="43"/>
  <c r="AN210" i="43" s="1"/>
  <c r="AN32" i="43"/>
  <c r="AN111" i="43"/>
  <c r="AK311" i="43" l="1"/>
  <c r="AK187" i="43" s="1"/>
  <c r="AN136" i="43"/>
  <c r="AM307" i="43"/>
  <c r="AL308" i="43"/>
  <c r="AL147" i="43" s="1"/>
  <c r="AL151" i="43" s="1"/>
  <c r="AL312" i="43"/>
  <c r="AL192" i="43" s="1"/>
  <c r="AL311" i="43" l="1"/>
  <c r="AL187" i="43" s="1"/>
  <c r="AN307" i="43"/>
  <c r="AN308" i="43" s="1"/>
  <c r="AN147" i="43" s="1"/>
  <c r="AN151" i="43" s="1"/>
  <c r="AM312" i="43"/>
  <c r="AM192" i="43" s="1"/>
  <c r="AM308" i="43"/>
  <c r="AM147" i="43" s="1"/>
  <c r="AM151" i="43" s="1"/>
  <c r="AN312" i="43"/>
  <c r="AN192" i="43" s="1"/>
  <c r="AN311" i="43" l="1"/>
  <c r="AN187" i="43" s="1"/>
  <c r="AM311" i="43"/>
  <c r="AM187" i="43" s="1"/>
  <c r="AF146" i="43" l="1" a="1"/>
  <c r="AF146" i="43" s="1"/>
  <c r="AF298" i="43" l="1"/>
  <c r="AF300" i="43" s="1"/>
  <c r="AI246" i="43"/>
  <c r="AJ246" i="43" s="1"/>
  <c r="AK246" i="43" s="1"/>
  <c r="AL246" i="43" s="1"/>
  <c r="AM246" i="43" s="1"/>
  <c r="AN246" i="43" s="1"/>
  <c r="AD280" i="259"/>
  <c r="AD181" i="259" s="1"/>
  <c r="AD177" i="43" s="1" a="1"/>
  <c r="AD177" i="43" s="1"/>
  <c r="AD277" i="43" s="1"/>
  <c r="AD283" i="259" l="1"/>
  <c r="AD279" i="43"/>
  <c r="AD275" i="43"/>
  <c r="AD278" i="43"/>
  <c r="AE274" i="43"/>
  <c r="AD280" i="43"/>
  <c r="AD392" i="43"/>
  <c r="AD289" i="259"/>
  <c r="AD278" i="259"/>
  <c r="AE277" i="259"/>
  <c r="AE279" i="259" s="1"/>
  <c r="AD287" i="259" l="1"/>
  <c r="AD190" i="259" s="1"/>
  <c r="AD290" i="259"/>
  <c r="AE139" i="259"/>
  <c r="AE32" i="259" s="1"/>
  <c r="AE39" i="259" s="1"/>
  <c r="AE284" i="259"/>
  <c r="AE144" i="259" s="1"/>
  <c r="AD288" i="259" l="1"/>
  <c r="AD195" i="259" s="1"/>
  <c r="AD227" i="259" s="1"/>
  <c r="AD229" i="259" s="1"/>
  <c r="AD191" i="43" a="1"/>
  <c r="AD191" i="43" s="1"/>
  <c r="AD186" i="43" a="1"/>
  <c r="AD186" i="43" s="1"/>
  <c r="AD193" i="259"/>
  <c r="AD206" i="259"/>
  <c r="AD207" i="259" s="1"/>
  <c r="AD189" i="43" l="1"/>
  <c r="AD203" i="43"/>
  <c r="AD204" i="43" s="1"/>
  <c r="AD284" i="43"/>
  <c r="AD242" i="259"/>
  <c r="AE246" i="259"/>
  <c r="AE247" i="259"/>
  <c r="AD230" i="259"/>
  <c r="AD224" i="43"/>
  <c r="AD226" i="43" s="1"/>
  <c r="AD285" i="43"/>
  <c r="AE116" i="259" l="1"/>
  <c r="AE228" i="259"/>
  <c r="AE143" i="259"/>
  <c r="AD227" i="43"/>
  <c r="AD228" i="43" s="1"/>
  <c r="AD239" i="43"/>
  <c r="AE115" i="259"/>
  <c r="AD286" i="43"/>
  <c r="AD287" i="43" s="1"/>
  <c r="AD288" i="43" l="1"/>
  <c r="AE194" i="259"/>
  <c r="AE161" i="259"/>
  <c r="AE165" i="259" l="1"/>
  <c r="AC119" i="259"/>
  <c r="AC137" i="259" s="1"/>
  <c r="AC197" i="259" s="1"/>
  <c r="AC199" i="259" s="1"/>
  <c r="AC24" i="259" l="1"/>
  <c r="AC122" i="259"/>
  <c r="AC124" i="259" l="1"/>
  <c r="AC135" i="259"/>
  <c r="AC145" i="259" s="1"/>
  <c r="AC149" i="259" s="1"/>
  <c r="AC25" i="259"/>
  <c r="AC150" i="259" l="1"/>
  <c r="AC168" i="259"/>
  <c r="AC174" i="259" s="1"/>
  <c r="AC130" i="259"/>
  <c r="AC202" i="259"/>
  <c r="AC179" i="259" l="1"/>
  <c r="AC186" i="259" s="1"/>
  <c r="AC233" i="259"/>
  <c r="AC235" i="259" s="1"/>
  <c r="AC333" i="259"/>
  <c r="AC339" i="259"/>
  <c r="AC203" i="259"/>
  <c r="AC336" i="259"/>
  <c r="AG131" i="259"/>
  <c r="AC204" i="259" l="1"/>
  <c r="AC334" i="259"/>
  <c r="AC335" i="259"/>
  <c r="AC236" i="259"/>
  <c r="AD245" i="259"/>
  <c r="AC240" i="259"/>
  <c r="AC243" i="259" s="1"/>
  <c r="AC340" i="259"/>
  <c r="AC342" i="259"/>
  <c r="AC344" i="259"/>
  <c r="AD242" i="43" l="1" a="1"/>
  <c r="AD242" i="43" s="1"/>
  <c r="AD114" i="259"/>
  <c r="AD117" i="259" s="1"/>
  <c r="AD248" i="259"/>
  <c r="AD21" i="259" s="1"/>
  <c r="AD22" i="259" s="1"/>
  <c r="AC343" i="259"/>
  <c r="AC345" i="259"/>
  <c r="AC338" i="259"/>
  <c r="AC337" i="259"/>
  <c r="AD118" i="259" l="1"/>
  <c r="AD23" i="259" s="1"/>
  <c r="AD19" i="43" s="1" a="1"/>
  <c r="AD19" i="43" s="1"/>
  <c r="AD118" i="43" s="1"/>
  <c r="AD114" i="43"/>
  <c r="AD117" i="43" s="1"/>
  <c r="AD245" i="43"/>
  <c r="AD17" i="43" s="1"/>
  <c r="AD18" i="43" s="1"/>
  <c r="AD120" i="43" l="1"/>
  <c r="AD152" i="43" a="1"/>
  <c r="AD152" i="43" s="1"/>
  <c r="AD153" i="43" a="1"/>
  <c r="AD153" i="43" s="1"/>
  <c r="AB35" i="259"/>
  <c r="AB159" i="259"/>
  <c r="AB168" i="259"/>
  <c r="AB170" i="259" s="1"/>
  <c r="AB268" i="259"/>
  <c r="AB273" i="259" s="1"/>
  <c r="AB275" i="259"/>
  <c r="AB270" i="259" l="1"/>
  <c r="AD264" i="43"/>
  <c r="AD269" i="43" s="1"/>
  <c r="AD272" i="43"/>
  <c r="C65" i="260"/>
  <c r="AD30" i="43"/>
  <c r="AD157" i="43"/>
  <c r="AD266" i="43" l="1"/>
  <c r="AD270" i="43"/>
  <c r="AE280" i="259"/>
  <c r="AE181" i="259" s="1"/>
  <c r="AE289" i="259" l="1"/>
  <c r="AE287" i="259" s="1"/>
  <c r="AE190" i="259" s="1"/>
  <c r="AE193" i="259" s="1"/>
  <c r="AE278" i="259"/>
  <c r="AE283" i="259"/>
  <c r="AF277" i="259"/>
  <c r="AF279" i="259" s="1"/>
  <c r="AF139" i="259" s="1"/>
  <c r="AF32" i="259" s="1"/>
  <c r="AF39" i="259" s="1"/>
  <c r="AF280" i="259"/>
  <c r="AG277" i="259" s="1"/>
  <c r="AG279" i="259" s="1"/>
  <c r="AE206" i="259" l="1"/>
  <c r="AE207" i="259" s="1"/>
  <c r="AE290" i="259"/>
  <c r="AE288" i="259"/>
  <c r="AE195" i="259" s="1"/>
  <c r="AE227" i="259" s="1"/>
  <c r="AE229" i="259" s="1"/>
  <c r="AF247" i="259" s="1"/>
  <c r="AF284" i="259"/>
  <c r="AF144" i="259" s="1"/>
  <c r="AF283" i="259"/>
  <c r="AG280" i="259"/>
  <c r="AG278" i="259" s="1"/>
  <c r="AF278" i="259"/>
  <c r="AF181" i="259"/>
  <c r="AG139" i="259"/>
  <c r="AG32" i="259" s="1"/>
  <c r="AG39" i="259" s="1"/>
  <c r="AG284" i="259"/>
  <c r="AG144" i="259" s="1"/>
  <c r="AF289" i="259" l="1"/>
  <c r="AF290" i="259" s="1"/>
  <c r="AE242" i="259"/>
  <c r="AE230" i="259"/>
  <c r="AF246" i="259"/>
  <c r="AF115" i="259" s="1"/>
  <c r="AH280" i="259"/>
  <c r="AH277" i="259"/>
  <c r="AH279" i="259" s="1"/>
  <c r="AG181" i="259"/>
  <c r="AG283" i="259"/>
  <c r="AF116" i="259"/>
  <c r="AF228" i="259"/>
  <c r="AF143" i="259"/>
  <c r="AG289" i="259" l="1"/>
  <c r="AF287" i="259"/>
  <c r="AF190" i="259" s="1"/>
  <c r="AF206" i="259" s="1"/>
  <c r="AF207" i="259" s="1"/>
  <c r="AH139" i="259"/>
  <c r="AH284" i="259"/>
  <c r="AH144" i="259" s="1"/>
  <c r="AE144" i="43" s="1" a="1"/>
  <c r="AE144" i="43" s="1"/>
  <c r="AI280" i="259"/>
  <c r="AH181" i="259"/>
  <c r="AE177" i="43" s="1" a="1"/>
  <c r="AE177" i="43" s="1"/>
  <c r="AE277" i="43" s="1"/>
  <c r="AH278" i="259"/>
  <c r="AH283" i="259"/>
  <c r="AI277" i="259"/>
  <c r="AI279" i="259" s="1"/>
  <c r="AF288" i="259"/>
  <c r="AF195" i="259" s="1"/>
  <c r="AF227" i="259" s="1"/>
  <c r="AF229" i="259" s="1"/>
  <c r="AF194" i="259"/>
  <c r="AF161" i="259"/>
  <c r="AG290" i="259"/>
  <c r="AG287" i="259"/>
  <c r="AG190" i="259" s="1"/>
  <c r="AF193" i="259" l="1"/>
  <c r="AH289" i="259"/>
  <c r="AH287" i="259" s="1"/>
  <c r="AH190" i="259" s="1"/>
  <c r="AG288" i="259"/>
  <c r="AG195" i="259" s="1"/>
  <c r="AG227" i="259" s="1"/>
  <c r="AE139" i="43" a="1"/>
  <c r="AE139" i="43" s="1"/>
  <c r="AE27" i="43" s="1"/>
  <c r="AE34" i="43" s="1"/>
  <c r="AH32" i="259"/>
  <c r="AH39" i="259" s="1"/>
  <c r="AE280" i="43"/>
  <c r="AE392" i="43"/>
  <c r="AF274" i="43"/>
  <c r="AE279" i="43"/>
  <c r="AI284" i="259"/>
  <c r="AI144" i="259" s="1"/>
  <c r="AI139" i="259"/>
  <c r="AI32" i="259" s="1"/>
  <c r="AI39" i="259" s="1"/>
  <c r="AI283" i="259"/>
  <c r="AJ277" i="259"/>
  <c r="AJ279" i="259" s="1"/>
  <c r="AI181" i="259"/>
  <c r="AI278" i="259"/>
  <c r="AJ280" i="259"/>
  <c r="AE281" i="43"/>
  <c r="D65" i="260"/>
  <c r="AG193" i="259"/>
  <c r="AG206" i="259"/>
  <c r="AG207" i="259" s="1"/>
  <c r="AF242" i="259"/>
  <c r="AG247" i="259"/>
  <c r="AG246" i="259"/>
  <c r="AF230" i="259"/>
  <c r="AF165" i="259"/>
  <c r="AI289" i="259" l="1"/>
  <c r="AI290" i="259" s="1"/>
  <c r="AH290" i="259"/>
  <c r="D64" i="260"/>
  <c r="AE380" i="43"/>
  <c r="AE276" i="43"/>
  <c r="AE275" i="43" s="1"/>
  <c r="AJ284" i="259"/>
  <c r="AJ144" i="259" s="1"/>
  <c r="AJ139" i="259"/>
  <c r="AJ32" i="259" s="1"/>
  <c r="AJ39" i="259" s="1"/>
  <c r="AH288" i="259"/>
  <c r="AH195" i="259" s="1"/>
  <c r="AE191" i="43" s="1" a="1"/>
  <c r="AE191" i="43" s="1"/>
  <c r="AJ278" i="259"/>
  <c r="AK280" i="259"/>
  <c r="AK277" i="259"/>
  <c r="AK279" i="259" s="1"/>
  <c r="AJ283" i="259"/>
  <c r="AJ181" i="259"/>
  <c r="AG116" i="259"/>
  <c r="AG143" i="259"/>
  <c r="AG228" i="259"/>
  <c r="AI287" i="259"/>
  <c r="AI190" i="259" s="1"/>
  <c r="AG115" i="259"/>
  <c r="AE186" i="43" a="1"/>
  <c r="AE186" i="43" s="1"/>
  <c r="AH193" i="259"/>
  <c r="AH206" i="259"/>
  <c r="AH207" i="259" s="1"/>
  <c r="AE282" i="43" l="1"/>
  <c r="AJ289" i="259"/>
  <c r="AJ290" i="259" s="1"/>
  <c r="AI288" i="259"/>
  <c r="AI195" i="259" s="1"/>
  <c r="AI227" i="259" s="1"/>
  <c r="AE278" i="43"/>
  <c r="AH227" i="259"/>
  <c r="AK139" i="259"/>
  <c r="AK32" i="259" s="1"/>
  <c r="AK39" i="259" s="1"/>
  <c r="AK284" i="259"/>
  <c r="AK144" i="259" s="1"/>
  <c r="AL280" i="259"/>
  <c r="AL277" i="259"/>
  <c r="AL279" i="259" s="1"/>
  <c r="AK181" i="259"/>
  <c r="AK278" i="259"/>
  <c r="AK283" i="259"/>
  <c r="AE224" i="43"/>
  <c r="AE285" i="43"/>
  <c r="AI193" i="259"/>
  <c r="AI206" i="259"/>
  <c r="AI207" i="259" s="1"/>
  <c r="AE203" i="43"/>
  <c r="AE204" i="43" s="1"/>
  <c r="AE189" i="43"/>
  <c r="AE284" i="43"/>
  <c r="AJ287" i="259"/>
  <c r="AJ190" i="259" s="1"/>
  <c r="AG161" i="259"/>
  <c r="AG194" i="259"/>
  <c r="AG229" i="259"/>
  <c r="AK289" i="259" l="1"/>
  <c r="AK287" i="259" s="1"/>
  <c r="AK190" i="259" s="1"/>
  <c r="AJ288" i="259"/>
  <c r="AJ195" i="259" s="1"/>
  <c r="AJ227" i="259" s="1"/>
  <c r="AL139" i="259"/>
  <c r="AL284" i="259"/>
  <c r="AL144" i="259" s="1"/>
  <c r="AF144" i="43" s="1" a="1"/>
  <c r="AF144" i="43" s="1"/>
  <c r="AL278" i="259"/>
  <c r="AL181" i="259"/>
  <c r="AF177" i="43" s="1" a="1"/>
  <c r="AF177" i="43" s="1"/>
  <c r="AF277" i="43" s="1"/>
  <c r="AL283" i="259"/>
  <c r="AG165" i="259"/>
  <c r="AJ193" i="259"/>
  <c r="AJ206" i="259"/>
  <c r="AJ207" i="259" s="1"/>
  <c r="AE286" i="43"/>
  <c r="AE287" i="43" s="1"/>
  <c r="AH246" i="259"/>
  <c r="AG242" i="259"/>
  <c r="AH247" i="259"/>
  <c r="AG230" i="259"/>
  <c r="AK290" i="259" l="1"/>
  <c r="AL289" i="259"/>
  <c r="AF139" i="43" a="1"/>
  <c r="AF139" i="43" s="1"/>
  <c r="AF27" i="43" s="1"/>
  <c r="AF380" i="43" s="1"/>
  <c r="AL32" i="259"/>
  <c r="AL39" i="259" s="1"/>
  <c r="AE288" i="43"/>
  <c r="AF280" i="43"/>
  <c r="AF392" i="43"/>
  <c r="AG277" i="43"/>
  <c r="AF279" i="43"/>
  <c r="AG274" i="43"/>
  <c r="AF281" i="43"/>
  <c r="E65" i="260"/>
  <c r="AH143" i="259"/>
  <c r="AE143" i="43" s="1" a="1"/>
  <c r="AE143" i="43" s="1"/>
  <c r="AH116" i="259"/>
  <c r="AE244" i="43" a="1"/>
  <c r="AE244" i="43" s="1"/>
  <c r="AE116" i="43" s="1"/>
  <c r="AH228" i="259"/>
  <c r="AH115" i="259"/>
  <c r="AE243" i="43" a="1"/>
  <c r="AE243" i="43" s="1"/>
  <c r="AK206" i="259"/>
  <c r="AK207" i="259" s="1"/>
  <c r="AK193" i="259"/>
  <c r="AK288" i="259"/>
  <c r="AK195" i="259" s="1"/>
  <c r="AK227" i="259" s="1"/>
  <c r="AL290" i="259"/>
  <c r="AL287" i="259"/>
  <c r="AL190" i="259" s="1"/>
  <c r="AF34" i="43" l="1"/>
  <c r="E64" i="260"/>
  <c r="AF276" i="43"/>
  <c r="AF278" i="43" s="1"/>
  <c r="AG278" i="43" s="1"/>
  <c r="AH278" i="43" s="1"/>
  <c r="AI278" i="43" s="1"/>
  <c r="AJ278" i="43" s="1"/>
  <c r="AK278" i="43" s="1"/>
  <c r="AL278" i="43" s="1"/>
  <c r="AM278" i="43" s="1"/>
  <c r="AN278" i="43" s="1"/>
  <c r="AH277" i="43"/>
  <c r="AG177" i="43"/>
  <c r="AG280" i="43"/>
  <c r="AH274" i="43"/>
  <c r="AG392" i="43"/>
  <c r="AL288" i="259"/>
  <c r="AL195" i="259" s="1"/>
  <c r="AL227" i="259" s="1"/>
  <c r="AH161" i="259"/>
  <c r="AH194" i="259"/>
  <c r="AH229" i="259"/>
  <c r="AE115" i="43"/>
  <c r="AE246" i="43"/>
  <c r="AF186" i="43" a="1"/>
  <c r="AF186" i="43" s="1"/>
  <c r="AL193" i="259"/>
  <c r="AL206" i="259"/>
  <c r="AL207" i="259" s="1"/>
  <c r="AF275" i="43" l="1"/>
  <c r="AG276" i="43"/>
  <c r="AG281" i="43" s="1"/>
  <c r="AG144" i="43" s="1"/>
  <c r="F65" i="260" s="1"/>
  <c r="AF191" i="43" a="1"/>
  <c r="AF191" i="43" s="1"/>
  <c r="AF285" i="43" s="1"/>
  <c r="AH276" i="43"/>
  <c r="AH139" i="43" s="1"/>
  <c r="AF282" i="43"/>
  <c r="AI274" i="43"/>
  <c r="AI276" i="43" s="1"/>
  <c r="AH392" i="43"/>
  <c r="AH177" i="43"/>
  <c r="AI277" i="43"/>
  <c r="AH280" i="43"/>
  <c r="AF189" i="43"/>
  <c r="AF284" i="43"/>
  <c r="AF203" i="43"/>
  <c r="AF204" i="43" s="1"/>
  <c r="AE190" i="43" a="1"/>
  <c r="AE190" i="43" s="1"/>
  <c r="AH165" i="259"/>
  <c r="AE159" i="43" a="1"/>
  <c r="AE159" i="43" s="1"/>
  <c r="AE163" i="43" s="1"/>
  <c r="AI246" i="259"/>
  <c r="AH242" i="259"/>
  <c r="AI247" i="259"/>
  <c r="AH230" i="259"/>
  <c r="AG275" i="43" l="1"/>
  <c r="AH275" i="43"/>
  <c r="AH281" i="43"/>
  <c r="AH144" i="43" s="1"/>
  <c r="G65" i="260" s="1"/>
  <c r="AG139" i="43"/>
  <c r="F64" i="260" s="1"/>
  <c r="AF224" i="43"/>
  <c r="G64" i="260"/>
  <c r="AI275" i="43"/>
  <c r="AJ277" i="43"/>
  <c r="AI280" i="43"/>
  <c r="AI392" i="43"/>
  <c r="AJ274" i="43"/>
  <c r="AJ276" i="43" s="1"/>
  <c r="AI177" i="43"/>
  <c r="AI281" i="43"/>
  <c r="AI144" i="43" s="1"/>
  <c r="H65" i="260" s="1"/>
  <c r="AI139" i="43"/>
  <c r="AI115" i="259"/>
  <c r="AI116" i="259"/>
  <c r="AI143" i="259"/>
  <c r="AI228" i="259"/>
  <c r="AE225" i="43"/>
  <c r="AE226" i="43" s="1"/>
  <c r="AF286" i="43"/>
  <c r="AF288" i="43" s="1"/>
  <c r="AG288" i="43" s="1"/>
  <c r="AH288" i="43" s="1"/>
  <c r="AI288" i="43" s="1"/>
  <c r="AJ288" i="43" s="1"/>
  <c r="AK288" i="43" s="1"/>
  <c r="AL288" i="43" s="1"/>
  <c r="AM288" i="43" s="1"/>
  <c r="AN288" i="43" s="1"/>
  <c r="AG27" i="43" l="1"/>
  <c r="AG380" i="43" s="1"/>
  <c r="H64" i="260"/>
  <c r="AJ177" i="43"/>
  <c r="AJ275" i="43"/>
  <c r="AJ280" i="43"/>
  <c r="AK274" i="43"/>
  <c r="AK276" i="43" s="1"/>
  <c r="AK277" i="43"/>
  <c r="AJ392" i="43"/>
  <c r="AJ281" i="43"/>
  <c r="AJ144" i="43" s="1"/>
  <c r="I65" i="260" s="1"/>
  <c r="AJ139" i="43"/>
  <c r="AE239" i="43"/>
  <c r="AE227" i="43"/>
  <c r="AE228" i="43" s="1"/>
  <c r="AI194" i="259"/>
  <c r="AI161" i="259"/>
  <c r="AI229" i="259"/>
  <c r="AF287" i="43"/>
  <c r="AG286" i="43"/>
  <c r="AG34" i="43" l="1"/>
  <c r="I64" i="260"/>
  <c r="AK139" i="43"/>
  <c r="AK281" i="43"/>
  <c r="AK144" i="43" s="1"/>
  <c r="J65" i="260" s="1"/>
  <c r="AL274" i="43"/>
  <c r="AL276" i="43" s="1"/>
  <c r="AK392" i="43"/>
  <c r="AL277" i="43"/>
  <c r="AK275" i="43"/>
  <c r="AK177" i="43"/>
  <c r="AK280" i="43"/>
  <c r="AI242" i="259"/>
  <c r="AJ247" i="259"/>
  <c r="AJ246" i="259"/>
  <c r="AI230" i="259"/>
  <c r="AI165" i="259"/>
  <c r="AG287" i="43"/>
  <c r="AG284" i="43"/>
  <c r="AG186" i="43" s="1"/>
  <c r="AH286" i="43"/>
  <c r="AG285" i="43" l="1"/>
  <c r="AG191" i="43" s="1"/>
  <c r="AG224" i="43" s="1"/>
  <c r="J64" i="260"/>
  <c r="AL275" i="43"/>
  <c r="AL392" i="43"/>
  <c r="AL280" i="43"/>
  <c r="AM277" i="43"/>
  <c r="AL177" i="43"/>
  <c r="AM274" i="43"/>
  <c r="AM276" i="43" s="1"/>
  <c r="AL139" i="43"/>
  <c r="AL281" i="43"/>
  <c r="AL144" i="43" s="1"/>
  <c r="K65" i="260" s="1"/>
  <c r="AH287" i="43"/>
  <c r="AH284" i="43"/>
  <c r="AH186" i="43" s="1"/>
  <c r="AI286" i="43"/>
  <c r="AJ116" i="259"/>
  <c r="AJ143" i="259"/>
  <c r="AJ228" i="259"/>
  <c r="AG189" i="43"/>
  <c r="AG203" i="43"/>
  <c r="AG204" i="43" s="1"/>
  <c r="AJ115" i="259"/>
  <c r="K64" i="260" l="1"/>
  <c r="AM280" i="43"/>
  <c r="AM275" i="43"/>
  <c r="AN277" i="43"/>
  <c r="AM392" i="43"/>
  <c r="AM177" i="43"/>
  <c r="AN274" i="43"/>
  <c r="AN276" i="43" s="1"/>
  <c r="AM139" i="43"/>
  <c r="AM281" i="43"/>
  <c r="AM144" i="43" s="1"/>
  <c r="L65" i="260" s="1"/>
  <c r="AI284" i="43"/>
  <c r="AI186" i="43" s="1"/>
  <c r="AI287" i="43"/>
  <c r="AJ286" i="43"/>
  <c r="AJ194" i="259"/>
  <c r="AJ161" i="259"/>
  <c r="AJ229" i="259"/>
  <c r="AH189" i="43"/>
  <c r="AH203" i="43"/>
  <c r="AH204" i="43" s="1"/>
  <c r="AH285" i="43"/>
  <c r="AH191" i="43" s="1"/>
  <c r="AH224" i="43" s="1"/>
  <c r="L64" i="260" l="1"/>
  <c r="AN392" i="43"/>
  <c r="AN280" i="43"/>
  <c r="AN275" i="43"/>
  <c r="AN177" i="43"/>
  <c r="AN281" i="43"/>
  <c r="AN144" i="43" s="1"/>
  <c r="AN139" i="43"/>
  <c r="AJ165" i="259"/>
  <c r="AI203" i="43"/>
  <c r="AI204" i="43" s="1"/>
  <c r="AI189" i="43"/>
  <c r="AI285" i="43"/>
  <c r="AI191" i="43" s="1"/>
  <c r="AI224" i="43" s="1"/>
  <c r="AJ242" i="259"/>
  <c r="AK247" i="259"/>
  <c r="AK246" i="259"/>
  <c r="AJ230" i="259"/>
  <c r="AJ284" i="43"/>
  <c r="AJ186" i="43" s="1"/>
  <c r="AJ287" i="43"/>
  <c r="AK286" i="43"/>
  <c r="M64" i="260" l="1"/>
  <c r="AK115" i="259"/>
  <c r="AJ189" i="43"/>
  <c r="AJ203" i="43"/>
  <c r="AJ204" i="43" s="1"/>
  <c r="AK116" i="259"/>
  <c r="AK143" i="259"/>
  <c r="AK228" i="259"/>
  <c r="AK284" i="43"/>
  <c r="AK186" i="43" s="1"/>
  <c r="AK287" i="43"/>
  <c r="AL286" i="43"/>
  <c r="AJ285" i="43"/>
  <c r="AJ191" i="43" s="1"/>
  <c r="AJ224" i="43" s="1"/>
  <c r="AK285" i="43" l="1"/>
  <c r="AK191" i="43" s="1"/>
  <c r="AK224" i="43" s="1"/>
  <c r="AL287" i="43"/>
  <c r="AL284" i="43"/>
  <c r="AL186" i="43" s="1"/>
  <c r="AM286" i="43"/>
  <c r="AK189" i="43"/>
  <c r="AK203" i="43"/>
  <c r="AK204" i="43" s="1"/>
  <c r="AK161" i="259"/>
  <c r="AK194" i="259"/>
  <c r="AK229" i="259"/>
  <c r="AM287" i="43" l="1"/>
  <c r="AM284" i="43"/>
  <c r="AM186" i="43" s="1"/>
  <c r="AN286" i="43"/>
  <c r="AK165" i="259"/>
  <c r="AL189" i="43"/>
  <c r="AL203" i="43"/>
  <c r="AL204" i="43" s="1"/>
  <c r="AK242" i="259"/>
  <c r="AL246" i="259"/>
  <c r="AL247" i="259"/>
  <c r="AK230" i="259"/>
  <c r="AL285" i="43"/>
  <c r="AL191" i="43" s="1"/>
  <c r="AL224" i="43" s="1"/>
  <c r="AM285" i="43" l="1"/>
  <c r="AM191" i="43" s="1"/>
  <c r="AM224" i="43" s="1"/>
  <c r="AM203" i="43"/>
  <c r="AM204" i="43" s="1"/>
  <c r="AM189" i="43"/>
  <c r="AL143" i="259"/>
  <c r="AL116" i="259"/>
  <c r="AF244" i="43" a="1"/>
  <c r="AF244" i="43" s="1"/>
  <c r="AF116" i="43" s="1"/>
  <c r="AL228" i="259"/>
  <c r="AL115" i="259"/>
  <c r="AF243" i="43" a="1"/>
  <c r="AF243" i="43" s="1"/>
  <c r="AN284" i="43"/>
  <c r="AN186" i="43" s="1"/>
  <c r="AN287" i="43"/>
  <c r="AN285" i="43" l="1"/>
  <c r="AN191" i="43" s="1"/>
  <c r="AN224" i="43" s="1"/>
  <c r="AF115" i="43"/>
  <c r="AF246" i="43"/>
  <c r="AG246" i="43" s="1"/>
  <c r="AL161" i="259"/>
  <c r="AL194" i="259"/>
  <c r="AL229" i="259"/>
  <c r="AN189" i="43"/>
  <c r="AN203" i="43"/>
  <c r="AN204" i="43" s="1"/>
  <c r="AL242" i="259" l="1"/>
  <c r="AL230" i="259"/>
  <c r="AF190" i="43" a="1"/>
  <c r="AF190" i="43" s="1"/>
  <c r="AL165" i="259"/>
  <c r="AF159" i="43" a="1"/>
  <c r="AF159" i="43" s="1"/>
  <c r="AF163" i="43" s="1"/>
  <c r="AF225" i="43" l="1"/>
  <c r="AF226" i="43" l="1"/>
  <c r="AF239" i="43" l="1"/>
  <c r="AF227" i="43"/>
  <c r="AF228" i="43" s="1"/>
  <c r="AG228" i="43" s="1"/>
  <c r="AH228" i="43" s="1"/>
  <c r="AI228" i="43" s="1"/>
  <c r="AJ228" i="43" s="1"/>
  <c r="AK228" i="43" s="1"/>
  <c r="AL228" i="43" s="1"/>
  <c r="AM228" i="43" s="1"/>
  <c r="AN228" i="43" s="1"/>
  <c r="AG243" i="43" l="1"/>
  <c r="AG115" i="43" s="1"/>
  <c r="AG244" i="43"/>
  <c r="AG143" i="43" l="1"/>
  <c r="AG116" i="43"/>
  <c r="AG225" i="43"/>
  <c r="AG190" i="43" l="1"/>
  <c r="AG159" i="43"/>
  <c r="AG163" i="43" s="1"/>
  <c r="AG226" i="43"/>
  <c r="AG239" i="43" l="1"/>
  <c r="AH243" i="43"/>
  <c r="AH115" i="43" s="1"/>
  <c r="AH244" i="43"/>
  <c r="AG227" i="43"/>
  <c r="AH143" i="43" l="1"/>
  <c r="AH116" i="43"/>
  <c r="AH225" i="43"/>
  <c r="AH159" i="43" l="1"/>
  <c r="AH163" i="43" s="1"/>
  <c r="AH190" i="43"/>
  <c r="AH226" i="43"/>
  <c r="AI244" i="43" l="1"/>
  <c r="AI243" i="43"/>
  <c r="AI115" i="43" s="1"/>
  <c r="AH227" i="43"/>
  <c r="AI116" i="43" l="1"/>
  <c r="AI143" i="43"/>
  <c r="AI225" i="43"/>
  <c r="AI159" i="43" l="1"/>
  <c r="AI163" i="43" s="1"/>
  <c r="AI190" i="43"/>
  <c r="AI226" i="43"/>
  <c r="AJ243" i="43" l="1"/>
  <c r="AJ115" i="43" s="1"/>
  <c r="AJ244" i="43"/>
  <c r="AI227" i="43"/>
  <c r="AJ116" i="43" l="1"/>
  <c r="AJ143" i="43"/>
  <c r="AJ225" i="43"/>
  <c r="AJ159" i="43" l="1"/>
  <c r="AJ163" i="43" s="1"/>
  <c r="AJ190" i="43"/>
  <c r="AJ226" i="43"/>
  <c r="AK243" i="43" l="1"/>
  <c r="AK115" i="43" s="1"/>
  <c r="AK244" i="43"/>
  <c r="AJ227" i="43"/>
  <c r="AK116" i="43" l="1"/>
  <c r="AK143" i="43"/>
  <c r="AK225" i="43"/>
  <c r="AK190" i="43" l="1"/>
  <c r="AK159" i="43"/>
  <c r="AK163" i="43" s="1"/>
  <c r="AK226" i="43"/>
  <c r="AL243" i="43" l="1"/>
  <c r="AL115" i="43" s="1"/>
  <c r="AL244" i="43"/>
  <c r="AK227" i="43"/>
  <c r="AL116" i="43" l="1"/>
  <c r="AL143" i="43"/>
  <c r="AL225" i="43"/>
  <c r="AL190" i="43" l="1"/>
  <c r="AL159" i="43"/>
  <c r="AL163" i="43" s="1"/>
  <c r="AL226" i="43"/>
  <c r="AM243" i="43" l="1"/>
  <c r="AM115" i="43" s="1"/>
  <c r="AM244" i="43"/>
  <c r="AL227" i="43"/>
  <c r="AM116" i="43" l="1"/>
  <c r="AM143" i="43"/>
  <c r="AM225" i="43"/>
  <c r="AM159" i="43" l="1"/>
  <c r="AM163" i="43" s="1"/>
  <c r="AM190" i="43"/>
  <c r="AM226" i="43"/>
  <c r="L76" i="260" s="1"/>
  <c r="AN243" i="43" l="1"/>
  <c r="AN115" i="43" s="1"/>
  <c r="AN244" i="43"/>
  <c r="AM227" i="43"/>
  <c r="AN116" i="43" l="1"/>
  <c r="AN143" i="43"/>
  <c r="AN225" i="43"/>
  <c r="AN159" i="43" l="1"/>
  <c r="AN163" i="43" s="1"/>
  <c r="AN190" i="43"/>
  <c r="AN226" i="43"/>
  <c r="AN227" i="43" l="1"/>
  <c r="AF143" i="43" a="1"/>
  <c r="AF143" i="43" s="1"/>
  <c r="AH12" i="43" l="1"/>
  <c r="AH138" i="43" s="1"/>
  <c r="AH14" i="43" l="1"/>
  <c r="AH109" i="43"/>
  <c r="AH110" i="43" s="1"/>
  <c r="AI12" i="43" l="1"/>
  <c r="AI109" i="43" s="1"/>
  <c r="AI110" i="43" s="1"/>
  <c r="AH113" i="43"/>
  <c r="G57" i="260"/>
  <c r="AH238" i="43"/>
  <c r="AI14" i="43"/>
  <c r="AI138" i="43"/>
  <c r="AH16" i="43"/>
  <c r="AH26" i="43"/>
  <c r="AH27" i="43"/>
  <c r="AJ12" i="43"/>
  <c r="AI27" i="43" l="1"/>
  <c r="AI16" i="43"/>
  <c r="AI26" i="43"/>
  <c r="AH239" i="43"/>
  <c r="G59" i="260"/>
  <c r="G58" i="260"/>
  <c r="AJ14" i="43"/>
  <c r="AJ109" i="43"/>
  <c r="AJ110" i="43" s="1"/>
  <c r="AJ138" i="43"/>
  <c r="AK12" i="43"/>
  <c r="AH34" i="43"/>
  <c r="AH380" i="43"/>
  <c r="H57" i="260"/>
  <c r="H58" i="260" s="1"/>
  <c r="AI113" i="43"/>
  <c r="AI238" i="43"/>
  <c r="G61" i="260"/>
  <c r="AH351" i="43"/>
  <c r="AH350" i="43"/>
  <c r="H61" i="260" l="1"/>
  <c r="AI350" i="43"/>
  <c r="AI351" i="43"/>
  <c r="H59" i="260"/>
  <c r="AL12" i="43"/>
  <c r="AJ113" i="43"/>
  <c r="I57" i="260"/>
  <c r="AJ238" i="43"/>
  <c r="AI239" i="43"/>
  <c r="AK14" i="43"/>
  <c r="AK109" i="43"/>
  <c r="AK110" i="43" s="1"/>
  <c r="AK138" i="43"/>
  <c r="AJ27" i="43"/>
  <c r="AJ16" i="43"/>
  <c r="AJ26" i="43"/>
  <c r="AI34" i="43"/>
  <c r="AI380" i="43"/>
  <c r="AJ239" i="43" l="1"/>
  <c r="AJ34" i="43"/>
  <c r="AJ380" i="43"/>
  <c r="AK27" i="43"/>
  <c r="AK16" i="43"/>
  <c r="AK26" i="43"/>
  <c r="I59" i="260"/>
  <c r="I61" i="260"/>
  <c r="AJ351" i="43"/>
  <c r="AJ350" i="43"/>
  <c r="I58" i="260"/>
  <c r="AK113" i="43"/>
  <c r="J57" i="260"/>
  <c r="J58" i="260" s="1"/>
  <c r="AK238" i="43"/>
  <c r="AM12" i="43"/>
  <c r="AL14" i="43"/>
  <c r="AL109" i="43"/>
  <c r="AL110" i="43" s="1"/>
  <c r="AL138" i="43"/>
  <c r="AL113" i="43" l="1"/>
  <c r="K57" i="260"/>
  <c r="AL238" i="43"/>
  <c r="AN12" i="43"/>
  <c r="AK34" i="43"/>
  <c r="AK380" i="43"/>
  <c r="AL16" i="43"/>
  <c r="AL26" i="43"/>
  <c r="AL27" i="43"/>
  <c r="AK239" i="43"/>
  <c r="J59" i="260"/>
  <c r="AM14" i="43"/>
  <c r="AM109" i="43"/>
  <c r="AM110" i="43" s="1"/>
  <c r="AM138" i="43"/>
  <c r="J61" i="260"/>
  <c r="AK350" i="43"/>
  <c r="AK351" i="43"/>
  <c r="AM27" i="43" l="1"/>
  <c r="AM16" i="43"/>
  <c r="AM26" i="43"/>
  <c r="AL239" i="43"/>
  <c r="K59" i="260"/>
  <c r="K58" i="260"/>
  <c r="AL34" i="43"/>
  <c r="AL380" i="43"/>
  <c r="L57" i="260"/>
  <c r="L58" i="260" s="1"/>
  <c r="AM113" i="43"/>
  <c r="AM238" i="43"/>
  <c r="AN14" i="43"/>
  <c r="AN109" i="43"/>
  <c r="AN110" i="43" s="1"/>
  <c r="AN138" i="43"/>
  <c r="K61" i="260"/>
  <c r="AL351" i="43"/>
  <c r="AL350" i="43"/>
  <c r="AN113" i="43" l="1"/>
  <c r="AN238" i="43"/>
  <c r="AN27" i="43"/>
  <c r="AN16" i="43"/>
  <c r="AN26" i="43"/>
  <c r="AM239" i="43"/>
  <c r="K26" i="260" s="1"/>
  <c r="L61" i="260"/>
  <c r="AM350" i="43"/>
  <c r="AM351" i="43"/>
  <c r="M57" i="260"/>
  <c r="M59" i="260" s="1"/>
  <c r="L59" i="260"/>
  <c r="AM34" i="43"/>
  <c r="AM380" i="43"/>
  <c r="M58" i="260" l="1"/>
  <c r="AN34" i="43"/>
  <c r="AN380" i="43"/>
  <c r="AN239" i="43"/>
  <c r="M61" i="260"/>
  <c r="AN351" i="43"/>
  <c r="AN350" i="43"/>
  <c r="E11" i="260"/>
  <c r="M17" i="260"/>
  <c r="I23" i="260"/>
  <c r="J41" i="260"/>
  <c r="K41" i="260"/>
  <c r="L41" i="260"/>
  <c r="C53" i="260"/>
  <c r="D53" i="260"/>
  <c r="E53" i="260"/>
  <c r="F53" i="260"/>
  <c r="G53" i="260"/>
  <c r="H53" i="260"/>
  <c r="I53" i="260"/>
  <c r="J53" i="260"/>
  <c r="K53" i="260"/>
  <c r="L53" i="260"/>
  <c r="M53" i="260"/>
  <c r="D54" i="260"/>
  <c r="E54" i="260"/>
  <c r="F54" i="260"/>
  <c r="G54" i="260"/>
  <c r="H54" i="260"/>
  <c r="I54" i="260"/>
  <c r="J54" i="260"/>
  <c r="K54" i="260"/>
  <c r="L54" i="260"/>
  <c r="M54" i="260"/>
  <c r="C62" i="260"/>
  <c r="D62" i="260"/>
  <c r="E62" i="260"/>
  <c r="F62" i="260"/>
  <c r="G62" i="260"/>
  <c r="H62" i="260"/>
  <c r="I62" i="260"/>
  <c r="J62" i="260"/>
  <c r="K62" i="260"/>
  <c r="L62" i="260"/>
  <c r="M62" i="260"/>
  <c r="C63" i="260"/>
  <c r="D63" i="260"/>
  <c r="E63" i="260"/>
  <c r="F63" i="260"/>
  <c r="G63" i="260"/>
  <c r="H63" i="260"/>
  <c r="I63" i="260"/>
  <c r="J63" i="260"/>
  <c r="K63" i="260"/>
  <c r="L63" i="260"/>
  <c r="M63" i="260"/>
  <c r="M65" i="260"/>
  <c r="C67" i="260"/>
  <c r="D67" i="260"/>
  <c r="E67" i="260"/>
  <c r="F67" i="260"/>
  <c r="G67" i="260"/>
  <c r="H67" i="260"/>
  <c r="I67" i="260"/>
  <c r="J67" i="260"/>
  <c r="K67" i="260"/>
  <c r="L67" i="260"/>
  <c r="M67" i="260"/>
  <c r="C68" i="260"/>
  <c r="D68" i="260"/>
  <c r="E68" i="260"/>
  <c r="F68" i="260"/>
  <c r="G68" i="260"/>
  <c r="H68" i="260"/>
  <c r="I68" i="260"/>
  <c r="J68" i="260"/>
  <c r="K68" i="260"/>
  <c r="L68" i="260"/>
  <c r="M68" i="260"/>
  <c r="D69" i="260"/>
  <c r="E69" i="260"/>
  <c r="F69" i="260"/>
  <c r="G69" i="260"/>
  <c r="H69" i="260"/>
  <c r="I69" i="260"/>
  <c r="J69" i="260"/>
  <c r="K69" i="260"/>
  <c r="L69" i="260"/>
  <c r="M69" i="260"/>
  <c r="C71" i="260"/>
  <c r="D71" i="260"/>
  <c r="E71" i="260"/>
  <c r="F71" i="260"/>
  <c r="G71" i="260"/>
  <c r="H71" i="260"/>
  <c r="I71" i="260"/>
  <c r="J71" i="260"/>
  <c r="K71" i="260"/>
  <c r="L71" i="260"/>
  <c r="C73" i="260"/>
  <c r="D73" i="260"/>
  <c r="E73" i="260"/>
  <c r="F73" i="260"/>
  <c r="G73" i="260"/>
  <c r="H73" i="260"/>
  <c r="I73" i="260"/>
  <c r="J73" i="260"/>
  <c r="K73" i="260"/>
  <c r="L73" i="260"/>
  <c r="C75" i="260"/>
  <c r="L75" i="260"/>
  <c r="L79" i="260"/>
  <c r="C80" i="260"/>
  <c r="L80" i="260"/>
  <c r="L81" i="260"/>
  <c r="C82" i="260"/>
  <c r="L82" i="260"/>
  <c r="L83" i="260"/>
  <c r="L84" i="260"/>
  <c r="E1" i="43"/>
  <c r="AE17" i="43"/>
  <c r="AF17" i="43"/>
  <c r="AG17" i="43"/>
  <c r="AH17" i="43"/>
  <c r="AI17" i="43"/>
  <c r="AJ17" i="43"/>
  <c r="AK17" i="43"/>
  <c r="AL17" i="43"/>
  <c r="AM17" i="43"/>
  <c r="AN17" i="43"/>
  <c r="AE18" i="43"/>
  <c r="AF18" i="43"/>
  <c r="AG18" i="43"/>
  <c r="AH18" i="43"/>
  <c r="AI18" i="43"/>
  <c r="AJ18" i="43"/>
  <c r="AK18" i="43"/>
  <c r="AL18" i="43"/>
  <c r="AM18" i="43"/>
  <c r="AN18" i="43"/>
  <c r="AE19" i="43" a="1"/>
  <c r="AE19" i="43"/>
  <c r="AF19" i="43" a="1"/>
  <c r="AF19" i="43"/>
  <c r="AG19" i="43"/>
  <c r="AH19" i="43"/>
  <c r="AI19" i="43"/>
  <c r="AJ19" i="43"/>
  <c r="AK19" i="43"/>
  <c r="AL19" i="43"/>
  <c r="AM19" i="43"/>
  <c r="AN19" i="43"/>
  <c r="AD20" i="43" a="1"/>
  <c r="AD20" i="43"/>
  <c r="AE20" i="43" a="1"/>
  <c r="AE20" i="43"/>
  <c r="AF20" i="43" a="1"/>
  <c r="AF20" i="43"/>
  <c r="AG20" i="43"/>
  <c r="AH20" i="43"/>
  <c r="AI20" i="43"/>
  <c r="AJ20" i="43"/>
  <c r="AK20" i="43"/>
  <c r="AL20" i="43"/>
  <c r="AM20" i="43"/>
  <c r="AN20" i="43"/>
  <c r="AD21" i="43"/>
  <c r="AE21" i="43"/>
  <c r="AF21" i="43"/>
  <c r="AG21" i="43"/>
  <c r="AH21" i="43"/>
  <c r="AI21" i="43"/>
  <c r="AJ21" i="43"/>
  <c r="AK21" i="43"/>
  <c r="AL21" i="43"/>
  <c r="AM21" i="43"/>
  <c r="AN21" i="43"/>
  <c r="AE114" i="43"/>
  <c r="AF114" i="43"/>
  <c r="AG114" i="43"/>
  <c r="AH114" i="43"/>
  <c r="AI114" i="43"/>
  <c r="AJ114" i="43"/>
  <c r="AK114" i="43"/>
  <c r="AL114" i="43"/>
  <c r="AM114" i="43"/>
  <c r="AN114" i="43"/>
  <c r="AE117" i="43"/>
  <c r="AF117" i="43"/>
  <c r="AG117" i="43"/>
  <c r="AH117" i="43"/>
  <c r="AI117" i="43"/>
  <c r="AJ117" i="43"/>
  <c r="AK117" i="43"/>
  <c r="AL117" i="43"/>
  <c r="AM117" i="43"/>
  <c r="AN117" i="43"/>
  <c r="AE118" i="43"/>
  <c r="AF118" i="43"/>
  <c r="AG118" i="43"/>
  <c r="AH118" i="43"/>
  <c r="AI118" i="43"/>
  <c r="AJ118" i="43"/>
  <c r="AK118" i="43"/>
  <c r="AL118" i="43"/>
  <c r="AM118" i="43"/>
  <c r="AN118" i="43"/>
  <c r="AD119" i="43"/>
  <c r="AE119" i="43"/>
  <c r="AF119" i="43"/>
  <c r="AG119" i="43"/>
  <c r="AH119" i="43"/>
  <c r="AI119" i="43"/>
  <c r="AJ119" i="43"/>
  <c r="AK119" i="43"/>
  <c r="AL119" i="43"/>
  <c r="AM119" i="43"/>
  <c r="AN119" i="43"/>
  <c r="AE120" i="43"/>
  <c r="AF120" i="43"/>
  <c r="AG120" i="43"/>
  <c r="AH120" i="43"/>
  <c r="AI120" i="43"/>
  <c r="AJ120" i="43"/>
  <c r="AK120" i="43"/>
  <c r="AL120" i="43"/>
  <c r="AM120" i="43"/>
  <c r="AN120" i="43"/>
  <c r="AD121" i="43"/>
  <c r="AE121" i="43"/>
  <c r="AF121" i="43"/>
  <c r="AG121" i="43"/>
  <c r="AH121" i="43"/>
  <c r="AI121" i="43"/>
  <c r="AJ121" i="43"/>
  <c r="AK121" i="43"/>
  <c r="AL121" i="43"/>
  <c r="AM121" i="43"/>
  <c r="AN121" i="43"/>
  <c r="AD122" i="43"/>
  <c r="AE122" i="43"/>
  <c r="AF122" i="43"/>
  <c r="AG122" i="43"/>
  <c r="AH122" i="43"/>
  <c r="AI122" i="43"/>
  <c r="AJ122" i="43"/>
  <c r="AK122" i="43"/>
  <c r="AL122" i="43"/>
  <c r="AM122" i="43"/>
  <c r="AN122" i="43"/>
  <c r="AD124" i="43"/>
  <c r="AE124" i="43"/>
  <c r="AF124" i="43"/>
  <c r="AG124" i="43"/>
  <c r="AH124" i="43"/>
  <c r="AI124" i="43"/>
  <c r="AJ124" i="43"/>
  <c r="AK124" i="43"/>
  <c r="AL124" i="43"/>
  <c r="AM124" i="43"/>
  <c r="AN124" i="43"/>
  <c r="AG126" i="43"/>
  <c r="AH126" i="43"/>
  <c r="AI126" i="43"/>
  <c r="AJ126" i="43"/>
  <c r="AK126" i="43"/>
  <c r="AL126" i="43"/>
  <c r="AM126" i="43"/>
  <c r="AN126" i="43"/>
  <c r="AG127" i="43"/>
  <c r="AH127" i="43"/>
  <c r="AI127" i="43"/>
  <c r="AJ127" i="43"/>
  <c r="AK127" i="43"/>
  <c r="AL127" i="43"/>
  <c r="AM127" i="43"/>
  <c r="AN127" i="43"/>
  <c r="AG129" i="43"/>
  <c r="AH129" i="43"/>
  <c r="AI129" i="43"/>
  <c r="AJ129" i="43"/>
  <c r="AK129" i="43"/>
  <c r="AL129" i="43"/>
  <c r="AM129" i="43"/>
  <c r="AN129" i="43"/>
  <c r="AD130" i="43"/>
  <c r="AE130" i="43"/>
  <c r="AF130" i="43"/>
  <c r="AG130" i="43"/>
  <c r="AH130" i="43"/>
  <c r="AI130" i="43"/>
  <c r="AJ130" i="43"/>
  <c r="AK130" i="43"/>
  <c r="AL130" i="43"/>
  <c r="AM130" i="43"/>
  <c r="AN130" i="43"/>
  <c r="AD131" i="43"/>
  <c r="AE131" i="43"/>
  <c r="AF131" i="43"/>
  <c r="AG131" i="43"/>
  <c r="AH131" i="43"/>
  <c r="AI131" i="43"/>
  <c r="AJ131" i="43"/>
  <c r="AK131" i="43"/>
  <c r="AL131" i="43"/>
  <c r="AM131" i="43"/>
  <c r="AN131" i="43"/>
  <c r="AD135" i="43"/>
  <c r="AE135" i="43"/>
  <c r="AF135" i="43"/>
  <c r="AG135" i="43"/>
  <c r="AH135" i="43"/>
  <c r="AI135" i="43"/>
  <c r="AJ135" i="43"/>
  <c r="AK135" i="43"/>
  <c r="AL135" i="43"/>
  <c r="AM135" i="43"/>
  <c r="AN135" i="43"/>
  <c r="AD137" i="43"/>
  <c r="AE137" i="43"/>
  <c r="AF137" i="43"/>
  <c r="AG137" i="43"/>
  <c r="AH137" i="43"/>
  <c r="AI137" i="43"/>
  <c r="AJ137" i="43"/>
  <c r="AK137" i="43"/>
  <c r="AL137" i="43"/>
  <c r="AM137" i="43"/>
  <c r="AN137" i="43"/>
  <c r="AD145" i="43"/>
  <c r="AE145" i="43"/>
  <c r="AF145" i="43"/>
  <c r="AG145" i="43"/>
  <c r="AH145" i="43"/>
  <c r="AI145" i="43"/>
  <c r="AJ145" i="43"/>
  <c r="AK145" i="43"/>
  <c r="AL145" i="43"/>
  <c r="AM145" i="43"/>
  <c r="AN145" i="43"/>
  <c r="AD149" i="43"/>
  <c r="AE149" i="43"/>
  <c r="AF149" i="43"/>
  <c r="AG149" i="43"/>
  <c r="AH149" i="43"/>
  <c r="AI149" i="43"/>
  <c r="AJ149" i="43"/>
  <c r="AK149" i="43"/>
  <c r="AL149" i="43"/>
  <c r="AM149" i="43"/>
  <c r="AN149" i="43"/>
  <c r="AD150" i="43"/>
  <c r="AE150" i="43"/>
  <c r="AF150" i="43"/>
  <c r="AG150" i="43"/>
  <c r="AH150" i="43"/>
  <c r="AI150" i="43"/>
  <c r="AJ150" i="43"/>
  <c r="AK150" i="43"/>
  <c r="AL150" i="43"/>
  <c r="AM150" i="43"/>
  <c r="AN150" i="43"/>
  <c r="AD166" i="43"/>
  <c r="AE166" i="43"/>
  <c r="AF166" i="43"/>
  <c r="AG166" i="43"/>
  <c r="AH166" i="43"/>
  <c r="AI166" i="43"/>
  <c r="AJ166" i="43"/>
  <c r="AK166" i="43"/>
  <c r="AL166" i="43"/>
  <c r="AM166" i="43"/>
  <c r="AN166" i="43"/>
  <c r="AD170" i="43" a="1"/>
  <c r="AD170" i="43"/>
  <c r="AE170" i="43" a="1"/>
  <c r="AE170" i="43"/>
  <c r="AF170" i="43" a="1"/>
  <c r="AF170" i="43"/>
  <c r="AG170" i="43"/>
  <c r="AH170" i="43"/>
  <c r="AI170" i="43"/>
  <c r="AJ170" i="43"/>
  <c r="AK170" i="43"/>
  <c r="AL170" i="43"/>
  <c r="AM170" i="43"/>
  <c r="AN170" i="43"/>
  <c r="AD175" i="43"/>
  <c r="AE175" i="43"/>
  <c r="AF175" i="43"/>
  <c r="AG175" i="43"/>
  <c r="AH175" i="43"/>
  <c r="AI175" i="43"/>
  <c r="AJ175" i="43"/>
  <c r="AK175" i="43"/>
  <c r="AL175" i="43"/>
  <c r="AM175" i="43"/>
  <c r="AN175" i="43"/>
  <c r="AD182" i="43"/>
  <c r="AE182" i="43"/>
  <c r="AF182" i="43"/>
  <c r="AG182" i="43"/>
  <c r="AH182" i="43"/>
  <c r="AI182" i="43"/>
  <c r="AJ182" i="43"/>
  <c r="AK182" i="43"/>
  <c r="AL182" i="43"/>
  <c r="AM182" i="43"/>
  <c r="AN182" i="43"/>
  <c r="AD193" i="43" a="1"/>
  <c r="AD193" i="43"/>
  <c r="AE193" i="43" a="1"/>
  <c r="AE193" i="43"/>
  <c r="AF193" i="43" a="1"/>
  <c r="AF193" i="43"/>
  <c r="AG193" i="43"/>
  <c r="AH193" i="43"/>
  <c r="AI193" i="43"/>
  <c r="AJ193" i="43"/>
  <c r="AK193" i="43"/>
  <c r="AL193" i="43"/>
  <c r="AM193" i="43"/>
  <c r="AN193" i="43"/>
  <c r="AD195" i="43"/>
  <c r="AE195" i="43"/>
  <c r="AF195" i="43"/>
  <c r="AG195" i="43"/>
  <c r="AH195" i="43"/>
  <c r="AI195" i="43"/>
  <c r="AJ195" i="43"/>
  <c r="AK195" i="43"/>
  <c r="AL195" i="43"/>
  <c r="AM195" i="43"/>
  <c r="AN195" i="43"/>
  <c r="AD198" i="43" a="1"/>
  <c r="AD198" i="43"/>
  <c r="AE198" i="43" a="1"/>
  <c r="AE198" i="43"/>
  <c r="AF198" i="43" a="1"/>
  <c r="AF198" i="43"/>
  <c r="AG198" i="43"/>
  <c r="AH198" i="43"/>
  <c r="AI198" i="43"/>
  <c r="AJ198" i="43"/>
  <c r="AK198" i="43"/>
  <c r="AL198" i="43"/>
  <c r="AM198" i="43"/>
  <c r="AN198" i="43"/>
  <c r="AD200" i="43"/>
  <c r="AE200" i="43"/>
  <c r="AF200" i="43"/>
  <c r="AG200" i="43"/>
  <c r="AH200" i="43"/>
  <c r="AI200" i="43"/>
  <c r="AJ200" i="43"/>
  <c r="AK200" i="43"/>
  <c r="AL200" i="43"/>
  <c r="AM200" i="43"/>
  <c r="AN200" i="43"/>
  <c r="AD201" i="43"/>
  <c r="AE201" i="43"/>
  <c r="AF201" i="43"/>
  <c r="AG201" i="43"/>
  <c r="AH201" i="43"/>
  <c r="AI201" i="43"/>
  <c r="AJ201" i="43"/>
  <c r="AK201" i="43"/>
  <c r="AL201" i="43"/>
  <c r="AM201" i="43"/>
  <c r="AN201" i="43"/>
  <c r="AH214" i="43"/>
  <c r="AI214" i="43"/>
  <c r="AJ214" i="43"/>
  <c r="AK214" i="43"/>
  <c r="AL214" i="43"/>
  <c r="AM214" i="43"/>
  <c r="AN214" i="43"/>
  <c r="AG215" i="43"/>
  <c r="AH215" i="43"/>
  <c r="AI215" i="43"/>
  <c r="AJ215" i="43"/>
  <c r="AK215" i="43"/>
  <c r="AL215" i="43"/>
  <c r="AM215" i="43"/>
  <c r="AN215" i="43"/>
  <c r="AG216" i="43"/>
  <c r="AH216" i="43"/>
  <c r="AI216" i="43"/>
  <c r="AJ216" i="43"/>
  <c r="AK216" i="43"/>
  <c r="AL216" i="43"/>
  <c r="AM216" i="43"/>
  <c r="AN216" i="43"/>
  <c r="AG218" i="43"/>
  <c r="AH218" i="43"/>
  <c r="AI218" i="43"/>
  <c r="AJ218" i="43"/>
  <c r="AK218" i="43"/>
  <c r="AL218" i="43"/>
  <c r="AM218" i="43"/>
  <c r="AN218" i="43"/>
  <c r="AG219" i="43"/>
  <c r="AH219" i="43"/>
  <c r="AI219" i="43"/>
  <c r="AJ219" i="43"/>
  <c r="AK219" i="43"/>
  <c r="AL219" i="43"/>
  <c r="AM219" i="43"/>
  <c r="AD230" i="43"/>
  <c r="AE230" i="43"/>
  <c r="AF230" i="43"/>
  <c r="AG230" i="43"/>
  <c r="AH230" i="43"/>
  <c r="AI230" i="43"/>
  <c r="AJ230" i="43"/>
  <c r="AK230" i="43"/>
  <c r="AL230" i="43"/>
  <c r="AM230" i="43"/>
  <c r="AN230" i="43"/>
  <c r="AD232" i="43"/>
  <c r="AE232" i="43"/>
  <c r="AF232" i="43"/>
  <c r="AG232" i="43"/>
  <c r="AH232" i="43"/>
  <c r="AI232" i="43"/>
  <c r="AJ232" i="43"/>
  <c r="AK232" i="43"/>
  <c r="AL232" i="43"/>
  <c r="AM232" i="43"/>
  <c r="AN232" i="43"/>
  <c r="AD233" i="43"/>
  <c r="AE233" i="43"/>
  <c r="AF233" i="43"/>
  <c r="AG233" i="43"/>
  <c r="AH233" i="43"/>
  <c r="AI233" i="43"/>
  <c r="AJ233" i="43"/>
  <c r="AK233" i="43"/>
  <c r="AL233" i="43"/>
  <c r="AM233" i="43"/>
  <c r="AN233" i="43"/>
  <c r="AD234" i="43"/>
  <c r="AE234" i="43"/>
  <c r="AF234" i="43"/>
  <c r="AG234" i="43"/>
  <c r="AH234" i="43"/>
  <c r="AI234" i="43"/>
  <c r="AJ234" i="43"/>
  <c r="AK234" i="43"/>
  <c r="AL234" i="43"/>
  <c r="AM234" i="43"/>
  <c r="AN234" i="43"/>
  <c r="AD235" i="43"/>
  <c r="AE235" i="43"/>
  <c r="AF235" i="43"/>
  <c r="AG235" i="43"/>
  <c r="AH235" i="43"/>
  <c r="AI235" i="43"/>
  <c r="AJ235" i="43"/>
  <c r="AK235" i="43"/>
  <c r="AL235" i="43"/>
  <c r="AM235" i="43"/>
  <c r="AN235" i="43"/>
  <c r="AD237" i="43"/>
  <c r="AE237" i="43"/>
  <c r="AF237" i="43"/>
  <c r="AG237" i="43"/>
  <c r="AH237" i="43"/>
  <c r="AI237" i="43"/>
  <c r="AJ237" i="43"/>
  <c r="AK237" i="43"/>
  <c r="AL237" i="43"/>
  <c r="AM237" i="43"/>
  <c r="AN237" i="43"/>
  <c r="AD240" i="43"/>
  <c r="AE240" i="43"/>
  <c r="AF240" i="43"/>
  <c r="AG240" i="43"/>
  <c r="AH240" i="43"/>
  <c r="AI240" i="43"/>
  <c r="AJ240" i="43"/>
  <c r="AK240" i="43"/>
  <c r="AL240" i="43"/>
  <c r="AM240" i="43"/>
  <c r="AN240" i="43"/>
  <c r="AE242" i="43" a="1"/>
  <c r="AE242" i="43"/>
  <c r="AF242" i="43" a="1"/>
  <c r="AF242" i="43"/>
  <c r="AG242" i="43"/>
  <c r="AH242" i="43"/>
  <c r="AI242" i="43"/>
  <c r="AJ242" i="43"/>
  <c r="AK242" i="43"/>
  <c r="AL242" i="43"/>
  <c r="AM242" i="43"/>
  <c r="AN242" i="43"/>
  <c r="AE245" i="43"/>
  <c r="AF245" i="43"/>
  <c r="AG245" i="43"/>
  <c r="AH245" i="43"/>
  <c r="AI245" i="43"/>
  <c r="AJ245" i="43"/>
  <c r="AK245" i="43"/>
  <c r="AL245" i="43"/>
  <c r="AM245" i="43"/>
  <c r="AN245" i="43"/>
  <c r="AD330" i="43"/>
  <c r="AE330" i="43"/>
  <c r="AF330" i="43"/>
  <c r="AG330" i="43"/>
  <c r="AH330" i="43"/>
  <c r="AI330" i="43"/>
  <c r="AJ330" i="43"/>
  <c r="AK330" i="43"/>
  <c r="AL330" i="43"/>
  <c r="AM330" i="43"/>
  <c r="AN330" i="43"/>
  <c r="AD331" i="43"/>
  <c r="AE331" i="43"/>
  <c r="AF331" i="43"/>
  <c r="AG331" i="43"/>
  <c r="AH331" i="43"/>
  <c r="AI331" i="43"/>
  <c r="AJ331" i="43"/>
  <c r="AK331" i="43"/>
  <c r="AL331" i="43"/>
  <c r="AM331" i="43"/>
  <c r="AN331" i="43"/>
  <c r="AD332" i="43"/>
  <c r="AE332" i="43"/>
  <c r="AF332" i="43"/>
  <c r="AG332" i="43"/>
  <c r="AH332" i="43"/>
  <c r="AI332" i="43"/>
  <c r="AJ332" i="43"/>
  <c r="AK332" i="43"/>
  <c r="AL332" i="43"/>
  <c r="AM332" i="43"/>
  <c r="AN332" i="43"/>
  <c r="AD333" i="43"/>
  <c r="AE333" i="43"/>
  <c r="AF333" i="43"/>
  <c r="AG333" i="43"/>
  <c r="AH333" i="43"/>
  <c r="AI333" i="43"/>
  <c r="AJ333" i="43"/>
  <c r="AK333" i="43"/>
  <c r="AL333" i="43"/>
  <c r="AM333" i="43"/>
  <c r="AN333" i="43"/>
  <c r="AD334" i="43"/>
  <c r="AE334" i="43"/>
  <c r="AF334" i="43"/>
  <c r="AG334" i="43"/>
  <c r="AH334" i="43"/>
  <c r="AI334" i="43"/>
  <c r="AJ334" i="43"/>
  <c r="AK334" i="43"/>
  <c r="AL334" i="43"/>
  <c r="AM334" i="43"/>
  <c r="AN334" i="43"/>
  <c r="AD335" i="43"/>
  <c r="AE335" i="43"/>
  <c r="AF335" i="43"/>
  <c r="AG335" i="43"/>
  <c r="AH335" i="43"/>
  <c r="AI335" i="43"/>
  <c r="AJ335" i="43"/>
  <c r="AK335" i="43"/>
  <c r="AL335" i="43"/>
  <c r="AM335" i="43"/>
  <c r="AN335" i="43"/>
  <c r="AD336" i="43"/>
  <c r="AE336" i="43"/>
  <c r="AF336" i="43"/>
  <c r="AG336" i="43"/>
  <c r="AH336" i="43"/>
  <c r="AI336" i="43"/>
  <c r="AJ336" i="43"/>
  <c r="AK336" i="43"/>
  <c r="AL336" i="43"/>
  <c r="AM336" i="43"/>
  <c r="AN336" i="43"/>
  <c r="AD337" i="43"/>
  <c r="AE337" i="43"/>
  <c r="AF337" i="43"/>
  <c r="AG337" i="43"/>
  <c r="AH337" i="43"/>
  <c r="AI337" i="43"/>
  <c r="AJ337" i="43"/>
  <c r="AK337" i="43"/>
  <c r="AL337" i="43"/>
  <c r="AM337" i="43"/>
  <c r="AN337" i="43"/>
  <c r="AD339" i="43"/>
  <c r="AE339" i="43"/>
  <c r="AF339" i="43"/>
  <c r="AG339" i="43"/>
  <c r="AH339" i="43"/>
  <c r="AI339" i="43"/>
  <c r="AJ339" i="43"/>
  <c r="AK339" i="43"/>
  <c r="AL339" i="43"/>
  <c r="AM339" i="43"/>
  <c r="AN339" i="43"/>
  <c r="AD340" i="43"/>
  <c r="AE340" i="43"/>
  <c r="AF340" i="43"/>
  <c r="AG340" i="43"/>
  <c r="AH340" i="43"/>
  <c r="AI340" i="43"/>
  <c r="AJ340" i="43"/>
  <c r="AK340" i="43"/>
  <c r="AL340" i="43"/>
  <c r="AM340" i="43"/>
  <c r="AN340" i="43"/>
  <c r="AD342" i="43"/>
  <c r="AE342" i="43"/>
  <c r="AF342" i="43"/>
  <c r="AG342" i="43"/>
  <c r="AH342" i="43"/>
  <c r="AI342" i="43"/>
  <c r="AJ342" i="43"/>
  <c r="AK342" i="43"/>
  <c r="AL342" i="43"/>
  <c r="AM342" i="43"/>
  <c r="AN342" i="43"/>
  <c r="AD343" i="43"/>
  <c r="AE343" i="43"/>
  <c r="AF343" i="43"/>
  <c r="AG343" i="43"/>
  <c r="AH343" i="43"/>
  <c r="AI343" i="43"/>
  <c r="AJ343" i="43"/>
  <c r="AK343" i="43"/>
  <c r="AL343" i="43"/>
  <c r="AM343" i="43"/>
  <c r="AN343" i="43"/>
  <c r="AD344" i="43"/>
  <c r="AE344" i="43"/>
  <c r="AF344" i="43"/>
  <c r="AG344" i="43"/>
  <c r="AH344" i="43"/>
  <c r="AI344" i="43"/>
  <c r="AJ344" i="43"/>
  <c r="AK344" i="43"/>
  <c r="AL344" i="43"/>
  <c r="AM344" i="43"/>
  <c r="AN344" i="43"/>
  <c r="AD345" i="43"/>
  <c r="AE345" i="43"/>
  <c r="AF345" i="43"/>
  <c r="AG345" i="43"/>
  <c r="AH345" i="43"/>
  <c r="AI345" i="43"/>
  <c r="AJ345" i="43"/>
  <c r="AK345" i="43"/>
  <c r="AL345" i="43"/>
  <c r="AM345" i="43"/>
  <c r="AN345" i="43"/>
  <c r="AD352" i="43"/>
  <c r="AE352" i="43"/>
  <c r="AF352" i="43"/>
  <c r="AG352" i="43"/>
  <c r="AH352" i="43"/>
  <c r="AI352" i="43"/>
  <c r="AJ352" i="43"/>
  <c r="AK352" i="43"/>
  <c r="AL352" i="43"/>
  <c r="AM352" i="43"/>
  <c r="AN352" i="43"/>
  <c r="AE21" i="259"/>
  <c r="AF21" i="259"/>
  <c r="AG21" i="259"/>
  <c r="AH21" i="259"/>
  <c r="AI21" i="259"/>
  <c r="AJ21" i="259"/>
  <c r="AK21" i="259"/>
  <c r="AL21" i="259"/>
  <c r="AE22" i="259"/>
  <c r="AF22" i="259"/>
  <c r="AG22" i="259"/>
  <c r="AH22" i="259"/>
  <c r="AI22" i="259"/>
  <c r="AJ22" i="259"/>
  <c r="AK22" i="259"/>
  <c r="AL22" i="259"/>
  <c r="AE23" i="259"/>
  <c r="AF23" i="259"/>
  <c r="AG23" i="259"/>
  <c r="AH23" i="259"/>
  <c r="AI23" i="259"/>
  <c r="AJ23" i="259"/>
  <c r="AK23" i="259"/>
  <c r="AL23" i="259"/>
  <c r="AD24" i="259"/>
  <c r="AE24" i="259"/>
  <c r="AF24" i="259"/>
  <c r="AG24" i="259"/>
  <c r="AH24" i="259"/>
  <c r="AI24" i="259"/>
  <c r="AJ24" i="259"/>
  <c r="AK24" i="259"/>
  <c r="AL24" i="259"/>
  <c r="AD25" i="259"/>
  <c r="AE25" i="259"/>
  <c r="AF25" i="259"/>
  <c r="AG25" i="259"/>
  <c r="AH25" i="259"/>
  <c r="AI25" i="259"/>
  <c r="AJ25" i="259"/>
  <c r="AK25" i="259"/>
  <c r="AL25" i="259"/>
  <c r="J41" i="259"/>
  <c r="K41" i="259"/>
  <c r="N41" i="259"/>
  <c r="O41" i="259"/>
  <c r="R41" i="259"/>
  <c r="S41" i="259"/>
  <c r="V41" i="259"/>
  <c r="W41" i="259"/>
  <c r="J42" i="259"/>
  <c r="K42" i="259"/>
  <c r="N42" i="259"/>
  <c r="O42" i="259"/>
  <c r="R42" i="259"/>
  <c r="S42" i="259"/>
  <c r="V42" i="259"/>
  <c r="W42" i="259"/>
  <c r="AE114" i="259"/>
  <c r="AF114" i="259"/>
  <c r="AG114" i="259"/>
  <c r="AH114" i="259"/>
  <c r="AI114" i="259"/>
  <c r="AJ114" i="259"/>
  <c r="AK114" i="259"/>
  <c r="AL114" i="259"/>
  <c r="AE117" i="259"/>
  <c r="AF117" i="259"/>
  <c r="AG117" i="259"/>
  <c r="AH117" i="259"/>
  <c r="AI117" i="259"/>
  <c r="AJ117" i="259"/>
  <c r="AK117" i="259"/>
  <c r="AL117" i="259"/>
  <c r="AE118" i="259"/>
  <c r="AF118" i="259"/>
  <c r="AG118" i="259"/>
  <c r="AH118" i="259"/>
  <c r="AI118" i="259"/>
  <c r="AJ118" i="259"/>
  <c r="AK118" i="259"/>
  <c r="AL118" i="259"/>
  <c r="AD119" i="259"/>
  <c r="AE119" i="259"/>
  <c r="AF119" i="259"/>
  <c r="AG119" i="259"/>
  <c r="AH119" i="259"/>
  <c r="AI119" i="259"/>
  <c r="AJ119" i="259"/>
  <c r="AK119" i="259"/>
  <c r="AL119" i="259"/>
  <c r="AD121" i="259"/>
  <c r="AE121" i="259"/>
  <c r="AF121" i="259"/>
  <c r="AG121" i="259"/>
  <c r="AH121" i="259"/>
  <c r="AI121" i="259"/>
  <c r="AJ121" i="259"/>
  <c r="AK121" i="259"/>
  <c r="AD122" i="259"/>
  <c r="AE122" i="259"/>
  <c r="AF122" i="259"/>
  <c r="AG122" i="259"/>
  <c r="AH122" i="259"/>
  <c r="AI122" i="259"/>
  <c r="AJ122" i="259"/>
  <c r="AK122" i="259"/>
  <c r="AL122" i="259"/>
  <c r="AD124" i="259"/>
  <c r="AE124" i="259"/>
  <c r="AF124" i="259"/>
  <c r="AG124" i="259"/>
  <c r="AH124" i="259"/>
  <c r="AI124" i="259"/>
  <c r="AJ124" i="259"/>
  <c r="AK124" i="259"/>
  <c r="AL124" i="259"/>
  <c r="AD130" i="259"/>
  <c r="AE130" i="259"/>
  <c r="AF130" i="259"/>
  <c r="AG130" i="259"/>
  <c r="AH130" i="259"/>
  <c r="AI130" i="259"/>
  <c r="AJ130" i="259"/>
  <c r="AK130" i="259"/>
  <c r="AL130" i="259"/>
  <c r="AH131" i="259"/>
  <c r="AI131" i="259"/>
  <c r="AJ131" i="259"/>
  <c r="AK131" i="259"/>
  <c r="AL131" i="259"/>
  <c r="AD135" i="259"/>
  <c r="AE135" i="259"/>
  <c r="AF135" i="259"/>
  <c r="AG135" i="259"/>
  <c r="AH135" i="259"/>
  <c r="AI135" i="259"/>
  <c r="AJ135" i="259"/>
  <c r="AK135" i="259"/>
  <c r="AL135" i="259"/>
  <c r="AD137" i="259"/>
  <c r="AE137" i="259"/>
  <c r="AF137" i="259"/>
  <c r="AG137" i="259"/>
  <c r="AH137" i="259"/>
  <c r="AI137" i="259"/>
  <c r="AJ137" i="259"/>
  <c r="AK137" i="259"/>
  <c r="AL137" i="259"/>
  <c r="AD145" i="259"/>
  <c r="AE145" i="259"/>
  <c r="AF145" i="259"/>
  <c r="AG145" i="259"/>
  <c r="AH145" i="259"/>
  <c r="AI145" i="259"/>
  <c r="AJ145" i="259"/>
  <c r="AK145" i="259"/>
  <c r="AL145" i="259"/>
  <c r="AD149" i="259"/>
  <c r="AE149" i="259"/>
  <c r="AF149" i="259"/>
  <c r="AG149" i="259"/>
  <c r="AH149" i="259"/>
  <c r="AI149" i="259"/>
  <c r="AJ149" i="259"/>
  <c r="AK149" i="259"/>
  <c r="AL149" i="259"/>
  <c r="AD150" i="259"/>
  <c r="AE150" i="259"/>
  <c r="AF150" i="259"/>
  <c r="AG150" i="259"/>
  <c r="AH150" i="259"/>
  <c r="AI150" i="259"/>
  <c r="AJ150" i="259"/>
  <c r="AK150" i="259"/>
  <c r="AL150" i="259"/>
  <c r="AD168" i="259"/>
  <c r="AE168" i="259"/>
  <c r="AF168" i="259"/>
  <c r="AG168" i="259"/>
  <c r="AH168" i="259"/>
  <c r="AI168" i="259"/>
  <c r="AJ168" i="259"/>
  <c r="AK168" i="259"/>
  <c r="AL168" i="259"/>
  <c r="AD174" i="259"/>
  <c r="AE174" i="259"/>
  <c r="AF174" i="259"/>
  <c r="AG174" i="259"/>
  <c r="AH174" i="259"/>
  <c r="AI174" i="259"/>
  <c r="AJ174" i="259"/>
  <c r="AK174" i="259"/>
  <c r="AL174" i="259"/>
  <c r="AD179" i="259"/>
  <c r="AE179" i="259"/>
  <c r="AF179" i="259"/>
  <c r="AG179" i="259"/>
  <c r="AH179" i="259"/>
  <c r="AI179" i="259"/>
  <c r="AJ179" i="259"/>
  <c r="AK179" i="259"/>
  <c r="AL179" i="259"/>
  <c r="AD186" i="259"/>
  <c r="AE186" i="259"/>
  <c r="AF186" i="259"/>
  <c r="AG186" i="259"/>
  <c r="AH186" i="259"/>
  <c r="AI186" i="259"/>
  <c r="AJ186" i="259"/>
  <c r="AK186" i="259"/>
  <c r="AL186" i="259"/>
  <c r="AD197" i="259"/>
  <c r="AE197" i="259"/>
  <c r="AF197" i="259"/>
  <c r="AG197" i="259"/>
  <c r="AH197" i="259"/>
  <c r="AI197" i="259"/>
  <c r="AJ197" i="259"/>
  <c r="AK197" i="259"/>
  <c r="AL197" i="259"/>
  <c r="AD199" i="259"/>
  <c r="AE199" i="259"/>
  <c r="AF199" i="259"/>
  <c r="AG199" i="259"/>
  <c r="AH199" i="259"/>
  <c r="AI199" i="259"/>
  <c r="AJ199" i="259"/>
  <c r="AK199" i="259"/>
  <c r="AL199" i="259"/>
  <c r="AD202" i="259"/>
  <c r="AE202" i="259"/>
  <c r="AF202" i="259"/>
  <c r="AG202" i="259"/>
  <c r="AH202" i="259"/>
  <c r="AI202" i="259"/>
  <c r="AJ202" i="259"/>
  <c r="AK202" i="259"/>
  <c r="AL202" i="259"/>
  <c r="AD203" i="259"/>
  <c r="AE203" i="259"/>
  <c r="AF203" i="259"/>
  <c r="AG203" i="259"/>
  <c r="AH203" i="259"/>
  <c r="AI203" i="259"/>
  <c r="AJ203" i="259"/>
  <c r="AK203" i="259"/>
  <c r="AL203" i="259"/>
  <c r="AD204" i="259"/>
  <c r="AE204" i="259"/>
  <c r="AF204" i="259"/>
  <c r="AG204" i="259"/>
  <c r="AH204" i="259"/>
  <c r="AI204" i="259"/>
  <c r="AJ204" i="259"/>
  <c r="AK204" i="259"/>
  <c r="AL204" i="259"/>
  <c r="AD233" i="259"/>
  <c r="AE233" i="259"/>
  <c r="AF233" i="259"/>
  <c r="AG233" i="259"/>
  <c r="AH233" i="259"/>
  <c r="AI233" i="259"/>
  <c r="AJ233" i="259"/>
  <c r="AK233" i="259"/>
  <c r="AL233" i="259"/>
  <c r="AD235" i="259"/>
  <c r="AE235" i="259"/>
  <c r="AF235" i="259"/>
  <c r="AG235" i="259"/>
  <c r="AH235" i="259"/>
  <c r="AI235" i="259"/>
  <c r="AJ235" i="259"/>
  <c r="AK235" i="259"/>
  <c r="AL235" i="259"/>
  <c r="AD236" i="259"/>
  <c r="AE236" i="259"/>
  <c r="AF236" i="259"/>
  <c r="AG236" i="259"/>
  <c r="AH236" i="259"/>
  <c r="AI236" i="259"/>
  <c r="AJ236" i="259"/>
  <c r="AK236" i="259"/>
  <c r="AL236" i="259"/>
  <c r="AD240" i="259"/>
  <c r="AE240" i="259"/>
  <c r="AF240" i="259"/>
  <c r="AG240" i="259"/>
  <c r="AH240" i="259"/>
  <c r="AI240" i="259"/>
  <c r="AJ240" i="259"/>
  <c r="AK240" i="259"/>
  <c r="AL240" i="259"/>
  <c r="AD243" i="259"/>
  <c r="AE243" i="259"/>
  <c r="AF243" i="259"/>
  <c r="AG243" i="259"/>
  <c r="AH243" i="259"/>
  <c r="AI243" i="259"/>
  <c r="AJ243" i="259"/>
  <c r="AK243" i="259"/>
  <c r="AL243" i="259"/>
  <c r="AE245" i="259"/>
  <c r="AF245" i="259"/>
  <c r="AG245" i="259"/>
  <c r="AH245" i="259"/>
  <c r="AI245" i="259"/>
  <c r="AJ245" i="259"/>
  <c r="AK245" i="259"/>
  <c r="AL245" i="259"/>
  <c r="AE248" i="259"/>
  <c r="AF248" i="259"/>
  <c r="AG248" i="259"/>
  <c r="AH248" i="259"/>
  <c r="AI248" i="259"/>
  <c r="AJ248" i="259"/>
  <c r="AK248" i="259"/>
  <c r="AL248" i="259"/>
  <c r="AD333" i="259"/>
  <c r="AE333" i="259"/>
  <c r="AF333" i="259"/>
  <c r="AG333" i="259"/>
  <c r="AH333" i="259"/>
  <c r="AI333" i="259"/>
  <c r="AJ333" i="259"/>
  <c r="AK333" i="259"/>
  <c r="AL333" i="259"/>
  <c r="AD334" i="259"/>
  <c r="AE334" i="259"/>
  <c r="AF334" i="259"/>
  <c r="AG334" i="259"/>
  <c r="AH334" i="259"/>
  <c r="AI334" i="259"/>
  <c r="AJ334" i="259"/>
  <c r="AK334" i="259"/>
  <c r="AL334" i="259"/>
  <c r="AD335" i="259"/>
  <c r="AE335" i="259"/>
  <c r="AF335" i="259"/>
  <c r="AG335" i="259"/>
  <c r="AH335" i="259"/>
  <c r="AI335" i="259"/>
  <c r="AJ335" i="259"/>
  <c r="AK335" i="259"/>
  <c r="AL335" i="259"/>
  <c r="AD336" i="259"/>
  <c r="AE336" i="259"/>
  <c r="AF336" i="259"/>
  <c r="AG336" i="259"/>
  <c r="AH336" i="259"/>
  <c r="AI336" i="259"/>
  <c r="AJ336" i="259"/>
  <c r="AK336" i="259"/>
  <c r="AL336" i="259"/>
  <c r="AD337" i="259"/>
  <c r="AE337" i="259"/>
  <c r="AF337" i="259"/>
  <c r="AG337" i="259"/>
  <c r="AH337" i="259"/>
  <c r="AI337" i="259"/>
  <c r="AJ337" i="259"/>
  <c r="AK337" i="259"/>
  <c r="AL337" i="259"/>
  <c r="AD338" i="259"/>
  <c r="AE338" i="259"/>
  <c r="AF338" i="259"/>
  <c r="AG338" i="259"/>
  <c r="AH338" i="259"/>
  <c r="AI338" i="259"/>
  <c r="AJ338" i="259"/>
  <c r="AK338" i="259"/>
  <c r="AL338" i="259"/>
  <c r="AD339" i="259"/>
  <c r="AE339" i="259"/>
  <c r="AF339" i="259"/>
  <c r="AG339" i="259"/>
  <c r="AH339" i="259"/>
  <c r="AI339" i="259"/>
  <c r="AJ339" i="259"/>
  <c r="AK339" i="259"/>
  <c r="AL339" i="259"/>
  <c r="AD340" i="259"/>
  <c r="AE340" i="259"/>
  <c r="AF340" i="259"/>
  <c r="AG340" i="259"/>
  <c r="AH340" i="259"/>
  <c r="AI340" i="259"/>
  <c r="AJ340" i="259"/>
  <c r="AK340" i="259"/>
  <c r="AL340" i="259"/>
  <c r="AD342" i="259"/>
  <c r="AE342" i="259"/>
  <c r="AF342" i="259"/>
  <c r="AG342" i="259"/>
  <c r="AH342" i="259"/>
  <c r="AI342" i="259"/>
  <c r="AJ342" i="259"/>
  <c r="AK342" i="259"/>
  <c r="AL342" i="259"/>
  <c r="AD343" i="259"/>
  <c r="AE343" i="259"/>
  <c r="AF343" i="259"/>
  <c r="AG343" i="259"/>
  <c r="AH343" i="259"/>
  <c r="AI343" i="259"/>
  <c r="AJ343" i="259"/>
  <c r="AK343" i="259"/>
  <c r="AL343" i="259"/>
  <c r="AD344" i="259"/>
  <c r="AE344" i="259"/>
  <c r="AF344" i="259"/>
  <c r="AG344" i="259"/>
  <c r="AH344" i="259"/>
  <c r="AI344" i="259"/>
  <c r="AJ344" i="259"/>
  <c r="AK344" i="259"/>
  <c r="AL344" i="259"/>
  <c r="AD345" i="259"/>
  <c r="AE345" i="259"/>
  <c r="AF345" i="259"/>
  <c r="AG345" i="259"/>
  <c r="AH345" i="259"/>
  <c r="AI345" i="259"/>
  <c r="AJ345" i="259"/>
  <c r="AK345" i="259"/>
  <c r="AL345" i="259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<sst xmlns="http://schemas.openxmlformats.org/spreadsheetml/2006/main" count="1299" uniqueCount="677">
  <si>
    <t>P/E</t>
  </si>
  <si>
    <t>ROE</t>
  </si>
  <si>
    <t>Cost of Equity</t>
  </si>
  <si>
    <t>Beta</t>
  </si>
  <si>
    <t>EBIT</t>
  </si>
  <si>
    <t>Tax Rate</t>
  </si>
  <si>
    <t>EBIT*(1-Tax Rate)</t>
  </si>
  <si>
    <t>DD&amp;A</t>
  </si>
  <si>
    <t>Year</t>
  </si>
  <si>
    <t>Period</t>
  </si>
  <si>
    <t>Free Cash Flow to Firm</t>
  </si>
  <si>
    <t>WACC</t>
  </si>
  <si>
    <t>Discount Factor</t>
  </si>
  <si>
    <t>Half-year adjustemnt</t>
  </si>
  <si>
    <t>Current period adjustment</t>
  </si>
  <si>
    <t>PV FCFF</t>
  </si>
  <si>
    <t>Enterprise Value</t>
  </si>
  <si>
    <t>Less: Debt</t>
  </si>
  <si>
    <t>Less: Prefs</t>
  </si>
  <si>
    <t>Less: Minority Interest</t>
  </si>
  <si>
    <t>Plus: Net Cash</t>
  </si>
  <si>
    <t>Equity Value</t>
  </si>
  <si>
    <t>Shares Outstanding</t>
  </si>
  <si>
    <t>Intrinsic value/share</t>
  </si>
  <si>
    <t>Exit Share Price</t>
  </si>
  <si>
    <t>EPS</t>
  </si>
  <si>
    <t>FV FCFF</t>
  </si>
  <si>
    <t>Y/Y EPS Growth</t>
  </si>
  <si>
    <t>Y/Y FCFF Growth</t>
  </si>
  <si>
    <t>Discounted Cash Flow (DCF)</t>
  </si>
  <si>
    <t>Current year</t>
  </si>
  <si>
    <t>Risk free rate</t>
  </si>
  <si>
    <t>EQRP</t>
  </si>
  <si>
    <t>Cost of Prefs</t>
  </si>
  <si>
    <t>Cost of Debt</t>
  </si>
  <si>
    <t>After-tax Cost of Debt</t>
  </si>
  <si>
    <t>Current Price</t>
  </si>
  <si>
    <t>Pref Value</t>
  </si>
  <si>
    <t>Debt Value</t>
  </si>
  <si>
    <t>Override</t>
  </si>
  <si>
    <t>WACC - Model</t>
  </si>
  <si>
    <t>na</t>
  </si>
  <si>
    <t>Bear</t>
  </si>
  <si>
    <t>Base</t>
  </si>
  <si>
    <t>Bull</t>
  </si>
  <si>
    <t>Industrial</t>
  </si>
  <si>
    <t>Utilities</t>
  </si>
  <si>
    <t>Energy</t>
  </si>
  <si>
    <t>Terminal Value Assumptions - Equity</t>
  </si>
  <si>
    <t>Terminal Value Assumptions - EV</t>
  </si>
  <si>
    <t>Terminal Growth Rate</t>
  </si>
  <si>
    <t>Cost of Capital</t>
  </si>
  <si>
    <t>Excess ROIC</t>
  </si>
  <si>
    <t>Terminal Growth</t>
  </si>
  <si>
    <t>n=</t>
  </si>
  <si>
    <t>ROIC</t>
  </si>
  <si>
    <t>Avg. ROIC</t>
  </si>
  <si>
    <t>Avg. ROE</t>
  </si>
  <si>
    <t>Terminal Value Assumptions vs. Historicals and Industry Base Rates</t>
  </si>
  <si>
    <t>'96-18</t>
  </si>
  <si>
    <t>Actual Company History</t>
  </si>
  <si>
    <t>Bear case</t>
  </si>
  <si>
    <t>Bull case</t>
  </si>
  <si>
    <t>Base case</t>
  </si>
  <si>
    <t>Target</t>
  </si>
  <si>
    <t>Terminal</t>
  </si>
  <si>
    <t>"G"</t>
  </si>
  <si>
    <t>Implied ROIC</t>
  </si>
  <si>
    <t>Industry</t>
  </si>
  <si>
    <t>SubIndustry</t>
  </si>
  <si>
    <t>Country</t>
  </si>
  <si>
    <t>Implied Exit P/E (1Y Forward)</t>
  </si>
  <si>
    <t>Output</t>
  </si>
  <si>
    <t>ALL SECTORS</t>
  </si>
  <si>
    <t>Financial</t>
  </si>
  <si>
    <t>Basic Materials</t>
  </si>
  <si>
    <t>Consumer, Cyclical</t>
  </si>
  <si>
    <t>Diversified</t>
  </si>
  <si>
    <t>Communications</t>
  </si>
  <si>
    <t>Technology</t>
  </si>
  <si>
    <t>Consumer, Non-cyclical</t>
  </si>
  <si>
    <t>UNITED STATES</t>
  </si>
  <si>
    <t>Entertainment</t>
  </si>
  <si>
    <t>LOOKUP DATA</t>
  </si>
  <si>
    <t>ND/EBITDA</t>
  </si>
  <si>
    <t>Forecast</t>
  </si>
  <si>
    <t>Graph Data</t>
  </si>
  <si>
    <t>Sector Comparison</t>
  </si>
  <si>
    <t>Avg.</t>
  </si>
  <si>
    <t>Valuation Summary (Sensitivity Based on TV)</t>
  </si>
  <si>
    <t>Reinvest. Rate (Capex/EBIT)</t>
  </si>
  <si>
    <t>Regression ROIC</t>
  </si>
  <si>
    <t>Date:</t>
  </si>
  <si>
    <t>Exchange:</t>
  </si>
  <si>
    <t>Ticker:</t>
  </si>
  <si>
    <t>Terminal Enterprise Value</t>
  </si>
  <si>
    <t>Terminal Equity Value</t>
  </si>
  <si>
    <t>Terminal Growth Spread</t>
  </si>
  <si>
    <t>10Y Treasury Rate</t>
  </si>
  <si>
    <t>Cap./EBIT</t>
  </si>
  <si>
    <t>Credit Spread</t>
  </si>
  <si>
    <t>Ticker Details</t>
  </si>
  <si>
    <t>CAGR</t>
  </si>
  <si>
    <t>EBITDA</t>
  </si>
  <si>
    <t>EBITDA Margin</t>
  </si>
  <si>
    <t>Income Statement</t>
  </si>
  <si>
    <t>Interest income</t>
  </si>
  <si>
    <t>Interest expense</t>
  </si>
  <si>
    <t>EBT</t>
  </si>
  <si>
    <t>Current tax</t>
  </si>
  <si>
    <t>Current tax rate</t>
  </si>
  <si>
    <t>Deferred tax</t>
  </si>
  <si>
    <t>Deferred tax rate</t>
  </si>
  <si>
    <t>Net Income</t>
  </si>
  <si>
    <t>Minority Interest</t>
  </si>
  <si>
    <t>Net Income to Common</t>
  </si>
  <si>
    <t>Check</t>
  </si>
  <si>
    <t>W.A. shares outstanding (diluted)</t>
  </si>
  <si>
    <t>EPS to common</t>
  </si>
  <si>
    <t>EPS growth rate</t>
  </si>
  <si>
    <t>Cash Flow Statement</t>
  </si>
  <si>
    <t>Deferred taxes</t>
  </si>
  <si>
    <t>Share Based Comp</t>
  </si>
  <si>
    <t>Other</t>
  </si>
  <si>
    <t>Change in NWC</t>
  </si>
  <si>
    <t>Cash Flow from Operations</t>
  </si>
  <si>
    <t>Capex</t>
  </si>
  <si>
    <t>M&amp;A</t>
  </si>
  <si>
    <t>Cash Flow from Investing</t>
  </si>
  <si>
    <t>Change in debt</t>
  </si>
  <si>
    <t>Common dividends (net of DRIP)</t>
  </si>
  <si>
    <t>Cash Flow from Financing</t>
  </si>
  <si>
    <t>Other changes in cash</t>
  </si>
  <si>
    <t>Total change in cash</t>
  </si>
  <si>
    <t>Balance Sheet</t>
  </si>
  <si>
    <t>Current assets</t>
  </si>
  <si>
    <t>PP&amp;E</t>
  </si>
  <si>
    <t>Goodwill</t>
  </si>
  <si>
    <t>Intangibles</t>
  </si>
  <si>
    <t>Total assets</t>
  </si>
  <si>
    <t>Short-term debt</t>
  </si>
  <si>
    <t>Trade &amp; other payables</t>
  </si>
  <si>
    <t>Current liabilities</t>
  </si>
  <si>
    <t>Total liabilities</t>
  </si>
  <si>
    <t>Common equity</t>
  </si>
  <si>
    <t>Retained earnings and OCI</t>
  </si>
  <si>
    <t>Total liabilities &amp; equity</t>
  </si>
  <si>
    <t>non-cash NWC</t>
  </si>
  <si>
    <t>Gross Margin</t>
  </si>
  <si>
    <t>Net Margin</t>
  </si>
  <si>
    <t>Debt &amp; Interest Expense</t>
  </si>
  <si>
    <t>Total debt</t>
  </si>
  <si>
    <t>Net debt</t>
  </si>
  <si>
    <t>D/EBITDA</t>
  </si>
  <si>
    <t>Average debt</t>
  </si>
  <si>
    <t>Interest rate</t>
  </si>
  <si>
    <t>Weighted-average basic (mln)</t>
  </si>
  <si>
    <t>Weighted-average diluted (mln)</t>
  </si>
  <si>
    <t>PP&amp;E &amp; Other Assets</t>
  </si>
  <si>
    <t>Ratios</t>
  </si>
  <si>
    <t>Book Value of Equity</t>
  </si>
  <si>
    <t>BVPS</t>
  </si>
  <si>
    <t>Invested Capital</t>
  </si>
  <si>
    <t>EBIT Margin</t>
  </si>
  <si>
    <t>Net margin (NI/S)</t>
  </si>
  <si>
    <t>Asset turnover (S/A)</t>
  </si>
  <si>
    <t>Leverage (A/E)</t>
  </si>
  <si>
    <t>Financial Statements</t>
  </si>
  <si>
    <t>Gross Revenue</t>
  </si>
  <si>
    <t>Cost of Revenue</t>
  </si>
  <si>
    <t>W.A. Shares Outstanding</t>
  </si>
  <si>
    <t>EPS Growth Rate</t>
  </si>
  <si>
    <t>Cash Flow From Investing</t>
  </si>
  <si>
    <t>Cash Flow From Financing</t>
  </si>
  <si>
    <t>Current Assets</t>
  </si>
  <si>
    <t>Cash &amp; Equivalents</t>
  </si>
  <si>
    <t>Total Assets</t>
  </si>
  <si>
    <t>Short-term Debt</t>
  </si>
  <si>
    <t>Current Liabilities</t>
  </si>
  <si>
    <t>Total Liabilities</t>
  </si>
  <si>
    <t>Long-term Debt</t>
  </si>
  <si>
    <t>Common Equity</t>
  </si>
  <si>
    <t>Segment Analysis</t>
  </si>
  <si>
    <t>Balance Sheet Drivers</t>
  </si>
  <si>
    <t>Profitability (Return)</t>
  </si>
  <si>
    <t>Profitability (Margins)</t>
  </si>
  <si>
    <t>Revenue</t>
  </si>
  <si>
    <t>EBITDA Margins</t>
  </si>
  <si>
    <t>Capex, M&amp;A</t>
  </si>
  <si>
    <t>Y/Y Revenue Growth</t>
  </si>
  <si>
    <t>Y/Y EBITDA Growth</t>
  </si>
  <si>
    <t>Cash Flow from Operating Activities</t>
  </si>
  <si>
    <t>ROIC (excl. excess cash)</t>
  </si>
  <si>
    <t>CFO/share</t>
  </si>
  <si>
    <t>BVPS - ex.cash</t>
  </si>
  <si>
    <t>ROE - exc.cash</t>
  </si>
  <si>
    <t>Invested Capital - ex.cash</t>
  </si>
  <si>
    <t>Terminal WACC</t>
  </si>
  <si>
    <t>Terminal WACC Assumptions</t>
  </si>
  <si>
    <t>Terminal D/EBITDA</t>
  </si>
  <si>
    <t>Terminal D/Cap</t>
  </si>
  <si>
    <t>Change in common equity (net)</t>
  </si>
  <si>
    <t>Model Drivers</t>
  </si>
  <si>
    <t>AwABTAVMT0NBTAFI/////wFQEgAAADtDSVFBVkcuTkFTREFRR1M6VFRXTy5JUV9MQVNUU0FMRVBSSUNFLjAxLzAxLzIwMTAuMzEvMTIvMjAxMAEAAABRqgUAAgAAABAxMC4yODI0NjAzMTc0NjAzAHD7R4YQcdgIZfFLhhBx2Ag7Q0lRQVZHLk5BU0RBUUdTOlRUV08uSVFfTEFTVFNBTEVQUklDRS4wMS8wMS8yMDE0LjMxLzEyLzIwMTQBAAAAUaoFAAIAAAAQMjIuMDY3OTE2NjY2NjY2NwBw+0eGEHHYCITKS4YQcdgIO0NJUUFWRy5OQVNEQVFHUzpUVFdPLklRX0xBU1RTQUxFUFJJQ0UuMDEvMDEvMjAxMi4zMS8xMi8yMDEyAQAAAFGqBQACAAAACjEyLjI4MDc3OTYAcPtHhhBx2Ahl8UuGEHHYCDtDSVFBVkcuTkFTREFRR1M6VFRXTy5JUV9MQVNUU0FMRVBSSUNFLjAxLzAxLzIwMDUuMzEvMTIvMjAwNQEAAABRqgUAAgAAABAyMy41MDQxNjc1Mzk2ODI1AHD7R4YQcdgIZfFLhhBx2Ag7Q0lRQVZHLk5BU0RBUUdTOlRUV08uSVFfTEFTVFNBTEVQUklDRS4wMS8wMS8yMDE3LjMxLzEyLzIwMTcBAAAAUaoFAAIAAAAQODAuODYwMTU5MzYyNTQ5OABw+0eGEHHYCIqjS4YQcdgIK0NJUS5OQVNEQVE6VFRXTy5JUV9MQVNUU0FMRVBSSUNFLjE1LzEwLzIwMjABAAAAUaoFAAIAAAAHMTY4LjAwNQBw+0eGEHHYCN92s4YQcdgIIUNJUS5OQVNEQVE6VFRXTy5JUV9MQVNUU0FMRVBSSUNFLgEAAABRqgUAAgAAAAcxNjguMDA1</t>
  </si>
  <si>
    <t>AKxEsIYQcdgI33azhhBx2Ag7Q0lRQVZHLk5BU0RBUUdTOlRUV08uSVFfTEFTVFNBTEVQUklDRS4wMS8wMS8yMDE5LjMxLzEyLzIwMTkBAAAAUaoFAAIAAAAQMTExLjgwMjIyMjIyMjIyMgBw+0eGEHHYCITKS4YQcdgIO0NJUUFWRy5OQVNEQVFHUzpUVFdPLklRX0xBU1RTQUxFUFJJQ0UuMDEvMDEvMjAwOS4zMS8xMi8yMDA5AQAAAFGqBQACAAAAEDkuMjEzNjcwNjM0OTIwNjQAcPtHhhBx2Ahl8UuGEHHYCDtDSVFBVkcuTkFTREFRR1M6VFRXTy5JUV9MQVNUU0FMRVBSSUNFLjAxLzAxLzIwMTEuMzEvMTIvMjAxMQEAAABRqgUAAgAAABAxNC4zNzQyMDYzNDkyMDYzAHD7R4YQcdgIZfFLhhBx2Ag7Q0lRQVZHLk5BU0RBUUdTOlRUV08uSVFfTEFTVFNBTEVQUklDRS4wMS8wMS8yMDE2LjMxLzEyLzIwMTYBAAAAUaoFAAIAAAAQNDAuMjQ4NTMxNzQ2MDMxNwBw+0eGEHHYCITKS4YQcdgIO0NJUUFWRy5OQVNEQVFHUzpUVFdPLklRX0xBU1RTQUxFUFJJQ0UuMDEvMDEvMjAyMC4zMS8xMi8yMDIwAQAAAFGqBQACAAAAEDEzOC43MTIzMzY2ODM0MTcAcPtHhhBx2AiEykuGEHHYCDtDSVFBVkcuTkFTREFRR1M6VFRXTy5JUV9MQVNUU0FMRVBSSUNFLjAxLzAxLzIwMDcuMzEvMTIvMjAwNwEAAABRqgUAAgAAABAxOC4yNjM3NDAyMzkwNDM4AHD7R4YQcdgIZfFLhhBx2Ag7Q0lRQVZHLk5BU0RBUUdTOlRUV08uSVFfTEFT</t>
  </si>
  <si>
    <t>VFNBTEVQUklDRS4wMS8wMS8yMDE4LjMxLzEyLzIwMTgBAAAAUaoFAAIAAAAQMTE1Ljg5NzUwOTk2MDE1OQBw+0eGEHHYCITKS4YQcdgIO0NJUUFWRy5OQVNEQVFHUzpUVFdPLklRX0xBU1RTQUxFUFJJQ0UuMDEvMDEvMjAwOC4zMS8xMi8yMDA4AQAAAFGqBQACAAAAEDIwLjEyMzI4MDYzMjQxMTEAcPtHhhBx2AgpF0yGEHHYCDtDSVFBVkcuTkFTREFRR1M6VFRXTy5JUV9MQVNUU0FMRVBSSUNFLjAxLzAxLzIwMTUuMzEvMTIvMjAxNQEAAABRqgUAAgAAABAyOS4yNjcxNDI4NTcxNDI5AHD7R4YQcdgIhMpLhhBx2Ag7Q0lRQVZHLk5BU0RBUUdTOlRUV08uSVFfTEFTVFNBTEVQUklDRS4wMS8wMS8yMDEzLjMxLzEyLzIwMTMBAAAAUaoFAAIAAAAQMTYuMTc2MTc0NjAzMTc0NgBw+0eGEHHYCITKS4YQcdgIO0NJUUFWRy5OQVNEQVFHUzpUVFdPLklRX0xBU1RTQUxFUFJJQ0UuMDEvMDEvMjAwNi4zMS8xMi8yMDA2AQAAAFGqBQACAAAAEDE1LjE5NDU0MTQzNDI2MjkAcPtHhhBx2Ahl8UuGEHHYCA==</t>
  </si>
  <si>
    <t>Operating Income</t>
  </si>
  <si>
    <t>Total Revenue</t>
  </si>
  <si>
    <t>Delta</t>
  </si>
  <si>
    <t>Remaining Useful Life</t>
  </si>
  <si>
    <t>Revenue/PP&amp;E</t>
  </si>
  <si>
    <t>U.S.</t>
  </si>
  <si>
    <t>Gross Profit</t>
  </si>
  <si>
    <t>non-cash NWC as % of revenue</t>
  </si>
  <si>
    <t>Opening ROU</t>
  </si>
  <si>
    <t>Ending ROU</t>
  </si>
  <si>
    <t>Cash</t>
  </si>
  <si>
    <t>D&amp;A</t>
  </si>
  <si>
    <t>Cash tax</t>
  </si>
  <si>
    <t>Cost of sales</t>
  </si>
  <si>
    <t>Operating Margin</t>
  </si>
  <si>
    <t>M&amp;A, net</t>
  </si>
  <si>
    <t>Other finance expense</t>
  </si>
  <si>
    <t>ROU</t>
  </si>
  <si>
    <t>Total revenue</t>
  </si>
  <si>
    <t>Gross profit</t>
  </si>
  <si>
    <t>ROU D&amp;A</t>
  </si>
  <si>
    <t>Other D&amp;A</t>
  </si>
  <si>
    <t>Total D&amp;A</t>
  </si>
  <si>
    <t>Opening Intangibles</t>
  </si>
  <si>
    <t>Ending Intangibles</t>
  </si>
  <si>
    <t>Capex as a % of DD&amp;A</t>
  </si>
  <si>
    <t>Organic additions</t>
  </si>
  <si>
    <t>ROU/PP&amp;E</t>
  </si>
  <si>
    <t>ROU/Revenue</t>
  </si>
  <si>
    <t>Comparables</t>
  </si>
  <si>
    <t>Software</t>
  </si>
  <si>
    <t>U.S. %</t>
  </si>
  <si>
    <t>Macro Data</t>
  </si>
  <si>
    <t>G&amp;A</t>
  </si>
  <si>
    <t>Assumed Tax rate</t>
  </si>
  <si>
    <t>Adj. ROIC</t>
  </si>
  <si>
    <t>Adj. ROIC (excl. excess cash)</t>
  </si>
  <si>
    <t>YoY Growth</t>
  </si>
  <si>
    <t>World</t>
  </si>
  <si>
    <t>'21-30</t>
  </si>
  <si>
    <t>ALL SUB INDUSTRIES</t>
  </si>
  <si>
    <t>Advertising</t>
  </si>
  <si>
    <t>Aerospace/Defense</t>
  </si>
  <si>
    <t>JAPAN</t>
  </si>
  <si>
    <t>Agriculture</t>
  </si>
  <si>
    <t>BRITAIN</t>
  </si>
  <si>
    <t>Reinvestment</t>
  </si>
  <si>
    <t>Airlines</t>
  </si>
  <si>
    <t>CANADA</t>
  </si>
  <si>
    <t>Apparel</t>
  </si>
  <si>
    <t>AUSTRALIA</t>
  </si>
  <si>
    <t>Auto Manufacturers</t>
  </si>
  <si>
    <t>FRANCE</t>
  </si>
  <si>
    <t>Auto Parts&amp;Equipment</t>
  </si>
  <si>
    <t>GERMANY</t>
  </si>
  <si>
    <t>Banks</t>
  </si>
  <si>
    <t>SWITZERLAND</t>
  </si>
  <si>
    <t>Beverages</t>
  </si>
  <si>
    <t>HONG KONG</t>
  </si>
  <si>
    <t>Biotechnology</t>
  </si>
  <si>
    <t>ITALY</t>
  </si>
  <si>
    <t>Building Materials</t>
  </si>
  <si>
    <t>SWEDEN</t>
  </si>
  <si>
    <t>Chemicals</t>
  </si>
  <si>
    <t>SINGAPORE</t>
  </si>
  <si>
    <t>Coal</t>
  </si>
  <si>
    <t>SPAIN</t>
  </si>
  <si>
    <t>Commercial Services</t>
  </si>
  <si>
    <t>NETHERLANDS</t>
  </si>
  <si>
    <t>Computers</t>
  </si>
  <si>
    <t>Cosmetics/Personal Care</t>
  </si>
  <si>
    <t>Distribution/Wholesale</t>
  </si>
  <si>
    <t>Diversified Finan Serv</t>
  </si>
  <si>
    <t>Electric</t>
  </si>
  <si>
    <t>Electrical Compo&amp;Equip</t>
  </si>
  <si>
    <t>Electronics</t>
  </si>
  <si>
    <t>Energy-Alternate Sources</t>
  </si>
  <si>
    <t>Engineering&amp;Construction</t>
  </si>
  <si>
    <t>Environmental Control</t>
  </si>
  <si>
    <t>Food</t>
  </si>
  <si>
    <t>Food Service</t>
  </si>
  <si>
    <t>Forest Products&amp;Paper</t>
  </si>
  <si>
    <t>Gas</t>
  </si>
  <si>
    <t>Hand/Machine Tools</t>
  </si>
  <si>
    <t>Healthcare-Products</t>
  </si>
  <si>
    <t>Healthcare-Services</t>
  </si>
  <si>
    <t>Holding Companies-Divers</t>
  </si>
  <si>
    <t>Home Builders</t>
  </si>
  <si>
    <t>Home Furnishings</t>
  </si>
  <si>
    <t>Household Products/Wares</t>
  </si>
  <si>
    <t>Housewares</t>
  </si>
  <si>
    <t>Insurance</t>
  </si>
  <si>
    <t>Internet</t>
  </si>
  <si>
    <t>Investment Companies</t>
  </si>
  <si>
    <t>Iron/Steel</t>
  </si>
  <si>
    <t>Leisure Time</t>
  </si>
  <si>
    <t>Lodging</t>
  </si>
  <si>
    <t>Machinery-Constr&amp;Mining</t>
  </si>
  <si>
    <t>Machinery-Diversified</t>
  </si>
  <si>
    <t>Media</t>
  </si>
  <si>
    <t>Metal Fabricate/Hardware</t>
  </si>
  <si>
    <t>Mining</t>
  </si>
  <si>
    <t>Miscellaneous Manufactur</t>
  </si>
  <si>
    <t>Office/Business Equip</t>
  </si>
  <si>
    <t>Oil&amp;Gas</t>
  </si>
  <si>
    <t>Oil&amp;Gas Services</t>
  </si>
  <si>
    <t>Packaging&amp;Containers</t>
  </si>
  <si>
    <t>Pharmaceuticals</t>
  </si>
  <si>
    <t>Pipelines</t>
  </si>
  <si>
    <t>Private Equity</t>
  </si>
  <si>
    <t>Real Estate</t>
  </si>
  <si>
    <t>REITS</t>
  </si>
  <si>
    <t>Retail</t>
  </si>
  <si>
    <t>Savings&amp;Loans</t>
  </si>
  <si>
    <t>Semiconductors</t>
  </si>
  <si>
    <t>Shipbuilding</t>
  </si>
  <si>
    <t>Storage/Warehousing</t>
  </si>
  <si>
    <t>Telecommunications</t>
  </si>
  <si>
    <t>Textiles</t>
  </si>
  <si>
    <t>Toys/Games/Hobbies</t>
  </si>
  <si>
    <t>Transportation</t>
  </si>
  <si>
    <t>Water</t>
  </si>
  <si>
    <t>Q1/17</t>
  </si>
  <si>
    <t>R&amp;D</t>
  </si>
  <si>
    <t>S&amp;M</t>
  </si>
  <si>
    <t>Other income (expense), net</t>
  </si>
  <si>
    <t>Amortization of acquired intangibles (COGS)</t>
  </si>
  <si>
    <t>P&amp;E D&amp;A</t>
  </si>
  <si>
    <t>Capitalized internal-use software</t>
  </si>
  <si>
    <t>Servers - network infrastructure</t>
  </si>
  <si>
    <t>Construction in progress</t>
  </si>
  <si>
    <t>Office and computer equipment</t>
  </si>
  <si>
    <t>Office furniture</t>
  </si>
  <si>
    <t>Leasehold improvements</t>
  </si>
  <si>
    <t>Asset retirement obligation</t>
  </si>
  <si>
    <t>Gross P&amp;E</t>
  </si>
  <si>
    <t>Accumulated D&amp;A</t>
  </si>
  <si>
    <t>Net P&amp;E</t>
  </si>
  <si>
    <t>Available-for-sale securities</t>
  </si>
  <si>
    <t>Accounts recievable, net</t>
  </si>
  <si>
    <t>Contract assets</t>
  </si>
  <si>
    <t>Deferred contract acquisitions costs</t>
  </si>
  <si>
    <t>Revenue Drivers</t>
  </si>
  <si>
    <t>Operating lease liabilities</t>
  </si>
  <si>
    <t>Deferred revenue</t>
  </si>
  <si>
    <t>Long-term debt</t>
  </si>
  <si>
    <t>Retained earnings and other</t>
  </si>
  <si>
    <t>Cost of sales (excl. D&amp;A)</t>
  </si>
  <si>
    <t>Buildings</t>
  </si>
  <si>
    <t>Opening PP&amp;E</t>
  </si>
  <si>
    <t>Ending PP&amp;E</t>
  </si>
  <si>
    <t>% of P&amp;E D&amp;A (ex. software) captured in COGS</t>
  </si>
  <si>
    <t>% of P&amp;E D&amp;A (ex. software) captured in S&amp;M</t>
  </si>
  <si>
    <t>% of P&amp;E D&amp;A (ex. software) captured in R&amp;D</t>
  </si>
  <si>
    <t>% of P&amp;E D&amp;A (ex. software) captured in G&amp;A</t>
  </si>
  <si>
    <t>M&amp;A &amp; other</t>
  </si>
  <si>
    <t>Redeemable Convertible Pref</t>
  </si>
  <si>
    <t>Investments, net</t>
  </si>
  <si>
    <t>Amortization of debt discount and issuance costs</t>
  </si>
  <si>
    <t>ROU payments</t>
  </si>
  <si>
    <t>Change in FV on investment securities</t>
  </si>
  <si>
    <t>Amortization of deferred contract acquisitions costs</t>
  </si>
  <si>
    <t>Provisions for bad debt</t>
  </si>
  <si>
    <t>Net finance expense</t>
  </si>
  <si>
    <t>&lt;$100k Annual revenue (000)</t>
  </si>
  <si>
    <t>&gt;$100k Annual revenue (000)</t>
  </si>
  <si>
    <t>Dollar-based net retention rate (TTM)</t>
  </si>
  <si>
    <t>Paying customers (000)</t>
  </si>
  <si>
    <t>Total headcount (000)</t>
  </si>
  <si>
    <t>EMEA</t>
  </si>
  <si>
    <t>APAC</t>
  </si>
  <si>
    <t>EMEA %</t>
  </si>
  <si>
    <t>Channel Partners</t>
  </si>
  <si>
    <t>Direct Customers</t>
  </si>
  <si>
    <t>Channel Partners %</t>
  </si>
  <si>
    <t>Lease Payments</t>
  </si>
  <si>
    <t>as a % of D&amp;A</t>
  </si>
  <si>
    <t>Total Rev.</t>
  </si>
  <si>
    <t>COGs (excl. D&amp;A)</t>
  </si>
  <si>
    <t>S&amp;M (excl. D&amp;A)</t>
  </si>
  <si>
    <t>R&amp;D (excl. D&amp;A)</t>
  </si>
  <si>
    <t>G&amp;A (excl. D&amp;A)</t>
  </si>
  <si>
    <t>Other inc/exp</t>
  </si>
  <si>
    <t>U.S. rev</t>
  </si>
  <si>
    <t>EMEA rev</t>
  </si>
  <si>
    <t>APAC rev</t>
  </si>
  <si>
    <t>Other rev</t>
  </si>
  <si>
    <t>Channel Partners rev</t>
  </si>
  <si>
    <t>Direct Customers rev</t>
  </si>
  <si>
    <t>Int. In</t>
  </si>
  <si>
    <t>Int. Exp</t>
  </si>
  <si>
    <t>Amort. of debt discount and iss. Cost</t>
  </si>
  <si>
    <t>Inc. Minority Int.</t>
  </si>
  <si>
    <t>CF - Share Based Comp</t>
  </si>
  <si>
    <t>CF - ROU D&amp;A</t>
  </si>
  <si>
    <t>CF - Amortization of deferred contract acquisitions costs</t>
  </si>
  <si>
    <t>CF - Change in FV on investment securities</t>
  </si>
  <si>
    <t>CF - Provisions for bad debt</t>
  </si>
  <si>
    <t>CF - Other</t>
  </si>
  <si>
    <t>CF - ROU payments</t>
  </si>
  <si>
    <t>CF - Deferred contract acquisitions costs</t>
  </si>
  <si>
    <t>CF - Deferred revenue</t>
  </si>
  <si>
    <t>CF - Change in NWC</t>
  </si>
  <si>
    <t>Investments</t>
  </si>
  <si>
    <t>CF - Capex</t>
  </si>
  <si>
    <t>CF - Capitalized internal-use software</t>
  </si>
  <si>
    <t>CF - M&amp;A, net</t>
  </si>
  <si>
    <t>CF - Investments, net</t>
  </si>
  <si>
    <t>BS - Cash</t>
  </si>
  <si>
    <t>BS - Available-for-sale securities</t>
  </si>
  <si>
    <t>BS - Accounts recievable, net</t>
  </si>
  <si>
    <t>BS - Contract assets</t>
  </si>
  <si>
    <t>BS - Other, CA</t>
  </si>
  <si>
    <t>BS - PP&amp;E</t>
  </si>
  <si>
    <t>BS - ROU</t>
  </si>
  <si>
    <t>BS - Goodwill</t>
  </si>
  <si>
    <t>BS - Intangibles</t>
  </si>
  <si>
    <t>BS - Deferred contract acquisitions costs</t>
  </si>
  <si>
    <t>BS - Other NCA</t>
  </si>
  <si>
    <t>BS - Trade &amp; other payables</t>
  </si>
  <si>
    <t>BS - Operating lease liabilities</t>
  </si>
  <si>
    <t>BS - Deferred revenue</t>
  </si>
  <si>
    <t>BS - Other CL</t>
  </si>
  <si>
    <t>BS - Short-term debt</t>
  </si>
  <si>
    <t>BS - Operating lease liabilities, C</t>
  </si>
  <si>
    <t>BS - Deferred revenue, C</t>
  </si>
  <si>
    <t>BS - Long-term debt</t>
  </si>
  <si>
    <t>BS - Deferred taxes</t>
  </si>
  <si>
    <t>BS - Other NCL</t>
  </si>
  <si>
    <t>BS - Common equity</t>
  </si>
  <si>
    <t>BS - Redeemable Convertible Pref</t>
  </si>
  <si>
    <t>BS - Retained earnings and other</t>
  </si>
  <si>
    <t>CF - Common dividends (net of DRIP)</t>
  </si>
  <si>
    <t>CF - Change in common equity (net)</t>
  </si>
  <si>
    <t>CF - Change in debt</t>
  </si>
  <si>
    <t>Capitalized internal-use software D&amp;A</t>
  </si>
  <si>
    <t>CF - Other Invest</t>
  </si>
  <si>
    <t>CF - Other FIN</t>
  </si>
  <si>
    <t>Internet Properties</t>
  </si>
  <si>
    <t>% Share of Fortune 1,000</t>
  </si>
  <si>
    <t>Cyber Threats Blocked (bln/d)</t>
  </si>
  <si>
    <t>% of Websites that use Cloudflare</t>
  </si>
  <si>
    <t>Top 1,000,000</t>
  </si>
  <si>
    <t>Top 100,000</t>
  </si>
  <si>
    <t>Top 10,000</t>
  </si>
  <si>
    <t>Akamai Technologies</t>
  </si>
  <si>
    <t>AKAM</t>
  </si>
  <si>
    <t>International</t>
  </si>
  <si>
    <t>Web Division</t>
  </si>
  <si>
    <t>Media and Carrrier Division</t>
  </si>
  <si>
    <t>Bandwidth fees</t>
  </si>
  <si>
    <t>Co-location fees</t>
  </si>
  <si>
    <t>Network build-out and supporting services</t>
  </si>
  <si>
    <t>Payroll and related costs</t>
  </si>
  <si>
    <t>D&amp;A of network equipment</t>
  </si>
  <si>
    <t>Amortization of internal-use software</t>
  </si>
  <si>
    <t>COGS</t>
  </si>
  <si>
    <t>COGS (ex. D&amp;A)</t>
  </si>
  <si>
    <t>Global Functions</t>
  </si>
  <si>
    <t>Infrastructure</t>
  </si>
  <si>
    <t>G&amp;A (incl. D&amp;A)</t>
  </si>
  <si>
    <t>G&amp;A (Excl. D&amp;A)</t>
  </si>
  <si>
    <t>Amortization of aquired intangibles</t>
  </si>
  <si>
    <t>Adj. EBITDA Margin</t>
  </si>
  <si>
    <t>R&amp;D as a % of Rev</t>
  </si>
  <si>
    <t>S&amp;M as a % of Rev</t>
  </si>
  <si>
    <t>G&amp;A as a % of Rev</t>
  </si>
  <si>
    <t>D&amp;A as a % of Rev</t>
  </si>
  <si>
    <t>Security Technology</t>
  </si>
  <si>
    <t>Edge Technology</t>
  </si>
  <si>
    <t>Accounts receivable</t>
  </si>
  <si>
    <t>Accounts payable</t>
  </si>
  <si>
    <t>Capitalization of software development</t>
  </si>
  <si>
    <t>PP&amp;E capex</t>
  </si>
  <si>
    <t>Rev. Growth</t>
  </si>
  <si>
    <t>% U.S.</t>
  </si>
  <si>
    <t>PP&amp;E as a % of rev</t>
  </si>
  <si>
    <t>ROU as a % of rev</t>
  </si>
  <si>
    <t>R&amp;D as a % of Rev (incl. cap software)</t>
  </si>
  <si>
    <t>Fastly</t>
  </si>
  <si>
    <t>FSLY</t>
  </si>
  <si>
    <t>Number of customers</t>
  </si>
  <si>
    <t>Enterprise customers</t>
  </si>
  <si>
    <t>Net retention rate</t>
  </si>
  <si>
    <t>TTM net retention rate</t>
  </si>
  <si>
    <t>United States</t>
  </si>
  <si>
    <t>Asia Pacific</t>
  </si>
  <si>
    <t>Europe</t>
  </si>
  <si>
    <t>RoW</t>
  </si>
  <si>
    <t>non-enterprise customers</t>
  </si>
  <si>
    <t>Operating income</t>
  </si>
  <si>
    <t>Amortization of ROU</t>
  </si>
  <si>
    <t>Amortization of deferred contract costs</t>
  </si>
  <si>
    <t>Amortization of acquired intangibles</t>
  </si>
  <si>
    <t>% D&amp;A included in COGS</t>
  </si>
  <si>
    <t>% D&amp;A included in R&amp;D</t>
  </si>
  <si>
    <t>% D&amp;A included in G&amp;A</t>
  </si>
  <si>
    <t>% D&amp;A</t>
  </si>
  <si>
    <t>Rev Growth</t>
  </si>
  <si>
    <t xml:space="preserve">Gross Margin </t>
  </si>
  <si>
    <t>Intangible capex</t>
  </si>
  <si>
    <t>Growth (%)</t>
  </si>
  <si>
    <t>Comp Summary</t>
  </si>
  <si>
    <t>AKAM Revenue</t>
  </si>
  <si>
    <t>FSLY Revenue</t>
  </si>
  <si>
    <t>NET Revenue</t>
  </si>
  <si>
    <t>AKAM gross margin</t>
  </si>
  <si>
    <t>FSLY gross margin</t>
  </si>
  <si>
    <t>NET gross margin</t>
  </si>
  <si>
    <t>AKAM EBITDA margin</t>
  </si>
  <si>
    <t>FSLY EBITDA margin</t>
  </si>
  <si>
    <t>Customer ARPU</t>
  </si>
  <si>
    <t>Enterprise customers, &lt;$100k (%)</t>
  </si>
  <si>
    <t>Enterprise customers, &gt;$100k (%)</t>
  </si>
  <si>
    <t>Pro ARPU</t>
  </si>
  <si>
    <t>Business ARPU</t>
  </si>
  <si>
    <t>Enterprise customers, &lt;$100k ARPU</t>
  </si>
  <si>
    <t>Enterprise customers, &gt;$100k ARPU</t>
  </si>
  <si>
    <t>ARPU Growth</t>
  </si>
  <si>
    <t>Enterprise customers, &gt;$100k ARPU Growth</t>
  </si>
  <si>
    <t>YoY Change (bps)</t>
  </si>
  <si>
    <t>Trailing 2yr CAGR</t>
  </si>
  <si>
    <t>YoY Revenue Growth</t>
  </si>
  <si>
    <t>QoQ Revenue Growth</t>
  </si>
  <si>
    <t>APAC %</t>
  </si>
  <si>
    <t>Other %</t>
  </si>
  <si>
    <t>Total R&amp;A as a % of rev</t>
  </si>
  <si>
    <t>Opening deferred contract acquisition costs</t>
  </si>
  <si>
    <t>Capitalization of contract acq. costs</t>
  </si>
  <si>
    <t>Ending deferred contract acquisition costs</t>
  </si>
  <si>
    <t>Current contract assets</t>
  </si>
  <si>
    <t>% of deferred contract acquisiton costs</t>
  </si>
  <si>
    <t>Capex % towards internal-use software</t>
  </si>
  <si>
    <t>Current</t>
  </si>
  <si>
    <t>Non-current</t>
  </si>
  <si>
    <t>Additions</t>
  </si>
  <si>
    <t>Ending deferred revenue</t>
  </si>
  <si>
    <t>Opening deferred revenue</t>
  </si>
  <si>
    <t>% of rev</t>
  </si>
  <si>
    <t>% current</t>
  </si>
  <si>
    <t>Ending Operating Lease Liabilites</t>
  </si>
  <si>
    <t>Current %</t>
  </si>
  <si>
    <t xml:space="preserve">as a % of ROU </t>
  </si>
  <si>
    <t>Net trade and other</t>
  </si>
  <si>
    <t>Net trade and other as a % of revenue</t>
  </si>
  <si>
    <t>Change in net trade and other</t>
  </si>
  <si>
    <t>Actual Change in net trade and other</t>
  </si>
  <si>
    <t>Operating Lease</t>
  </si>
  <si>
    <t>Debt</t>
  </si>
  <si>
    <t>Pro customers guess</t>
  </si>
  <si>
    <t>Business Customers guess</t>
  </si>
  <si>
    <t>Enterprise customers guess</t>
  </si>
  <si>
    <t>Pro customers (%) guess</t>
  </si>
  <si>
    <t>Business customers (%) guess</t>
  </si>
  <si>
    <t>Int. expense</t>
  </si>
  <si>
    <t>Cash and equivalents</t>
  </si>
  <si>
    <t>Avg. cash and equivalents</t>
  </si>
  <si>
    <t>Return incl. accretion of discounts</t>
  </si>
  <si>
    <t>SBC as a % expenses</t>
  </si>
  <si>
    <t>Beginning common stock (#)</t>
  </si>
  <si>
    <t>Ending common stock (#)</t>
  </si>
  <si>
    <t>Share Price</t>
  </si>
  <si>
    <t>P/S</t>
  </si>
  <si>
    <t>Equity</t>
  </si>
  <si>
    <t>W.A. shares outstanding (basic)</t>
  </si>
  <si>
    <t>S&amp;M as a % of rev</t>
  </si>
  <si>
    <t>R&amp;D as a % of rev</t>
  </si>
  <si>
    <t>G&amp;A as a % of rev</t>
  </si>
  <si>
    <t>D&amp;A as a % of rev</t>
  </si>
  <si>
    <t>NET</t>
  </si>
  <si>
    <t>Total annual cost/paying customers</t>
  </si>
  <si>
    <t>NET Adj. EBITDA margin</t>
  </si>
  <si>
    <t>Revenue growth</t>
  </si>
  <si>
    <t>Assumed tax rate</t>
  </si>
  <si>
    <t>Total Debt</t>
  </si>
  <si>
    <t>Other S&amp;M</t>
  </si>
  <si>
    <t>S&amp;M expense</t>
  </si>
  <si>
    <t>Advertising as a % of total S&amp;M</t>
  </si>
  <si>
    <t>Contract acq. Costs as a % of rev</t>
  </si>
  <si>
    <t>AKAM rev growth</t>
  </si>
  <si>
    <t>FSLY rev growth</t>
  </si>
  <si>
    <t>Net rev growth</t>
  </si>
  <si>
    <t>Zscaler Inc</t>
  </si>
  <si>
    <t>ZS</t>
  </si>
  <si>
    <t>Channel partners</t>
  </si>
  <si>
    <t>Direct customers</t>
  </si>
  <si>
    <t>Channel partners %</t>
  </si>
  <si>
    <t>Buisiness Inteligence Applications</t>
  </si>
  <si>
    <t>Customer Relationship Management</t>
  </si>
  <si>
    <t>Enterprise Resource Planning</t>
  </si>
  <si>
    <t>Other Application Software</t>
  </si>
  <si>
    <t>Project and Portfolio Management</t>
  </si>
  <si>
    <t>Supply Chain Management</t>
  </si>
  <si>
    <t>Content Services</t>
  </si>
  <si>
    <t>Email and Authoring</t>
  </si>
  <si>
    <t>SaaS Spending</t>
  </si>
  <si>
    <t>Application Development</t>
  </si>
  <si>
    <t>Application Infastructure and Middleware</t>
  </si>
  <si>
    <t>Business Inteligence Platform</t>
  </si>
  <si>
    <t>Database Management Systems</t>
  </si>
  <si>
    <t>Storage Management</t>
  </si>
  <si>
    <t>Security Software</t>
  </si>
  <si>
    <t>'15-20</t>
  </si>
  <si>
    <t>'20-25</t>
  </si>
  <si>
    <t>'15-25</t>
  </si>
  <si>
    <t>PaaS Spending</t>
  </si>
  <si>
    <t>Management and Security-aaS Spending</t>
  </si>
  <si>
    <t>SaaS, PaaS, and Management and Security -aaS Spending</t>
  </si>
  <si>
    <t>Global IT Spending</t>
  </si>
  <si>
    <t>IaaS Spending</t>
  </si>
  <si>
    <t>Public Cloud Spending</t>
  </si>
  <si>
    <t>On-Premise (ex. IT Services, PCs, Tablets, Printers)</t>
  </si>
  <si>
    <t>'16-21</t>
  </si>
  <si>
    <t>Akamai</t>
  </si>
  <si>
    <t>Cloudflare</t>
  </si>
  <si>
    <t>COGS as a % of rev</t>
  </si>
  <si>
    <t>CloudFront</t>
  </si>
  <si>
    <t>Market share of # of Websites using reverse proxy</t>
  </si>
  <si>
    <t>AKAM Rev/PP&amp;E</t>
  </si>
  <si>
    <t>FSLY Rev/PP&amp;E</t>
  </si>
  <si>
    <t>NET Rev/PP&amp;E</t>
  </si>
  <si>
    <t>Net Additions</t>
  </si>
  <si>
    <t>Rev Growth from Customers</t>
  </si>
  <si>
    <t>Rev Growth from ARPU</t>
  </si>
  <si>
    <t>ARPU</t>
  </si>
  <si>
    <t>GM less Adj. EBITDA Margin</t>
  </si>
  <si>
    <t>Other S&amp;M as a % of total S&amp;M</t>
  </si>
  <si>
    <t>Number of Customers</t>
  </si>
  <si>
    <t>ZS Revenue</t>
  </si>
  <si>
    <t>ZS rev growth</t>
  </si>
  <si>
    <t>ZS gross margin</t>
  </si>
  <si>
    <t>ZS EBITDA margin</t>
  </si>
  <si>
    <t>ZS Rev/PP&amp;E</t>
  </si>
  <si>
    <t>AKAM Rev/PP&amp;E (incl. ROU)</t>
  </si>
  <si>
    <t>FSLY Rev/PP&amp;E (incl. ROU)</t>
  </si>
  <si>
    <t>ZS Rev/PP&amp;E (incl. ROU)</t>
  </si>
  <si>
    <t>Pro ARPU Growth</t>
  </si>
  <si>
    <t>Business ARPU Growth</t>
  </si>
  <si>
    <t>Enterprise customers, &lt;$100k ARPU Growth</t>
  </si>
  <si>
    <t>Capex as a % of rev</t>
  </si>
  <si>
    <t>Limelight Networks, Inc.</t>
  </si>
  <si>
    <t>LLNW</t>
  </si>
  <si>
    <t>Global Software Spending</t>
  </si>
  <si>
    <t>D&amp;A - network (incl. in COGS)</t>
  </si>
  <si>
    <t>Bandwidth and co-location fees</t>
  </si>
  <si>
    <t>Employee costs</t>
  </si>
  <si>
    <t>Total ARPU ($000)</t>
  </si>
  <si>
    <t>non-enterprise ARPU ($000)</t>
  </si>
  <si>
    <t>Enterprise ARPU ($000)</t>
  </si>
  <si>
    <t>ARPU ($000)</t>
  </si>
  <si>
    <t>Growth</t>
  </si>
  <si>
    <t>LLNW Revenue</t>
  </si>
  <si>
    <t>LLNW rev growth</t>
  </si>
  <si>
    <t>LLNW gross margin</t>
  </si>
  <si>
    <t>LLNW EBITDA margin</t>
  </si>
  <si>
    <t>LLNW Rev/PP&amp;E</t>
  </si>
  <si>
    <t>LLNW Rev/PP&amp;E (incl. ROU)</t>
  </si>
  <si>
    <t>Enterprise, &gt;$100k rev. contribution reported</t>
  </si>
  <si>
    <t>Enterprise, &gt;$100k rev. contribution Calc</t>
  </si>
  <si>
    <t>AKAM (S&amp;M as % of Rev)</t>
  </si>
  <si>
    <t>FSLY (S&amp;M as % of Rev)</t>
  </si>
  <si>
    <t>LLNW (S&amp;M as % of Rev)</t>
  </si>
  <si>
    <t>ZS (S&amp;M as % of Rev)</t>
  </si>
  <si>
    <t>NET (S&amp;M as % of Rev)</t>
  </si>
  <si>
    <t>Gross Margin less Adj. EBITDA Margin</t>
  </si>
  <si>
    <t>AKAM (R&amp;D as % of Rev)</t>
  </si>
  <si>
    <t>FSLY (R&amp;D as % of Rev)</t>
  </si>
  <si>
    <t>LLNW (R&amp;D as % of Rev)</t>
  </si>
  <si>
    <t>ZS (R&amp;D as % of Rev)</t>
  </si>
  <si>
    <t>NET (R&amp;D as % of Rev)</t>
  </si>
  <si>
    <t>NYSE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</si>
</sst>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42">
    <numFmt numFmtId="5" formatCode="&quot;$&quot;#,##0;\-&quot;$&quot;#,##0"/>
    <numFmt numFmtId="6" formatCode="&quot;$&quot;#,##0;[Red]\-&quot;$&quot;#,##0"/>
    <numFmt numFmtId="8" formatCode="&quot;$&quot;#,##0.00;[Red]\-&quot;$&quot;#,##0.00"/>
    <numFmt numFmtId="42" formatCode="_-&quot;$&quot;* #,##0_-;\-&quot;$&quot;* #,##0_-;_-&quot;$&quot;* &quot;-&quot;_-;_-@_-"/>
    <numFmt numFmtId="41" formatCode="_-* #,##0_-;\-* #,##0_-;_-* &quot;-&quot;_-;_-@_-"/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  <numFmt numFmtId="165" formatCode="0.0\x"/>
    <numFmt numFmtId="166" formatCode="0.0%"/>
    <numFmt numFmtId="167" formatCode="&quot;$&quot;#,##0.00"/>
    <numFmt numFmtId="168" formatCode=";;;"/>
    <numFmt numFmtId="169" formatCode="&quot;Price&quot;"/>
    <numFmt numFmtId="170" formatCode="yy\-mm\-dd;@"/>
    <numFmt numFmtId="171" formatCode="&quot;$&quot;#,##0"/>
    <numFmt numFmtId="172" formatCode="#,##0.000"/>
    <numFmt numFmtId="173" formatCode="0.0000"/>
    <numFmt numFmtId="174" formatCode="#,##0.0"/>
    <numFmt numFmtId="175" formatCode="0.0"/>
    <numFmt numFmtId="176" formatCode="_(* #,##0_);_(* \(#,##0\);_(* &quot;-&quot;??_);_(@_)"/>
    <numFmt numFmtId="177" formatCode="#,##0;\(#,##0\);\-"/>
    <numFmt numFmtId="178" formatCode="#,##0.0\ ;\(#,##0.0\)"/>
    <numFmt numFmtId="179" formatCode="#,##0,;;;&quot;$K&quot;"/>
    <numFmt numFmtId="180" formatCode="_ * #,##0.00_ ;_ * \-#,##0.00_ ;_ * &quot;-&quot;??_ ;_ @_ "/>
    <numFmt numFmtId="181" formatCode="#,##0.0_);\(#,##0.0\);0_._0_)"/>
    <numFmt numFmtId="182" formatCode="0.0_)\%;\(0.0\)\%;0.0_)\%;@_)_%"/>
    <numFmt numFmtId="183" formatCode="#,##0.0_)_%;\(#,##0.0\)_%;0.0_)_%;@_)_%"/>
    <numFmt numFmtId="184" formatCode="#,##0.0_);\(#,##0.0\);#,##0.0_);@_)"/>
    <numFmt numFmtId="185" formatCode="dd\-mmm\-yy_)"/>
    <numFmt numFmtId="186" formatCode="#,##0.0_);\(#,##0.0\)"/>
    <numFmt numFmtId="187" formatCode="&quot;$&quot;_(#,##0.00_);&quot;$&quot;\(#,##0.00\);&quot;$&quot;_(0.00_);@_)"/>
    <numFmt numFmtId="188" formatCode="&quot;$&quot;_(#,##0.00_);&quot;$&quot;\(#,##0.00\)"/>
    <numFmt numFmtId="189" formatCode="&quot;$&quot;#,##0.000_);[Red]\(&quot;$&quot;#,##0.000\)"/>
    <numFmt numFmtId="190" formatCode="&quot;£&quot;_(#,##0.00_);&quot;£&quot;\(#,##0.00\)"/>
    <numFmt numFmtId="191" formatCode="&quot;£&quot;_(#,##0.00_);&quot;£&quot;\(#,##0.00\);&quot;£&quot;_(0.00_);@_)"/>
    <numFmt numFmtId="192" formatCode="#,##0.00_);\(#,##0.00\);0.00_);@_)"/>
    <numFmt numFmtId="193" formatCode="0.0_)"/>
    <numFmt numFmtId="194" formatCode="\€_(#,##0.00_);\€\(#,##0.00\);\€_(0.00_);@_)"/>
    <numFmt numFmtId="195" formatCode="0.00_)"/>
    <numFmt numFmtId="196" formatCode="#,##0_)\x;\(#,##0\)\x;0_)\x;@_)_x"/>
    <numFmt numFmtId="197" formatCode="#,##0.0_)\x;\(#,##0.0\)\x;0.0_)\x;@_)_x"/>
    <numFmt numFmtId="198" formatCode="#,##0.0_)\x;\(#,##0.0\)\x"/>
    <numFmt numFmtId="199" formatCode="&quot;$&quot;#,##0.0000_);[Red]\(&quot;$&quot;#,##0.0000\)"/>
    <numFmt numFmtId="200" formatCode="#,##0_)_x;\(#,##0\)_x;0_)_x;@_)_x"/>
    <numFmt numFmtId="201" formatCode="#,##0.0_)_x;\(#,##0.0\)_x;0.0_)_x;@_)_x"/>
    <numFmt numFmtId="202" formatCode="#,##0.0_)_x;\(#,##0.0\)_x"/>
    <numFmt numFmtId="203" formatCode="&quot;$&quot;#,##0.0_);[Red]\(&quot;$&quot;#,##0.0\)"/>
    <numFmt numFmtId="204" formatCode="0.0_)\%;\(0.0\)\%"/>
    <numFmt numFmtId="205" formatCode="#,##0.000_);\(#,##0.000\)"/>
    <numFmt numFmtId="206" formatCode="#,##0.0_)_%;\(#,##0.0\)_%"/>
    <numFmt numFmtId="207" formatCode="&quot;!&quot;#,##0_);\(&quot;!&quot;#,##0\)"/>
    <numFmt numFmtId="208" formatCode="_(* #,##0_);_(* \(#,##0\);_(* &quot; - &quot;_);_(@_)"/>
    <numFmt numFmtId="209" formatCode="#,##0,\ ;[Red]\(#,##0,\);&quot;&quot;"/>
    <numFmt numFmtId="210" formatCode="#,##0,_$;\-#,##0,_$"/>
    <numFmt numFmtId="211" formatCode="#,##0;\-#,##0;&quot;-&quot;"/>
    <numFmt numFmtId="212" formatCode="0.00000000%"/>
    <numFmt numFmtId="213" formatCode="0.0&quot;  &quot;"/>
    <numFmt numFmtId="214" formatCode="0.000&quot;  &quot;"/>
    <numFmt numFmtId="215" formatCode="0.0000&quot;  &quot;"/>
    <numFmt numFmtId="216" formatCode="0.00000&quot;  &quot;"/>
    <numFmt numFmtId="217" formatCode="0%;\(0%\)"/>
    <numFmt numFmtId="218" formatCode="0.00&quot;  &quot;"/>
    <numFmt numFmtId="219" formatCode="#,##0\ ;[Red]\(#,##0\)"/>
    <numFmt numFmtId="220" formatCode="[$-409]mmmm\ d\,\ yyyy;@"/>
    <numFmt numFmtId="221" formatCode="#,##0.00\ &quot;F&quot;;[Red]\-#,##0.00\ &quot;F&quot;"/>
    <numFmt numFmtId="222" formatCode="&quot;$&quot;#,##0.0_);\(&quot;$&quot;#,##0.0\)"/>
    <numFmt numFmtId="223" formatCode="_(&quot;$&quot;* #,##0.0_);_(&quot;$&quot;* \(#,##0.0\);_(&quot;$&quot;* &quot;-&quot;??_);_(@_)"/>
    <numFmt numFmtId="224" formatCode="_-* #,##0.0\ _F_-;\-* #,##0.0\ _F_-;_-* \-?\ _F_-;_-@_-"/>
    <numFmt numFmtId="225" formatCode="&quot;\&quot;#,##0;&quot;\&quot;&quot;\&quot;&quot;\&quot;&quot;\&quot;\-#,##0"/>
    <numFmt numFmtId="226" formatCode="&quot;$&quot;#,##0\ ;\(&quot;$&quot;#,##0\)"/>
    <numFmt numFmtId="227" formatCode="0.00000"/>
    <numFmt numFmtId="228" formatCode="_(* #,##0_);_(* \(#,##0\);_(* &quot;0&quot;??_);_(@_)"/>
    <numFmt numFmtId="229" formatCode="#,##0;\(#,##0\)"/>
    <numFmt numFmtId="230" formatCode="#,##0.00000"/>
    <numFmt numFmtId="231" formatCode="#,##0.0;\(#,##0.0\)"/>
    <numFmt numFmtId="232" formatCode="mmm\-d\-yyyy"/>
    <numFmt numFmtId="233" formatCode="_(* #,##0_);_(* \(#,##0\);_(* &quot;&quot;\ \-\ &quot;&quot;_);_(@_)"/>
    <numFmt numFmtId="234" formatCode="_(* #,##0_);[Red]_(* \(#,##0\);_(* &quot;&quot;\ \-\ &quot;&quot;_);_(@_)"/>
    <numFmt numFmtId="235" formatCode="#,##0,_$;[Red]\-#,##0,_$"/>
    <numFmt numFmtId="236" formatCode="#,##0.00,_$;[Red]\-#,##0.00,_$"/>
    <numFmt numFmtId="237" formatCode="_(* #,###.00_);_(* \(#,###.00\);_(* &quot;-&quot;??_);_(@_)"/>
    <numFmt numFmtId="238" formatCode="_(&quot;$&quot;* \ #,##0.00_);_(&quot;$&quot;* \ \(#,##0.00\);_(&quot;$&quot;* \ &quot;-&quot;??_);_(@_)"/>
    <numFmt numFmtId="239" formatCode="_(&quot;$&quot;* #,##0,_);_(&quot;$&quot;* \(#,##0,\);_(&quot;$&quot;* &quot;-&quot;_);_(@_)"/>
    <numFmt numFmtId="240" formatCode="_([$€]* #,##0.00_);_([$€]* \(#,##0.00\);_([$€]* &quot;-&quot;??_);_(@_)"/>
    <numFmt numFmtId="241" formatCode="_-* #,##0.00\ [$€]_-;\-* #,##0.00\ [$€]_-;_-* &quot;-&quot;??\ [$€]_-;_-@_-"/>
    <numFmt numFmtId="242" formatCode="_-* #,##0.00\ &quot;€&quot;_-;\-* #,##0.00\ &quot;€&quot;_-;_-* &quot;-&quot;??\ &quot;€&quot;_-;_-@_-"/>
    <numFmt numFmtId="243" formatCode="\$#,##0_);[Red]&quot;($&quot;#,##0\)"/>
    <numFmt numFmtId="244" formatCode="#,##0,,,\ ;;;&quot;Gb/s&quot;"/>
    <numFmt numFmtId="245" formatCode="&quot;$&quot;#,##0,_);\(&quot;$&quot;#,##0\)"/>
    <numFmt numFmtId="246" formatCode="0;;"/>
    <numFmt numFmtId="247" formatCode="_-* #,##0.00\ &quot;DM&quot;_-;\-* #,##0.00\ &quot;DM&quot;_-;_-* &quot;-&quot;??\ &quot;DM&quot;_-;_-@_-"/>
    <numFmt numFmtId="248" formatCode="#,##0.0_);[Red]\(#,##0.0\)"/>
    <numFmt numFmtId="249" formatCode="#,##0.000%_);[Red]\(#,##0.000%\)"/>
    <numFmt numFmtId="250" formatCode="mm/dd/yy;;;"/>
    <numFmt numFmtId="251" formatCode="#,##0,;;;&quot;Kb/s&quot;"/>
    <numFmt numFmtId="252" formatCode="#,##0,,;;;&quot;Mb/s&quot;"/>
    <numFmt numFmtId="253" formatCode="_-* #,##0\ _D_M_-;\-* #,##0\ _D_M_-;_-* &quot;-&quot;\ _D_M_-;_-@_-"/>
    <numFmt numFmtId="254" formatCode="_-* #,##0.00\ _D_M_-;\-* #,##0.00\ _D_M_-;_-* &quot;-&quot;??\ _D_M_-;_-@_-"/>
    <numFmt numFmtId="255" formatCode="&quot;$&quot;0.000"/>
    <numFmt numFmtId="256" formatCode="_-* #,##0\ &quot;DM&quot;_-;\-* #,##0\ &quot;DM&quot;_-;_-* &quot;-&quot;\ &quot;DM&quot;_-;_-@_-"/>
    <numFmt numFmtId="257" formatCode="_-&quot;£&quot;* #,##0.00_-;\-&quot;£&quot;* #,##0.00_-;_-&quot;£&quot;* &quot;-&quot;??_-;_-@_-"/>
    <numFmt numFmtId="258" formatCode="0.0;\(0.0\)"/>
    <numFmt numFmtId="259" formatCode="#,##0.0_);[Red]\(#,##0.0\);&quot;N/A &quot;"/>
    <numFmt numFmtId="260" formatCode="###0.0_x;\(###0.0\)_x"/>
    <numFmt numFmtId="261" formatCode="\$#,##0_);&quot;($&quot;#,##0\)"/>
    <numFmt numFmtId="262" formatCode="#,##0.0%_);\(#,##0.0&quot;%)&quot;"/>
    <numFmt numFmtId="263" formatCode="#,##0.0,,_);\(#,##0.0,,\);\-_)"/>
    <numFmt numFmtId="264" formatCode="#,##0_);\(#,##0\);\-_)"/>
    <numFmt numFmtId="265" formatCode="_-* #,##0.000000_-;\-* #,##0.000000_-;_-* \-??_-;_-@_-"/>
    <numFmt numFmtId="266" formatCode="#,##0.0,_);\(#,##0.0,\);\-_)"/>
    <numFmt numFmtId="267" formatCode="#,##0.00_);\(#,##0.00\);\-_)"/>
    <numFmt numFmtId="268" formatCode="0.0%&quot;NetPPE/sales&quot;"/>
    <numFmt numFmtId="269" formatCode="#,##0&quot; &quot;\ &quot; &quot;;[Red]\(#,##0\)\ &quot; &quot;;&quot;—&quot;&quot; &quot;&quot; &quot;&quot; &quot;&quot; &quot;"/>
    <numFmt numFmtId="270" formatCode="0.0%&quot;NWI/Sls&quot;"/>
    <numFmt numFmtId="271" formatCode="_(\$* #,##0.00_);_(\$* \(#,##0.00\);_(\$* \-??_);_(@_)"/>
    <numFmt numFmtId="272" formatCode="mmmm\ dd\,\ yyyy"/>
    <numFmt numFmtId="273" formatCode="0.000000000"/>
    <numFmt numFmtId="274" formatCode="_(* #,##0_);_(* \(#,##0\);_(* \-_);_(@_)"/>
    <numFmt numFmtId="275" formatCode="0.000000"/>
    <numFmt numFmtId="276" formatCode="0.0%&quot;Sales&quot;"/>
    <numFmt numFmtId="277" formatCode="0.0%_);\(0.0%\)"/>
    <numFmt numFmtId="278" formatCode="mm/dd/yy"/>
    <numFmt numFmtId="279" formatCode="#,##0.0\ ;[Red]\-#,##0.0\ "/>
    <numFmt numFmtId="280" formatCode="0.0000000000000"/>
    <numFmt numFmtId="281" formatCode="0.0%;[Red]\(0.0%\);&quot; &quot;"/>
    <numFmt numFmtId="282" formatCode="_-* #,##0.000_-;\-* #,##0.000_-;_-* &quot;-&quot;??_-;_-@_-"/>
    <numFmt numFmtId="283" formatCode="&quot;TFCF: &quot;#,##0_);[Red]&quot;No! &quot;\(#,##0\)"/>
    <numFmt numFmtId="284" formatCode="_(* #,##0,_);[Red]_(* \(#,##0,\);_(* 0_);_(@_)"/>
    <numFmt numFmtId="285" formatCode="_(* #,##0_);[Red]_(* \(#,##0\);_(* 0_);_(@_)"/>
    <numFmt numFmtId="286" formatCode="_-* #,##0\ _B_F_-;\-* #,##0\ _B_F_-;_-* &quot;-&quot;\ _B_F_-;_-@_-"/>
    <numFmt numFmtId="287" formatCode="_-* #,##0.00\ _B_F_-;\-* #,##0.00\ _B_F_-;_-* &quot;-&quot;??\ _B_F_-;_-@_-"/>
    <numFmt numFmtId="288" formatCode="&quot;\&quot;#,##0;[Red]&quot;\&quot;&quot;\&quot;\-#,##0"/>
    <numFmt numFmtId="289" formatCode="&quot;\&quot;#,##0.00;[Red]&quot;\&quot;&quot;\&quot;&quot;\&quot;&quot;\&quot;&quot;\&quot;&quot;\&quot;\-#,##0.00"/>
    <numFmt numFmtId="290" formatCode="&quot;\&quot;#,##0;[Red]&quot;\&quot;\-#,##0"/>
    <numFmt numFmtId="291" formatCode="_-* #,##0\ &quot;BF&quot;_-;\-* #,##0\ &quot;BF&quot;_-;_-* &quot;-&quot;\ &quot;BF&quot;_-;_-@_-"/>
    <numFmt numFmtId="292" formatCode="_-* #,##0.00\ &quot;BF&quot;_-;\-* #,##0.00\ &quot;BF&quot;_-;_-* &quot;-&quot;??\ &quot;BF&quot;_-;_-@_-"/>
    <numFmt numFmtId="293" formatCode="[$-1009]mmm/yy;@"/>
    <numFmt numFmtId="294" formatCode="0.000"/>
    <numFmt numFmtId="295" formatCode="0&quot; bps&quot;"/>
    <numFmt numFmtId="296" formatCode="#,##0.000000"/>
    <numFmt numFmtId="297" formatCode="#,##0.0000000"/>
    <numFmt numFmtId="298" formatCode="#,##0.0000"/>
  </numFmts>
  <fonts count="280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4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4"/>
      <name val="Calibri"/>
      <family val="2"/>
      <scheme val="minor"/>
    </font>
    <font>
      <b/>
      <sz val="1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1"/>
      <color theme="5"/>
      <name val="Calibri"/>
      <family val="2"/>
      <scheme val="minor"/>
    </font>
    <font>
      <b/>
      <sz val="11"/>
      <color indexed="9"/>
      <name val="Calibri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8"/>
      <name val="Trebuchet MS"/>
      <family val="2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5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i/>
      <sz val="11"/>
      <color theme="4"/>
      <name val="Calibri"/>
      <family val="2"/>
      <scheme val="minor"/>
    </font>
    <font>
      <sz val="11"/>
      <color theme="6" tint="-0.499984740745262"/>
      <name val="Calibri"/>
      <family val="2"/>
      <scheme val="minor"/>
    </font>
    <font>
      <b/>
      <sz val="11"/>
      <color theme="6" tint="0.59999389629810485"/>
      <name val="Calibri"/>
      <family val="2"/>
      <scheme val="minor"/>
    </font>
    <font>
      <sz val="11"/>
      <color theme="6" tint="-0.249977111117893"/>
      <name val="Calibri"/>
      <family val="2"/>
      <scheme val="minor"/>
    </font>
    <font>
      <b/>
      <sz val="11"/>
      <color theme="6" tint="-0.249977111117893"/>
      <name val="Calibri"/>
      <family val="2"/>
      <scheme val="minor"/>
    </font>
    <font>
      <b/>
      <i/>
      <sz val="11"/>
      <color theme="6" tint="-0.249977111117893"/>
      <name val="Calibri"/>
      <family val="2"/>
      <scheme val="minor"/>
    </font>
    <font>
      <b/>
      <sz val="11"/>
      <color rgb="FFC00000"/>
      <name val="Calibri"/>
      <family val="2"/>
      <scheme val="minor"/>
    </font>
    <font>
      <sz val="9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2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9"/>
      <color indexed="8"/>
      <name val="Arial"/>
      <family val="2"/>
    </font>
    <font>
      <u/>
      <sz val="9"/>
      <name val="Arial"/>
      <family val="2"/>
    </font>
    <font>
      <sz val="10"/>
      <color indexed="12"/>
      <name val="Arial"/>
      <family val="2"/>
    </font>
    <font>
      <sz val="10"/>
      <name val="Helv"/>
    </font>
    <font>
      <b/>
      <sz val="10"/>
      <name val="Times New Roman"/>
      <family val="1"/>
    </font>
    <font>
      <sz val="10"/>
      <name val="Times New Roman"/>
      <family val="1"/>
    </font>
    <font>
      <sz val="10"/>
      <color rgb="FF006100"/>
      <name val="Times New Roman"/>
      <family val="2"/>
    </font>
    <font>
      <sz val="10"/>
      <color rgb="FF9C0006"/>
      <name val="Times New Roman"/>
      <family val="2"/>
    </font>
    <font>
      <sz val="10"/>
      <color rgb="FF9C6500"/>
      <name val="Times New Roman"/>
      <family val="2"/>
    </font>
    <font>
      <sz val="10"/>
      <color rgb="FF3F3F76"/>
      <name val="Times New Roman"/>
      <family val="2"/>
    </font>
    <font>
      <b/>
      <sz val="10"/>
      <color rgb="FF3F3F3F"/>
      <name val="Times New Roman"/>
      <family val="2"/>
    </font>
    <font>
      <b/>
      <sz val="10"/>
      <color rgb="FFFA7D00"/>
      <name val="Times New Roman"/>
      <family val="2"/>
    </font>
    <font>
      <sz val="8"/>
      <name val="Times New Roman"/>
      <family val="1"/>
    </font>
    <font>
      <sz val="8"/>
      <name val="Arial"/>
      <family val="2"/>
    </font>
    <font>
      <sz val="7"/>
      <name val="Times New Roman"/>
      <family val="1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2"/>
      <name val="Helv"/>
      <family val="2"/>
    </font>
    <font>
      <sz val="12"/>
      <name val="Times New Roman"/>
      <family val="1"/>
    </font>
    <font>
      <sz val="12"/>
      <name val="????"/>
      <charset val="136"/>
    </font>
    <font>
      <sz val="10"/>
      <name val="Helvetica-Narrow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4"/>
      <name val="AngsanaUPC"/>
      <family val="1"/>
    </font>
    <font>
      <sz val="10"/>
      <name val="MS Sans Serif"/>
      <family val="2"/>
    </font>
    <font>
      <sz val="10"/>
      <color indexed="8"/>
      <name val="Times New Roman"/>
      <family val="2"/>
    </font>
    <font>
      <sz val="11"/>
      <color indexed="8"/>
      <name val="宋体"/>
      <charset val="134"/>
    </font>
    <font>
      <sz val="12"/>
      <color indexed="8"/>
      <name val="新細明體"/>
      <family val="1"/>
      <charset val="136"/>
    </font>
    <font>
      <sz val="11"/>
      <color indexed="9"/>
      <name val="Calibri"/>
      <family val="2"/>
    </font>
    <font>
      <sz val="10"/>
      <color indexed="9"/>
      <name val="Times New Roman"/>
      <family val="2"/>
    </font>
    <font>
      <sz val="11"/>
      <color indexed="9"/>
      <name val="宋体"/>
      <charset val="134"/>
    </font>
    <font>
      <sz val="12"/>
      <color indexed="9"/>
      <name val="新細明體"/>
      <family val="1"/>
      <charset val="136"/>
    </font>
    <font>
      <sz val="8"/>
      <name val="Tahoma"/>
      <family val="2"/>
    </font>
    <font>
      <sz val="10"/>
      <name val="TimesNewRomanPS"/>
    </font>
    <font>
      <sz val="11"/>
      <color indexed="16"/>
      <name val="Calibri"/>
      <family val="2"/>
    </font>
    <font>
      <sz val="11"/>
      <color indexed="20"/>
      <name val="Calibri"/>
      <family val="2"/>
    </font>
    <font>
      <b/>
      <sz val="14"/>
      <color indexed="9"/>
      <name val="Univers (WN)"/>
      <family val="2"/>
    </font>
    <font>
      <b/>
      <sz val="14"/>
      <name val="Univers (WN)"/>
    </font>
    <font>
      <i/>
      <sz val="14"/>
      <color indexed="8"/>
      <name val="Arial"/>
      <family val="2"/>
    </font>
    <font>
      <b/>
      <i/>
      <u/>
      <sz val="14"/>
      <name val="Arial"/>
      <family val="2"/>
    </font>
    <font>
      <b/>
      <sz val="12"/>
      <color indexed="8"/>
      <name val="Times New Roman"/>
      <family val="1"/>
    </font>
    <font>
      <sz val="10"/>
      <name val="Century Gothic"/>
      <family val="2"/>
    </font>
    <font>
      <i/>
      <sz val="12"/>
      <color indexed="8"/>
      <name val="Arial"/>
      <family val="2"/>
    </font>
    <font>
      <sz val="8"/>
      <name val="Verdana"/>
      <family val="2"/>
    </font>
    <font>
      <b/>
      <sz val="10"/>
      <name val="MS Sans Serif"/>
      <family val="2"/>
    </font>
    <font>
      <u val="singleAccounting"/>
      <sz val="10"/>
      <name val="Arial"/>
      <family val="2"/>
    </font>
    <font>
      <sz val="10"/>
      <color indexed="8"/>
      <name val="Arial"/>
      <family val="2"/>
    </font>
    <font>
      <sz val="10"/>
      <name val="Courier"/>
      <family val="3"/>
    </font>
    <font>
      <sz val="11"/>
      <name val="Arial"/>
      <family val="2"/>
    </font>
    <font>
      <b/>
      <sz val="11"/>
      <color indexed="53"/>
      <name val="Calibri"/>
      <family val="2"/>
    </font>
    <font>
      <b/>
      <sz val="11"/>
      <color indexed="52"/>
      <name val="Calibri"/>
      <family val="2"/>
    </font>
    <font>
      <b/>
      <sz val="9"/>
      <color indexed="12"/>
      <name val="Times New Roman"/>
      <family val="1"/>
    </font>
    <font>
      <b/>
      <i/>
      <sz val="10"/>
      <name val="Arial"/>
      <family val="2"/>
    </font>
    <font>
      <b/>
      <sz val="10"/>
      <color indexed="9"/>
      <name val="Times New Roman"/>
      <family val="2"/>
    </font>
    <font>
      <sz val="10"/>
      <color indexed="8"/>
      <name val="ARIAL"/>
      <family val="2"/>
      <charset val="1"/>
    </font>
    <font>
      <b/>
      <sz val="8"/>
      <color indexed="9"/>
      <name val="Arial"/>
      <family val="2"/>
    </font>
    <font>
      <b/>
      <sz val="8"/>
      <color indexed="8"/>
      <name val="Arial"/>
      <family val="2"/>
    </font>
    <font>
      <b/>
      <u val="singleAccounting"/>
      <sz val="8"/>
      <color indexed="8"/>
      <name val="Arial"/>
      <family val="2"/>
    </font>
    <font>
      <b/>
      <sz val="8"/>
      <color indexed="8"/>
      <name val="Courier New"/>
      <family val="3"/>
    </font>
    <font>
      <sz val="8"/>
      <color indexed="12"/>
      <name val="Helv"/>
    </font>
    <font>
      <sz val="10"/>
      <name val="MS Serif"/>
      <family val="1"/>
    </font>
    <font>
      <sz val="9"/>
      <name val="Helv"/>
    </font>
    <font>
      <sz val="11"/>
      <color indexed="12"/>
      <name val="Book Antiqua"/>
      <family val="1"/>
    </font>
    <font>
      <sz val="11"/>
      <name val="돋움"/>
      <family val="1"/>
      <charset val="136"/>
    </font>
    <font>
      <b/>
      <sz val="9"/>
      <color indexed="9"/>
      <name val="Arial"/>
      <family val="2"/>
    </font>
    <font>
      <sz val="8"/>
      <name val="MS Sans Serif"/>
      <family val="2"/>
    </font>
    <font>
      <sz val="8"/>
      <color indexed="18"/>
      <name val="Comic Sans MS"/>
      <family val="4"/>
    </font>
    <font>
      <b/>
      <sz val="8"/>
      <name val="Arial"/>
      <family val="2"/>
    </font>
    <font>
      <b/>
      <sz val="10"/>
      <name val="Tms Rmn"/>
    </font>
    <font>
      <sz val="10"/>
      <name val="Geneva"/>
      <family val="2"/>
    </font>
    <font>
      <sz val="10"/>
      <color indexed="18"/>
      <name val="Arial"/>
      <family val="2"/>
    </font>
    <font>
      <b/>
      <u/>
      <sz val="8"/>
      <name val="Arial"/>
      <family val="2"/>
    </font>
    <font>
      <sz val="1.25"/>
      <name val="Arial"/>
      <family val="2"/>
    </font>
    <font>
      <b/>
      <u val="double"/>
      <sz val="9"/>
      <name val="Arial"/>
      <family val="2"/>
    </font>
    <font>
      <u val="doubleAccounting"/>
      <sz val="10"/>
      <name val="Arial"/>
      <family val="2"/>
    </font>
    <font>
      <sz val="10"/>
      <name val="Univers"/>
      <family val="2"/>
    </font>
    <font>
      <sz val="10"/>
      <color indexed="16"/>
      <name val="MS Serif"/>
      <family val="1"/>
    </font>
    <font>
      <b/>
      <u/>
      <sz val="12"/>
      <name val="Arial Narrow"/>
      <family val="2"/>
    </font>
    <font>
      <sz val="10"/>
      <name val="Helvetica 45 Light"/>
    </font>
    <font>
      <i/>
      <sz val="11"/>
      <color indexed="23"/>
      <name val="Calibri"/>
      <family val="2"/>
    </font>
    <font>
      <b/>
      <sz val="7"/>
      <color indexed="12"/>
      <name val="Arial"/>
      <family val="2"/>
    </font>
    <font>
      <sz val="7"/>
      <name val="Palatino"/>
      <family val="1"/>
    </font>
    <font>
      <b/>
      <sz val="8"/>
      <name val="Helv"/>
    </font>
    <font>
      <sz val="9"/>
      <name val="Geneva"/>
      <family val="2"/>
    </font>
    <font>
      <sz val="11"/>
      <color indexed="17"/>
      <name val="Calibri"/>
      <family val="2"/>
    </font>
    <font>
      <b/>
      <sz val="10"/>
      <color indexed="58"/>
      <name val="Arial"/>
      <family val="2"/>
    </font>
    <font>
      <sz val="6"/>
      <color indexed="16"/>
      <name val="Palatino"/>
      <family val="1"/>
    </font>
    <font>
      <b/>
      <sz val="8"/>
      <color indexed="8"/>
      <name val="Tahoma"/>
      <family val="2"/>
    </font>
    <font>
      <b/>
      <sz val="8"/>
      <color indexed="9"/>
      <name val="Tahoma"/>
      <family val="2"/>
    </font>
    <font>
      <b/>
      <u/>
      <sz val="8"/>
      <color indexed="8"/>
      <name val="Tahoma"/>
      <family val="2"/>
    </font>
    <font>
      <b/>
      <u/>
      <sz val="18"/>
      <name val="Geneva"/>
      <family val="2"/>
    </font>
    <font>
      <b/>
      <sz val="15"/>
      <color indexed="62"/>
      <name val="Calibri"/>
      <family val="2"/>
    </font>
    <font>
      <b/>
      <sz val="14"/>
      <name val="Univers"/>
      <family val="2"/>
    </font>
    <font>
      <b/>
      <sz val="15"/>
      <color indexed="56"/>
      <name val="Calibri"/>
      <family val="2"/>
    </font>
    <font>
      <b/>
      <sz val="13"/>
      <color indexed="62"/>
      <name val="Calibri"/>
      <family val="2"/>
    </font>
    <font>
      <sz val="18"/>
      <name val="Helvetica-Black"/>
    </font>
    <font>
      <b/>
      <sz val="13"/>
      <color indexed="56"/>
      <name val="Calibri"/>
      <family val="2"/>
    </font>
    <font>
      <b/>
      <sz val="11"/>
      <color indexed="62"/>
      <name val="Calibri"/>
      <family val="2"/>
    </font>
    <font>
      <i/>
      <sz val="14"/>
      <name val="Palatino"/>
      <family val="1"/>
    </font>
    <font>
      <b/>
      <sz val="11"/>
      <color indexed="56"/>
      <name val="Calibri"/>
      <family val="2"/>
    </font>
    <font>
      <b/>
      <sz val="10"/>
      <name val="Geneva"/>
      <family val="2"/>
    </font>
    <font>
      <b/>
      <sz val="10"/>
      <name val="Univers"/>
      <family val="2"/>
    </font>
    <font>
      <b/>
      <sz val="8"/>
      <name val="MS Sans Serif"/>
      <family val="2"/>
    </font>
    <font>
      <b/>
      <sz val="9"/>
      <name val="Helv"/>
    </font>
    <font>
      <sz val="10"/>
      <color indexed="9"/>
      <name val="Arial"/>
      <family val="2"/>
    </font>
    <font>
      <b/>
      <sz val="10.75"/>
      <name val="Arial"/>
      <family val="2"/>
    </font>
    <font>
      <b/>
      <i/>
      <sz val="20"/>
      <name val="Century Gothic"/>
      <family val="2"/>
    </font>
    <font>
      <sz val="9"/>
      <color indexed="17"/>
      <name val="Helv"/>
    </font>
    <font>
      <sz val="11"/>
      <color indexed="62"/>
      <name val="Calibri"/>
      <family val="2"/>
    </font>
    <font>
      <b/>
      <u/>
      <sz val="10"/>
      <color indexed="12"/>
      <name val="Times New Roman"/>
      <family val="1"/>
    </font>
    <font>
      <sz val="8"/>
      <color indexed="39"/>
      <name val="Arial"/>
      <family val="2"/>
    </font>
    <font>
      <sz val="8"/>
      <color indexed="12"/>
      <name val="Tahoma"/>
      <family val="2"/>
    </font>
    <font>
      <sz val="1"/>
      <color indexed="9"/>
      <name val="Symbol"/>
      <family val="1"/>
      <charset val="2"/>
    </font>
    <font>
      <sz val="8"/>
      <color indexed="10"/>
      <name val="Helv"/>
    </font>
    <font>
      <b/>
      <i/>
      <sz val="20"/>
      <color indexed="8"/>
      <name val="Arial"/>
      <family val="2"/>
    </font>
    <font>
      <u/>
      <sz val="7.5"/>
      <color indexed="12"/>
      <name val="Arial"/>
      <family val="2"/>
    </font>
    <font>
      <b/>
      <sz val="10"/>
      <color indexed="8"/>
      <name val="Arial"/>
      <family val="2"/>
    </font>
    <font>
      <sz val="10"/>
      <color indexed="16"/>
      <name val="MS Sans Serif"/>
      <family val="2"/>
    </font>
    <font>
      <sz val="11"/>
      <color indexed="53"/>
      <name val="Calibri"/>
      <family val="2"/>
    </font>
    <font>
      <sz val="11"/>
      <color indexed="52"/>
      <name val="Calibri"/>
      <family val="2"/>
    </font>
    <font>
      <sz val="8"/>
      <name val="Palatino"/>
      <family val="1"/>
    </font>
    <font>
      <b/>
      <u val="singleAccounting"/>
      <sz val="9"/>
      <color indexed="9"/>
      <name val="Arial"/>
      <family val="2"/>
    </font>
    <font>
      <sz val="11"/>
      <color indexed="19"/>
      <name val="Calibri"/>
      <family val="2"/>
    </font>
    <font>
      <sz val="11"/>
      <color indexed="60"/>
      <name val="Calibri"/>
      <family val="2"/>
    </font>
    <font>
      <b/>
      <u val="singleAccounting"/>
      <sz val="8"/>
      <color indexed="8"/>
      <name val="Verdana"/>
      <family val="2"/>
    </font>
    <font>
      <b/>
      <sz val="12"/>
      <color indexed="8"/>
      <name val="Verdana"/>
      <family val="2"/>
    </font>
    <font>
      <sz val="7"/>
      <name val="Small Fonts"/>
      <family val="2"/>
    </font>
    <font>
      <b/>
      <sz val="8"/>
      <color indexed="23"/>
      <name val="Verdana"/>
      <family val="2"/>
    </font>
    <font>
      <sz val="10"/>
      <name val="Tahoma"/>
      <family val="2"/>
    </font>
    <font>
      <sz val="10"/>
      <name val="Arial CE"/>
    </font>
    <font>
      <sz val="10"/>
      <name val="Palatino"/>
      <family val="1"/>
    </font>
    <font>
      <i/>
      <sz val="10"/>
      <name val="Arial"/>
      <family val="2"/>
    </font>
    <font>
      <sz val="7"/>
      <color indexed="12"/>
      <name val="Arial"/>
      <family val="2"/>
    </font>
    <font>
      <i/>
      <sz val="10"/>
      <name val="Helv"/>
    </font>
    <font>
      <sz val="11"/>
      <name val="Times New Roman"/>
      <family val="1"/>
    </font>
    <font>
      <sz val="24"/>
      <name val="MS Sans Serif"/>
      <family val="2"/>
    </font>
    <font>
      <sz val="8"/>
      <color indexed="32"/>
      <name val="Comic Sans MS"/>
      <family val="4"/>
    </font>
    <font>
      <b/>
      <sz val="11"/>
      <color indexed="63"/>
      <name val="Calibri"/>
      <family val="2"/>
    </font>
    <font>
      <sz val="11"/>
      <color indexed="8"/>
      <name val="Times New Roman"/>
      <family val="1"/>
    </font>
    <font>
      <b/>
      <i/>
      <sz val="10"/>
      <color indexed="8"/>
      <name val="Arial"/>
      <family val="2"/>
    </font>
    <font>
      <b/>
      <sz val="11"/>
      <color indexed="16"/>
      <name val="Times New Roman"/>
      <family val="1"/>
    </font>
    <font>
      <b/>
      <sz val="10"/>
      <color indexed="17"/>
      <name val="Arial"/>
      <family val="2"/>
    </font>
    <font>
      <b/>
      <sz val="10"/>
      <color indexed="13"/>
      <name val="Arial"/>
      <family val="2"/>
    </font>
    <font>
      <b/>
      <sz val="26"/>
      <name val="Times New Roman"/>
      <family val="1"/>
    </font>
    <font>
      <b/>
      <sz val="18"/>
      <name val="Times New Roman"/>
      <family val="1"/>
    </font>
    <font>
      <sz val="10"/>
      <color indexed="16"/>
      <name val="Helvetica-Black"/>
    </font>
    <font>
      <sz val="12"/>
      <color indexed="8"/>
      <name val="Times New Roman"/>
      <family val="1"/>
    </font>
    <font>
      <sz val="8"/>
      <color indexed="18"/>
      <name val="Arial"/>
      <family val="2"/>
    </font>
    <font>
      <b/>
      <u/>
      <sz val="10"/>
      <name val="Arial"/>
      <family val="2"/>
    </font>
    <font>
      <sz val="7"/>
      <color indexed="10"/>
      <name val="MS Sans Serif"/>
      <family val="2"/>
    </font>
    <font>
      <sz val="10"/>
      <name val="Tms Rmn"/>
      <family val="1"/>
    </font>
    <font>
      <sz val="10"/>
      <name val="Tms Rmn"/>
    </font>
    <font>
      <sz val="16"/>
      <color indexed="9"/>
      <name val="Tahoma"/>
      <family val="2"/>
    </font>
    <font>
      <sz val="9"/>
      <color indexed="8"/>
      <name val="Helv"/>
    </font>
    <font>
      <sz val="8"/>
      <color indexed="10"/>
      <name val="Arial"/>
      <family val="2"/>
    </font>
    <font>
      <sz val="9"/>
      <color indexed="20"/>
      <name val="Helv"/>
    </font>
    <font>
      <sz val="8"/>
      <name val="Wingdings"/>
      <charset val="2"/>
    </font>
    <font>
      <b/>
      <sz val="12"/>
      <color indexed="8"/>
      <name val="Arial"/>
      <family val="2"/>
    </font>
    <font>
      <sz val="8"/>
      <name val="Helv"/>
      <family val="2"/>
    </font>
    <font>
      <sz val="8"/>
      <name val="Helv"/>
    </font>
    <font>
      <sz val="8"/>
      <name val="COUR"/>
    </font>
    <font>
      <sz val="8"/>
      <color indexed="8"/>
      <name val="Arial"/>
      <family val="2"/>
    </font>
    <font>
      <sz val="11"/>
      <color indexed="16"/>
      <name val="Arial"/>
      <family val="2"/>
    </font>
    <font>
      <sz val="9.5"/>
      <color indexed="23"/>
      <name val="Helvetica-Black"/>
    </font>
    <font>
      <b/>
      <sz val="8"/>
      <color indexed="9"/>
      <name val="Verdana"/>
      <family val="2"/>
    </font>
    <font>
      <sz val="10"/>
      <color indexed="8"/>
      <name val="Geneva"/>
      <family val="2"/>
    </font>
    <font>
      <sz val="9"/>
      <color indexed="18"/>
      <name val="Wingdings"/>
      <charset val="2"/>
    </font>
    <font>
      <sz val="10"/>
      <name val="ACaslon Regular"/>
    </font>
    <font>
      <b/>
      <i/>
      <sz val="14"/>
      <name val="Arial"/>
      <family val="2"/>
    </font>
    <font>
      <b/>
      <sz val="11"/>
      <name val="Arial"/>
      <family val="2"/>
    </font>
    <font>
      <vertAlign val="subscript"/>
      <sz val="8"/>
      <color indexed="8"/>
      <name val="Arial"/>
      <family val="2"/>
    </font>
    <font>
      <b/>
      <sz val="8"/>
      <color indexed="8"/>
      <name val="Helv"/>
      <family val="2"/>
    </font>
    <font>
      <b/>
      <sz val="8"/>
      <color indexed="8"/>
      <name val="Helv"/>
    </font>
    <font>
      <vertAlign val="superscript"/>
      <sz val="8"/>
      <color indexed="8"/>
      <name val="Arial"/>
      <family val="2"/>
    </font>
    <font>
      <b/>
      <sz val="9"/>
      <name val="Palatino"/>
      <family val="1"/>
    </font>
    <font>
      <sz val="9"/>
      <color indexed="21"/>
      <name val="Helvetica-Black"/>
    </font>
    <font>
      <b/>
      <sz val="10"/>
      <name val="Palatino"/>
      <family val="1"/>
    </font>
    <font>
      <b/>
      <sz val="8"/>
      <color indexed="63"/>
      <name val="Verdana"/>
      <family val="2"/>
    </font>
    <font>
      <sz val="12"/>
      <color indexed="8"/>
      <name val="Palatino"/>
      <family val="1"/>
    </font>
    <font>
      <sz val="11"/>
      <color indexed="8"/>
      <name val="Helvetica-Black"/>
    </font>
    <font>
      <i/>
      <sz val="8"/>
      <color indexed="8"/>
      <name val="Arial"/>
      <family val="2"/>
    </font>
    <font>
      <sz val="7"/>
      <name val="Arial"/>
      <family val="2"/>
    </font>
    <font>
      <b/>
      <sz val="18"/>
      <color indexed="62"/>
      <name val="Cambria"/>
      <family val="2"/>
    </font>
    <font>
      <b/>
      <sz val="16"/>
      <color indexed="9"/>
      <name val="Tahoma"/>
      <family val="2"/>
    </font>
    <font>
      <b/>
      <sz val="18"/>
      <color theme="3"/>
      <name val="Cambria"/>
      <family val="2"/>
    </font>
    <font>
      <b/>
      <sz val="18"/>
      <color indexed="56"/>
      <name val="Cambria"/>
      <family val="2"/>
    </font>
    <font>
      <b/>
      <sz val="13"/>
      <color indexed="8"/>
      <name val="Verdana"/>
      <family val="2"/>
    </font>
    <font>
      <b/>
      <sz val="13"/>
      <name val="Century Gothic"/>
      <family val="2"/>
    </font>
    <font>
      <b/>
      <sz val="10"/>
      <color indexed="8"/>
      <name val="Times New Roman"/>
      <family val="2"/>
    </font>
    <font>
      <sz val="8"/>
      <color indexed="36"/>
      <name val="Comic Sans MS"/>
      <family val="4"/>
    </font>
    <font>
      <sz val="18"/>
      <name val="Arial"/>
      <family val="2"/>
    </font>
    <font>
      <sz val="2.25"/>
      <name val="Arial"/>
      <family val="2"/>
    </font>
    <font>
      <sz val="8"/>
      <color indexed="8"/>
      <name val="Wingdings"/>
      <charset val="2"/>
    </font>
    <font>
      <sz val="8"/>
      <color indexed="9"/>
      <name val="Tahoma"/>
      <family val="2"/>
    </font>
    <font>
      <b/>
      <sz val="8"/>
      <color indexed="22"/>
      <name val="Arial"/>
      <family val="2"/>
    </font>
    <font>
      <b/>
      <sz val="10"/>
      <color indexed="10"/>
      <name val="Arial"/>
      <family val="2"/>
    </font>
    <font>
      <sz val="11"/>
      <color indexed="10"/>
      <name val="Calibri"/>
      <family val="2"/>
    </font>
    <font>
      <sz val="10"/>
      <color indexed="10"/>
      <name val="Times New Roman"/>
      <family val="2"/>
    </font>
    <font>
      <sz val="12"/>
      <name val="바탕체"/>
      <family val="1"/>
      <charset val="129"/>
    </font>
    <font>
      <sz val="12"/>
      <name val="뼻뮝"/>
      <family val="1"/>
    </font>
    <font>
      <sz val="12"/>
      <color indexed="60"/>
      <name val="新細明體"/>
      <family val="1"/>
      <charset val="136"/>
    </font>
    <font>
      <sz val="10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0"/>
      <name val="굴림체"/>
      <family val="3"/>
    </font>
    <font>
      <sz val="12"/>
      <color indexed="17"/>
      <name val="新細明體"/>
      <family val="1"/>
      <charset val="136"/>
    </font>
    <font>
      <sz val="11"/>
      <color indexed="17"/>
      <name val="宋体"/>
      <charset val="134"/>
    </font>
    <font>
      <sz val="11"/>
      <color indexed="20"/>
      <name val="宋体"/>
      <charset val="134"/>
    </font>
    <font>
      <b/>
      <sz val="18"/>
      <color indexed="56"/>
      <name val="宋体"/>
      <charset val="134"/>
    </font>
    <font>
      <b/>
      <sz val="15"/>
      <color indexed="56"/>
      <name val="宋体"/>
      <charset val="134"/>
    </font>
    <font>
      <b/>
      <sz val="13"/>
      <color indexed="56"/>
      <name val="宋体"/>
      <charset val="134"/>
    </font>
    <font>
      <b/>
      <sz val="11"/>
      <color indexed="56"/>
      <name val="宋体"/>
      <charset val="134"/>
    </font>
    <font>
      <b/>
      <sz val="11"/>
      <color indexed="9"/>
      <name val="宋体"/>
      <charset val="134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2"/>
      <color indexed="52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1"/>
      <color indexed="10"/>
      <name val="宋体"/>
      <charset val="134"/>
    </font>
    <font>
      <b/>
      <sz val="11"/>
      <color indexed="52"/>
      <name val="宋体"/>
      <charset val="134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sz val="11"/>
      <color indexed="60"/>
      <name val="宋体"/>
      <charset val="134"/>
    </font>
    <font>
      <sz val="12"/>
      <color indexed="52"/>
      <name val="新細明體"/>
      <family val="1"/>
      <charset val="136"/>
    </font>
    <font>
      <sz val="11"/>
      <color indexed="52"/>
      <name val="宋体"/>
      <charset val="134"/>
    </font>
    <font>
      <i/>
      <sz val="10"/>
      <color rgb="FF7F7F7F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sz val="10"/>
      <color rgb="FFFA7D00"/>
      <name val="Times New Roman"/>
      <family val="2"/>
    </font>
    <font>
      <b/>
      <sz val="9"/>
      <color indexed="8"/>
      <name val="Tahoma"/>
      <family val="2"/>
    </font>
    <font>
      <i/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i/>
      <sz val="11"/>
      <color theme="6" tint="-0.249977111117893"/>
      <name val="Calibri"/>
      <family val="2"/>
      <scheme val="minor"/>
    </font>
    <font>
      <sz val="11"/>
      <color rgb="FFC00000"/>
      <name val="Calibri"/>
      <family val="2"/>
      <scheme val="minor"/>
    </font>
    <font>
      <b/>
      <i/>
      <sz val="11"/>
      <name val="Calibri"/>
      <family val="2"/>
      <scheme val="minor"/>
    </font>
    <font>
      <i/>
      <sz val="11"/>
      <color rgb="FFC00000"/>
      <name val="Calibri"/>
      <family val="2"/>
      <scheme val="minor"/>
    </font>
  </fonts>
  <fills count="7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34"/>
        <bgColor indexed="64"/>
      </patternFill>
    </fill>
    <fill>
      <patternFill patternType="solid">
        <fgColor rgb="FFF2F2F2"/>
        <bgColor indexed="64"/>
      </patternFill>
    </fill>
    <fill>
      <patternFill patternType="lightGray">
        <fgColor indexed="15"/>
      </patternFill>
    </fill>
    <fill>
      <patternFill patternType="solid">
        <fgColor rgb="FFA5A5A5"/>
        <bgColor indexed="64"/>
      </patternFill>
    </fill>
    <fill>
      <patternFill patternType="solid">
        <fgColor indexed="12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1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mediumGray">
        <fgColor indexed="22"/>
      </patternFill>
    </fill>
    <fill>
      <patternFill patternType="darkVertical"/>
    </fill>
    <fill>
      <patternFill patternType="solid">
        <fgColor indexed="56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theme="0" tint="-4.9989318521683403E-2"/>
        <bgColor indexed="64"/>
      </patternFill>
    </fill>
  </fills>
  <borders count="9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theme="6" tint="-0.499984740745262"/>
      </left>
      <right/>
      <top style="hair">
        <color theme="6" tint="-0.499984740745262"/>
      </top>
      <bottom style="hair">
        <color theme="6" tint="-0.499984740745262"/>
      </bottom>
      <diagonal/>
    </border>
    <border>
      <left/>
      <right/>
      <top style="hair">
        <color theme="6" tint="-0.499984740745262"/>
      </top>
      <bottom style="hair">
        <color theme="6" tint="-0.499984740745262"/>
      </bottom>
      <diagonal/>
    </border>
    <border>
      <left/>
      <right style="hair">
        <color theme="6" tint="-0.499984740745262"/>
      </right>
      <top style="hair">
        <color theme="6" tint="-0.499984740745262"/>
      </top>
      <bottom style="hair">
        <color theme="6" tint="-0.499984740745262"/>
      </bottom>
      <diagonal/>
    </border>
    <border>
      <left/>
      <right/>
      <top/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 style="thin">
        <color indexed="64"/>
      </bottom>
      <diagonal/>
    </border>
    <border>
      <left/>
      <right style="hair">
        <color theme="6" tint="-0.499984740745262"/>
      </right>
      <top style="hair">
        <color theme="6" tint="-0.499984740745262"/>
      </top>
      <bottom/>
      <diagonal/>
    </border>
    <border>
      <left/>
      <right style="hair">
        <color theme="6" tint="-0.499984740745262"/>
      </right>
      <top/>
      <bottom/>
      <diagonal/>
    </border>
    <border>
      <left/>
      <right style="hair">
        <color theme="6" tint="-0.499984740745262"/>
      </right>
      <top/>
      <bottom style="medium">
        <color indexed="64"/>
      </bottom>
      <diagonal/>
    </border>
    <border>
      <left/>
      <right/>
      <top style="thin">
        <color indexed="64"/>
      </top>
      <bottom style="hair">
        <color theme="6" tint="-0.499984740745262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medium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 style="hair">
        <color theme="6" tint="-0.499984740745262"/>
      </top>
      <bottom style="thin">
        <color indexed="64"/>
      </bottom>
      <diagonal/>
    </border>
    <border>
      <left style="hair">
        <color theme="6" tint="-0.499984740745262"/>
      </left>
      <right style="hair">
        <color theme="6" tint="-0.499984740745262"/>
      </right>
      <top/>
      <bottom/>
      <diagonal/>
    </border>
    <border>
      <left style="hair">
        <color theme="6" tint="-0.499984740745262"/>
      </left>
      <right style="hair">
        <color theme="6" tint="-0.499984740745262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8"/>
      </bottom>
      <diagonal/>
    </border>
    <border>
      <left style="double">
        <color indexed="64"/>
      </left>
      <right/>
      <top/>
      <bottom style="hair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9"/>
      </right>
      <top/>
      <bottom style="medium">
        <color indexed="9"/>
      </bottom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64"/>
      </bottom>
      <diagonal/>
    </border>
    <border>
      <left/>
      <right/>
      <top/>
      <bottom style="thin">
        <color indexed="4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hair">
        <color indexed="56"/>
      </left>
      <right style="hair">
        <color indexed="56"/>
      </right>
      <top style="hair">
        <color indexed="56"/>
      </top>
      <bottom style="hair">
        <color indexed="56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32"/>
      </left>
      <right style="hair">
        <color indexed="32"/>
      </right>
      <top style="hair">
        <color indexed="32"/>
      </top>
      <bottom style="hair">
        <color indexed="32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 style="hair">
        <color indexed="8"/>
      </top>
      <bottom/>
      <diagonal/>
    </border>
    <border>
      <left/>
      <right/>
      <top/>
      <bottom style="dash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 style="thin">
        <color indexed="8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 style="thin">
        <color indexed="55"/>
      </right>
      <top/>
      <bottom/>
      <diagonal/>
    </border>
    <border>
      <left/>
      <right/>
      <top/>
      <bottom style="thick">
        <color indexed="5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4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 style="hair">
        <color indexed="18"/>
      </left>
      <right style="hair">
        <color indexed="18"/>
      </right>
      <top style="hair">
        <color indexed="18"/>
      </top>
      <bottom style="hair">
        <color indexed="18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8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58"/>
      </left>
      <right style="thin">
        <color indexed="58"/>
      </right>
      <top style="hair">
        <color indexed="58"/>
      </top>
      <bottom style="hair">
        <color indexed="5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hair">
        <color indexed="62"/>
      </left>
      <right style="hair">
        <color indexed="62"/>
      </right>
      <top style="hair">
        <color indexed="62"/>
      </top>
      <bottom style="hair">
        <color indexed="6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thin">
        <color indexed="54"/>
      </top>
      <bottom style="double">
        <color indexed="54"/>
      </bottom>
      <diagonal/>
    </border>
    <border>
      <left/>
      <right/>
      <top style="double">
        <color indexed="64"/>
      </top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hair">
        <color indexed="17"/>
      </left>
      <right style="hair">
        <color indexed="17"/>
      </right>
      <top style="hair">
        <color indexed="17"/>
      </top>
      <bottom style="hair">
        <color indexed="17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 style="thin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</borders>
  <cellStyleXfs count="4386">
    <xf numFmtId="0" fontId="0" fillId="0" borderId="0"/>
    <xf numFmtId="0" fontId="10" fillId="4" borderId="0"/>
    <xf numFmtId="164" fontId="11" fillId="0" borderId="0" applyFont="0" applyFill="0" applyBorder="0" applyAlignment="0" applyProtection="0"/>
    <xf numFmtId="0" fontId="12" fillId="4" borderId="8">
      <alignment horizontal="right"/>
    </xf>
    <xf numFmtId="0" fontId="11" fillId="0" borderId="0"/>
    <xf numFmtId="0" fontId="13" fillId="0" borderId="0"/>
    <xf numFmtId="43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32" fillId="0" borderId="0"/>
    <xf numFmtId="0" fontId="11" fillId="0" borderId="0"/>
    <xf numFmtId="0" fontId="11" fillId="0" borderId="0"/>
    <xf numFmtId="0" fontId="11" fillId="0" borderId="0"/>
    <xf numFmtId="9" fontId="49" fillId="0" borderId="0">
      <alignment horizontal="right"/>
    </xf>
    <xf numFmtId="0" fontId="11" fillId="0" borderId="0"/>
    <xf numFmtId="0" fontId="46" fillId="0" borderId="0"/>
    <xf numFmtId="0" fontId="50" fillId="0" borderId="0"/>
    <xf numFmtId="3" fontId="11" fillId="0" borderId="0"/>
    <xf numFmtId="178" fontId="27" fillId="0" borderId="0"/>
    <xf numFmtId="179" fontId="51" fillId="0" borderId="0">
      <alignment horizontal="right"/>
    </xf>
    <xf numFmtId="0" fontId="11" fillId="0" borderId="0"/>
    <xf numFmtId="0" fontId="52" fillId="0" borderId="0"/>
    <xf numFmtId="0" fontId="11" fillId="0" borderId="0">
      <alignment vertical="top"/>
    </xf>
    <xf numFmtId="0" fontId="53" fillId="0" borderId="0"/>
    <xf numFmtId="180" fontId="11" fillId="0" borderId="0" applyFont="0" applyFill="0" applyBorder="0" applyAlignment="0" applyProtection="0"/>
    <xf numFmtId="41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2" fontId="53" fillId="0" borderId="0" applyFont="0" applyFill="0" applyBorder="0" applyAlignment="0" applyProtection="0"/>
    <xf numFmtId="0" fontId="11" fillId="0" borderId="0"/>
    <xf numFmtId="181" fontId="47" fillId="0" borderId="0"/>
    <xf numFmtId="182" fontId="11" fillId="0" borderId="0" applyFont="0" applyFill="0" applyBorder="0" applyAlignment="0" applyProtection="0"/>
    <xf numFmtId="166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168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2" fillId="0" borderId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4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4" fontId="11" fillId="0" borderId="0" applyFont="0" applyFill="0" applyBorder="0" applyAlignment="0" applyProtection="0"/>
    <xf numFmtId="185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186" fontId="11" fillId="0" borderId="0" applyFont="0" applyFill="0" applyBorder="0" applyAlignment="0" applyProtection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8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6" fontId="54" fillId="0" borderId="0" applyFont="0" applyFill="0" applyBorder="0" applyAlignment="0" applyProtection="0"/>
    <xf numFmtId="187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90" fontId="11" fillId="0" borderId="0" applyFont="0" applyFill="0" applyBorder="0" applyAlignment="0" applyProtection="0"/>
    <xf numFmtId="187" fontId="11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89" fontId="54" fillId="0" borderId="0" applyFont="0" applyFill="0" applyBorder="0" applyAlignment="0" applyProtection="0"/>
    <xf numFmtId="188" fontId="11" fillId="0" borderId="0" applyFont="0" applyFill="0" applyBorder="0" applyAlignment="0" applyProtection="0"/>
    <xf numFmtId="191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92" fontId="11" fillId="0" borderId="0" applyFont="0" applyFill="0" applyBorder="0" applyAlignment="0" applyProtection="0"/>
    <xf numFmtId="193" fontId="54" fillId="0" borderId="0" applyFont="0" applyFill="0" applyBorder="0" applyAlignment="0" applyProtection="0"/>
    <xf numFmtId="186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192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39" fontId="11" fillId="0" borderId="0" applyFont="0" applyFill="0" applyBorder="0" applyAlignment="0" applyProtection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4" fontId="11" fillId="0" borderId="0" applyFont="0" applyFill="0" applyBorder="0" applyAlignment="0" applyProtection="0"/>
    <xf numFmtId="195" fontId="54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 applyBorder="0"/>
    <xf numFmtId="0" fontId="11" fillId="0" borderId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11" fillId="11" borderId="0" applyNumberFormat="0" applyFont="0" applyAlignment="0" applyProtection="0"/>
    <xf numFmtId="0" fontId="37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196" fontId="11" fillId="0" borderId="0" applyFont="0" applyFill="0" applyBorder="0" applyAlignment="0" applyProtection="0"/>
    <xf numFmtId="197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6" fontId="11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8" fontId="11" fillId="0" borderId="0" applyFont="0" applyFill="0" applyBorder="0" applyAlignment="0" applyProtection="0"/>
    <xf numFmtId="199" fontId="54" fillId="0" borderId="0" applyFont="0" applyFill="0" applyBorder="0" applyAlignment="0" applyProtection="0"/>
    <xf numFmtId="197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1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0" fontId="11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0" fontId="11" fillId="0" borderId="0" applyFont="0" applyFill="0" applyBorder="0" applyProtection="0">
      <alignment horizontal="right"/>
    </xf>
    <xf numFmtId="175" fontId="54" fillId="0" borderId="0" applyFont="0" applyFill="0" applyBorder="0" applyProtection="0">
      <alignment horizontal="right"/>
    </xf>
    <xf numFmtId="202" fontId="11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54" fillId="0" borderId="0" applyFont="0" applyFill="0" applyBorder="0" applyAlignment="0" applyProtection="0"/>
    <xf numFmtId="201" fontId="11" fillId="0" borderId="0" applyFont="0" applyFill="0" applyBorder="0" applyAlignment="0" applyProtection="0"/>
    <xf numFmtId="197" fontId="11" fillId="0" borderId="0" applyFont="0" applyFill="0" applyBorder="0" applyProtection="0">
      <alignment horizontal="right"/>
    </xf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0" fontId="50" fillId="0" borderId="0"/>
    <xf numFmtId="204" fontId="11" fillId="0" borderId="0" applyFont="0" applyFill="0" applyBorder="0" applyAlignment="0" applyProtection="0"/>
    <xf numFmtId="182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5" fontId="54" fillId="0" borderId="0" applyFont="0" applyFill="0" applyBorder="0" applyAlignment="0" applyProtection="0"/>
    <xf numFmtId="182" fontId="11" fillId="0" borderId="0" applyFont="0" applyFill="0" applyBorder="0" applyAlignment="0" applyProtection="0"/>
    <xf numFmtId="206" fontId="11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27" fillId="0" borderId="0" applyFont="0" applyFill="0" applyBorder="0" applyAlignment="0" applyProtection="0"/>
    <xf numFmtId="207" fontId="54" fillId="0" borderId="0" applyFont="0" applyFill="0" applyBorder="0" applyAlignment="0" applyProtection="0"/>
    <xf numFmtId="183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0" fontId="56" fillId="0" borderId="0" applyNumberFormat="0" applyFill="0" applyBorder="0" applyProtection="0">
      <alignment vertical="top"/>
    </xf>
    <xf numFmtId="0" fontId="56" fillId="0" borderId="0" applyNumberFormat="0" applyFill="0" applyBorder="0" applyAlignment="0" applyProtection="0">
      <alignment vertical="top"/>
    </xf>
    <xf numFmtId="0" fontId="56" fillId="0" borderId="0" applyNumberFormat="0" applyFill="0" applyBorder="0" applyProtection="0">
      <alignment vertical="top"/>
    </xf>
    <xf numFmtId="0" fontId="34" fillId="0" borderId="39" applyNumberFormat="0" applyFill="0" applyAlignment="0" applyProtection="0"/>
    <xf numFmtId="0" fontId="34" fillId="0" borderId="40" applyNumberFormat="0" applyFill="0" applyAlignment="0" applyProtection="0"/>
    <xf numFmtId="0" fontId="34" fillId="0" borderId="39" applyNumberFormat="0" applyFill="0" applyAlignment="0" applyProtection="0"/>
    <xf numFmtId="0" fontId="34" fillId="0" borderId="39" applyNumberFormat="0" applyFill="0" applyAlignment="0" applyProtection="0"/>
    <xf numFmtId="0" fontId="34" fillId="0" borderId="0" applyNumberFormat="0" applyFill="0" applyBorder="0" applyAlignment="0" applyProtection="0"/>
    <xf numFmtId="0" fontId="34" fillId="0" borderId="0" applyNumberFormat="0" applyFill="0" applyBorder="0" applyAlignment="0" applyProtection="0"/>
    <xf numFmtId="0" fontId="34" fillId="0" borderId="40" applyNumberFormat="0" applyFill="0" applyAlignment="0" applyProtection="0"/>
    <xf numFmtId="0" fontId="57" fillId="0" borderId="41" applyNumberFormat="0" applyFill="0" applyProtection="0">
      <alignment horizontal="center"/>
    </xf>
    <xf numFmtId="0" fontId="57" fillId="0" borderId="41" applyNumberFormat="0" applyFill="0" applyProtection="0">
      <alignment horizontal="center"/>
    </xf>
    <xf numFmtId="0" fontId="57" fillId="0" borderId="41" applyNumberFormat="0" applyFill="0" applyProtection="0">
      <alignment horizontal="center"/>
    </xf>
    <xf numFmtId="0" fontId="57" fillId="0" borderId="41" applyNumberFormat="0" applyFill="0" applyProtection="0">
      <alignment horizontal="center"/>
    </xf>
    <xf numFmtId="0" fontId="57" fillId="0" borderId="41" applyNumberFormat="0" applyFill="0" applyProtection="0">
      <alignment horizontal="center"/>
    </xf>
    <xf numFmtId="0" fontId="57" fillId="0" borderId="41" applyNumberFormat="0" applyFill="0" applyProtection="0">
      <alignment horizontal="center"/>
    </xf>
    <xf numFmtId="0" fontId="11" fillId="0" borderId="42" applyNumberFormat="0" applyFont="0" applyFill="0" applyAlignment="0" applyProtection="0"/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7" fillId="0" borderId="0" applyNumberFormat="0" applyFill="0" applyBorder="0" applyProtection="0">
      <alignment horizontal="left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58" fillId="0" borderId="0" applyNumberFormat="0" applyFill="0" applyProtection="0">
      <alignment horizontal="centerContinuous"/>
    </xf>
    <xf numFmtId="0" fontId="58" fillId="0" borderId="0" applyNumberFormat="0" applyFill="0" applyBorder="0" applyProtection="0">
      <alignment horizontal="centerContinuous"/>
    </xf>
    <xf numFmtId="0" fontId="34" fillId="0" borderId="0" applyNumberForma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37" fillId="0" borderId="0"/>
    <xf numFmtId="0" fontId="50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4" fontId="11" fillId="0" borderId="0" applyFont="0" applyFill="0" applyBorder="0" applyAlignment="0" applyProtection="0"/>
    <xf numFmtId="42" fontId="11" fillId="0" borderId="0" applyFont="0" applyFill="0" applyBorder="0" applyAlignment="0" applyProtection="0"/>
    <xf numFmtId="0" fontId="59" fillId="0" borderId="0"/>
    <xf numFmtId="0" fontId="60" fillId="0" borderId="0"/>
    <xf numFmtId="0" fontId="52" fillId="0" borderId="0"/>
    <xf numFmtId="208" fontId="34" fillId="0" borderId="0">
      <alignment horizontal="right" vertical="top"/>
    </xf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5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6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17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18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61" fillId="7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20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61" fillId="21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14" borderId="0" applyNumberFormat="0" applyBorder="0" applyAlignment="0" applyProtection="0"/>
    <xf numFmtId="0" fontId="32" fillId="22" borderId="0" applyNumberFormat="0" applyBorder="0" applyAlignment="0" applyProtection="0"/>
    <xf numFmtId="0" fontId="62" fillId="12" borderId="0" applyNumberFormat="0" applyBorder="0" applyAlignment="0" applyProtection="0">
      <alignment vertical="center"/>
    </xf>
    <xf numFmtId="0" fontId="62" fillId="16" borderId="0" applyNumberFormat="0" applyBorder="0" applyAlignment="0" applyProtection="0">
      <alignment vertical="center"/>
    </xf>
    <xf numFmtId="0" fontId="62" fillId="10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0" borderId="0" applyNumberFormat="0" applyBorder="0" applyAlignment="0" applyProtection="0">
      <alignment vertical="center"/>
    </xf>
    <xf numFmtId="0" fontId="62" fillId="22" borderId="0" applyNumberFormat="0" applyBorder="0" applyAlignment="0" applyProtection="0">
      <alignment vertical="center"/>
    </xf>
    <xf numFmtId="0" fontId="63" fillId="12" borderId="0" applyNumberFormat="0" applyBorder="0" applyAlignment="0" applyProtection="0">
      <alignment vertical="center"/>
    </xf>
    <xf numFmtId="0" fontId="63" fillId="16" borderId="0" applyNumberFormat="0" applyBorder="0" applyAlignment="0" applyProtection="0">
      <alignment vertical="center"/>
    </xf>
    <xf numFmtId="0" fontId="63" fillId="10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0" borderId="0" applyNumberFormat="0" applyBorder="0" applyAlignment="0" applyProtection="0">
      <alignment vertical="center"/>
    </xf>
    <xf numFmtId="0" fontId="63" fillId="22" borderId="0" applyNumberFormat="0" applyBorder="0" applyAlignment="0" applyProtection="0">
      <alignment vertical="center"/>
    </xf>
    <xf numFmtId="0" fontId="11" fillId="0" borderId="0"/>
    <xf numFmtId="0" fontId="59" fillId="0" borderId="0" applyFont="0" applyFill="0" applyBorder="0" applyAlignment="0" applyProtection="0"/>
    <xf numFmtId="0" fontId="59" fillId="0" borderId="0" applyFont="0" applyFill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23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6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7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61" fillId="6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10" borderId="0" applyNumberFormat="0" applyBorder="0" applyAlignment="0" applyProtection="0"/>
    <xf numFmtId="0" fontId="32" fillId="28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61" fillId="2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25" borderId="0" applyNumberFormat="0" applyBorder="0" applyAlignment="0" applyProtection="0"/>
    <xf numFmtId="0" fontId="32" fillId="19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61" fillId="30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12" borderId="0" applyNumberFormat="0" applyBorder="0" applyAlignment="0" applyProtection="0"/>
    <xf numFmtId="0" fontId="32" fillId="24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61" fillId="31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22" borderId="0" applyNumberFormat="0" applyBorder="0" applyAlignment="0" applyProtection="0"/>
    <xf numFmtId="0" fontId="32" fillId="32" borderId="0" applyNumberFormat="0" applyBorder="0" applyAlignment="0" applyProtection="0"/>
    <xf numFmtId="0" fontId="62" fillId="24" borderId="0" applyNumberFormat="0" applyBorder="0" applyAlignment="0" applyProtection="0">
      <alignment vertical="center"/>
    </xf>
    <xf numFmtId="0" fontId="62" fillId="27" borderId="0" applyNumberFormat="0" applyBorder="0" applyAlignment="0" applyProtection="0">
      <alignment vertical="center"/>
    </xf>
    <xf numFmtId="0" fontId="62" fillId="28" borderId="0" applyNumberFormat="0" applyBorder="0" applyAlignment="0" applyProtection="0">
      <alignment vertical="center"/>
    </xf>
    <xf numFmtId="0" fontId="62" fillId="19" borderId="0" applyNumberFormat="0" applyBorder="0" applyAlignment="0" applyProtection="0">
      <alignment vertical="center"/>
    </xf>
    <xf numFmtId="0" fontId="62" fillId="24" borderId="0" applyNumberFormat="0" applyBorder="0" applyAlignment="0" applyProtection="0">
      <alignment vertical="center"/>
    </xf>
    <xf numFmtId="0" fontId="62" fillId="32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27" borderId="0" applyNumberFormat="0" applyBorder="0" applyAlignment="0" applyProtection="0">
      <alignment vertical="center"/>
    </xf>
    <xf numFmtId="0" fontId="63" fillId="28" borderId="0" applyNumberFormat="0" applyBorder="0" applyAlignment="0" applyProtection="0">
      <alignment vertical="center"/>
    </xf>
    <xf numFmtId="0" fontId="63" fillId="19" borderId="0" applyNumberFormat="0" applyBorder="0" applyAlignment="0" applyProtection="0">
      <alignment vertical="center"/>
    </xf>
    <xf numFmtId="0" fontId="63" fillId="24" borderId="0" applyNumberFormat="0" applyBorder="0" applyAlignment="0" applyProtection="0">
      <alignment vertical="center"/>
    </xf>
    <xf numFmtId="0" fontId="63" fillId="32" borderId="0" applyNumberFormat="0" applyBorder="0" applyAlignment="0" applyProtection="0">
      <alignment vertical="center"/>
    </xf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3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3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3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6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5" fillId="37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25" borderId="0" applyNumberFormat="0" applyBorder="0" applyAlignment="0" applyProtection="0"/>
    <xf numFmtId="0" fontId="64" fillId="38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5" fillId="39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24" borderId="0" applyNumberFormat="0" applyBorder="0" applyAlignment="0" applyProtection="0"/>
    <xf numFmtId="0" fontId="64" fillId="40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5" fillId="41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22" borderId="0" applyNumberFormat="0" applyBorder="0" applyAlignment="0" applyProtection="0"/>
    <xf numFmtId="0" fontId="64" fillId="42" borderId="0" applyNumberFormat="0" applyBorder="0" applyAlignment="0" applyProtection="0"/>
    <xf numFmtId="0" fontId="66" fillId="34" borderId="0" applyNumberFormat="0" applyBorder="0" applyAlignment="0" applyProtection="0">
      <alignment vertical="center"/>
    </xf>
    <xf numFmtId="0" fontId="66" fillId="27" borderId="0" applyNumberFormat="0" applyBorder="0" applyAlignment="0" applyProtection="0">
      <alignment vertical="center"/>
    </xf>
    <xf numFmtId="0" fontId="66" fillId="28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42" borderId="0" applyNumberFormat="0" applyBorder="0" applyAlignment="0" applyProtection="0">
      <alignment vertical="center"/>
    </xf>
    <xf numFmtId="0" fontId="67" fillId="34" borderId="0" applyNumberFormat="0" applyBorder="0" applyAlignment="0" applyProtection="0">
      <alignment vertical="center"/>
    </xf>
    <xf numFmtId="0" fontId="67" fillId="27" borderId="0" applyNumberFormat="0" applyBorder="0" applyAlignment="0" applyProtection="0">
      <alignment vertical="center"/>
    </xf>
    <xf numFmtId="0" fontId="67" fillId="28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42" borderId="0" applyNumberFormat="0" applyBorder="0" applyAlignment="0" applyProtection="0">
      <alignment vertical="center"/>
    </xf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44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5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5" fillId="47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6" borderId="0" applyNumberFormat="0" applyBorder="0" applyAlignment="0" applyProtection="0"/>
    <xf numFmtId="0" fontId="64" fillId="48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5" fillId="50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49" borderId="0" applyNumberFormat="0" applyBorder="0" applyAlignment="0" applyProtection="0"/>
    <xf numFmtId="0" fontId="64" fillId="51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5" fillId="52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43" borderId="0" applyNumberFormat="0" applyBorder="0" applyAlignment="0" applyProtection="0"/>
    <xf numFmtId="0" fontId="64" fillId="38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5" fillId="53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40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5" fillId="54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27" borderId="0" applyNumberFormat="0" applyBorder="0" applyAlignment="0" applyProtection="0"/>
    <xf numFmtId="0" fontId="64" fillId="55" borderId="0" applyNumberFormat="0" applyBorder="0" applyAlignment="0" applyProtection="0"/>
    <xf numFmtId="41" fontId="11" fillId="0" borderId="0"/>
    <xf numFmtId="209" fontId="29" fillId="24" borderId="43">
      <alignment horizontal="center"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210" fontId="68" fillId="9" borderId="44" applyProtection="0">
      <alignment vertical="center"/>
    </xf>
    <xf numFmtId="0" fontId="11" fillId="0" borderId="0">
      <alignment horizontal="center" wrapText="1"/>
      <protection locked="0"/>
    </xf>
    <xf numFmtId="0" fontId="46" fillId="0" borderId="0">
      <alignment horizontal="center" wrapText="1"/>
      <protection locked="0"/>
    </xf>
    <xf numFmtId="0" fontId="11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1" fontId="11" fillId="56" borderId="0"/>
    <xf numFmtId="0" fontId="69" fillId="0" borderId="45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41" fillId="8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0" fillId="16" borderId="0" applyNumberFormat="0" applyBorder="0" applyAlignment="0" applyProtection="0"/>
    <xf numFmtId="0" fontId="71" fillId="16" borderId="0" applyNumberFormat="0" applyBorder="0" applyAlignment="0" applyProtection="0"/>
    <xf numFmtId="3" fontId="72" fillId="57" borderId="0">
      <alignment horizontal="center" vertical="justify"/>
    </xf>
    <xf numFmtId="3" fontId="73" fillId="58" borderId="46">
      <alignment horizontal="center"/>
    </xf>
    <xf numFmtId="0" fontId="30" fillId="0" borderId="33" applyNumberFormat="0" applyFont="0" applyAlignment="0" applyProtection="0"/>
    <xf numFmtId="0" fontId="12" fillId="56" borderId="47">
      <alignment horizontal="center" vertical="center"/>
    </xf>
    <xf numFmtId="0" fontId="12" fillId="56" borderId="48">
      <alignment horizontal="center"/>
    </xf>
    <xf numFmtId="177" fontId="74" fillId="25" borderId="49">
      <alignment horizontal="center" vertical="center" wrapText="1"/>
    </xf>
    <xf numFmtId="0" fontId="75" fillId="0" borderId="0">
      <alignment vertical="center"/>
    </xf>
    <xf numFmtId="177" fontId="76" fillId="25" borderId="49">
      <alignment horizontal="left" vertical="center" wrapText="1"/>
    </xf>
    <xf numFmtId="0" fontId="77" fillId="25" borderId="0">
      <alignment horizontal="center"/>
    </xf>
    <xf numFmtId="177" fontId="78" fillId="25" borderId="49">
      <alignment horizontal="center" vertical="center" wrapTex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0" fontId="79" fillId="49" borderId="0">
      <alignment horizontal="left" vertical="center" indent="1"/>
    </xf>
    <xf numFmtId="5" fontId="80" fillId="0" borderId="1" applyAlignment="0" applyProtection="0"/>
    <xf numFmtId="0" fontId="46" fillId="0" borderId="33" applyNumberFormat="0" applyFont="0" applyFill="0" applyAlignment="0" applyProtection="0"/>
    <xf numFmtId="0" fontId="46" fillId="0" borderId="50" applyNumberFormat="0" applyFont="0" applyFill="0" applyAlignment="0" applyProtection="0"/>
    <xf numFmtId="0" fontId="81" fillId="0" borderId="0" applyFont="0" applyFill="0" applyBorder="0" applyAlignment="0" applyProtection="0"/>
    <xf numFmtId="211" fontId="82" fillId="0" borderId="0" applyFill="0" applyBorder="0" applyAlignment="0"/>
    <xf numFmtId="211" fontId="82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Fill="0" applyBorder="0" applyAlignment="0"/>
    <xf numFmtId="214" fontId="31" fillId="0" borderId="0" applyFill="0" applyBorder="0" applyAlignment="0"/>
    <xf numFmtId="167" fontId="11" fillId="0" borderId="0" applyFill="0" applyBorder="0" applyAlignment="0"/>
    <xf numFmtId="215" fontId="31" fillId="0" borderId="0" applyFill="0" applyBorder="0" applyAlignment="0"/>
    <xf numFmtId="205" fontId="83" fillId="0" borderId="0" applyFill="0" applyBorder="0" applyAlignment="0"/>
    <xf numFmtId="216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84" fillId="0" borderId="51" applyNumberFormat="0" applyAlignment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45" fillId="59" borderId="26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6" fillId="25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6" fillId="25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6" fillId="25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6" fillId="25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5" fillId="9" borderId="52" applyNumberFormat="0" applyAlignment="0" applyProtection="0"/>
    <xf numFmtId="0" fontId="86" fillId="25" borderId="52" applyNumberFormat="0" applyAlignment="0" applyProtection="0"/>
    <xf numFmtId="0" fontId="39" fillId="0" borderId="0" applyNumberFormat="0" applyFill="0" applyBorder="0" applyAlignment="0"/>
    <xf numFmtId="37" fontId="87" fillId="60" borderId="0" applyNumberFormat="0" applyFont="0" applyBorder="0" applyAlignment="0">
      <alignment horizontal="center"/>
    </xf>
    <xf numFmtId="0" fontId="11" fillId="0" borderId="0"/>
    <xf numFmtId="220" fontId="28" fillId="0" borderId="0" applyFill="0" applyBorder="0" applyProtection="0">
      <alignment horizontal="center" vertical="center"/>
    </xf>
    <xf numFmtId="220" fontId="28" fillId="0" borderId="0" applyFill="0" applyBorder="0" applyProtection="0">
      <alignment horizontal="center" vertical="center"/>
    </xf>
    <xf numFmtId="0" fontId="11" fillId="0" borderId="0">
      <alignment horizontal="centerContinuous"/>
    </xf>
    <xf numFmtId="0" fontId="88" fillId="0" borderId="0" applyNumberFormat="0" applyFill="0" applyBorder="0" applyAlignment="0"/>
    <xf numFmtId="0" fontId="82" fillId="0" borderId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89" fillId="61" borderId="29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10" fillId="49" borderId="53" applyNumberFormat="0" applyAlignment="0" applyProtection="0"/>
    <xf numFmtId="0" fontId="90" fillId="0" borderId="0" applyNumberFormat="0" applyFill="0" applyBorder="0" applyAlignment="0" applyProtection="0">
      <alignment vertical="top"/>
    </xf>
    <xf numFmtId="41" fontId="12" fillId="62" borderId="0">
      <alignment horizontal="left"/>
    </xf>
    <xf numFmtId="41" fontId="91" fillId="62" borderId="0">
      <alignment horizontal="right"/>
    </xf>
    <xf numFmtId="41" fontId="92" fillId="9" borderId="0">
      <alignment horizontal="center"/>
    </xf>
    <xf numFmtId="0" fontId="93" fillId="63" borderId="0"/>
    <xf numFmtId="41" fontId="91" fillId="62" borderId="0">
      <alignment horizontal="right"/>
    </xf>
    <xf numFmtId="41" fontId="94" fillId="9" borderId="0">
      <alignment horizontal="left"/>
    </xf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21" fontId="31" fillId="0" borderId="0"/>
    <xf numFmtId="217" fontId="11" fillId="0" borderId="0" applyFont="0" applyFill="0" applyBorder="0" applyAlignment="0" applyProtection="0"/>
    <xf numFmtId="218" fontId="31" fillId="0" borderId="0" applyFont="0" applyFill="0" applyBorder="0" applyAlignment="0" applyProtection="0"/>
    <xf numFmtId="38" fontId="95" fillId="0" borderId="0">
      <alignment horizontal="center"/>
      <protection locked="0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222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32" fillId="0" borderId="0" applyFont="0" applyFill="0" applyBorder="0" applyAlignment="0" applyProtection="0"/>
    <xf numFmtId="43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223" fontId="29" fillId="0" borderId="0"/>
    <xf numFmtId="3" fontId="11" fillId="0" borderId="0" applyFont="0" applyFill="0" applyBorder="0" applyAlignment="0" applyProtection="0"/>
    <xf numFmtId="3" fontId="31" fillId="0" borderId="0" applyFont="0" applyFill="0" applyBorder="0" applyAlignment="0" applyProtection="0"/>
    <xf numFmtId="0" fontId="11" fillId="0" borderId="0" applyNumberFormat="0" applyAlignment="0">
      <alignment horizontal="left"/>
    </xf>
    <xf numFmtId="0" fontId="96" fillId="0" borderId="0" applyNumberFormat="0" applyAlignment="0">
      <alignment horizontal="left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3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11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0" fontId="97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224" fontId="52" fillId="25" borderId="0">
      <protection hidden="1"/>
    </xf>
    <xf numFmtId="0" fontId="11" fillId="25" borderId="0">
      <protection hidden="1"/>
    </xf>
    <xf numFmtId="0" fontId="83" fillId="0" borderId="0" applyNumberFormat="0" applyAlignment="0"/>
    <xf numFmtId="6" fontId="60" fillId="0" borderId="0" applyFont="0" applyFill="0" applyBorder="0" applyAlignment="0" applyProtection="0"/>
    <xf numFmtId="212" fontId="11" fillId="0" borderId="0" applyFont="0" applyFill="0" applyBorder="0" applyAlignment="0" applyProtection="0"/>
    <xf numFmtId="213" fontId="31" fillId="0" borderId="0" applyFont="0" applyFill="0" applyBorder="0" applyAlignment="0" applyProtection="0"/>
    <xf numFmtId="203" fontId="47" fillId="0" borderId="0"/>
    <xf numFmtId="8" fontId="98" fillId="0" borderId="54">
      <protection locked="0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0" fontId="11" fillId="0" borderId="0" applyFont="0" applyFill="0" applyBorder="0" applyAlignment="0" applyProtection="0">
      <alignment horizontal="right"/>
    </xf>
    <xf numFmtId="44" fontId="11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32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44" fontId="11" fillId="0" borderId="0" applyFont="0" applyFill="0" applyBorder="0" applyAlignment="0" applyProtection="0"/>
    <xf numFmtId="225" fontId="99" fillId="0" borderId="0" applyFont="0" applyFill="0" applyBorder="0" applyAlignment="0" applyProtection="0"/>
    <xf numFmtId="226" fontId="31" fillId="0" borderId="0" applyFont="0" applyFill="0" applyBorder="0" applyAlignment="0" applyProtection="0"/>
    <xf numFmtId="227" fontId="29" fillId="0" borderId="0"/>
    <xf numFmtId="49" fontId="100" fillId="64" borderId="0">
      <alignment vertical="center"/>
    </xf>
    <xf numFmtId="228" fontId="11" fillId="0" borderId="0" applyNumberFormat="0" applyFont="0" applyBorder="0" applyAlignment="0">
      <alignment horizontal="centerContinuous"/>
    </xf>
    <xf numFmtId="3" fontId="101" fillId="0" borderId="0"/>
    <xf numFmtId="0" fontId="29" fillId="0" borderId="0" applyNumberFormat="0" applyFont="0" applyBorder="0" applyAlignment="0"/>
    <xf numFmtId="17" fontId="102" fillId="0" borderId="55">
      <alignment horizontal="center" vertical="center"/>
    </xf>
    <xf numFmtId="0" fontId="11" fillId="0" borderId="0" applyFont="0" applyFill="0" applyBorder="0" applyAlignment="0" applyProtection="0"/>
    <xf numFmtId="229" fontId="11" fillId="0" borderId="56" applyFont="0" applyFill="0" applyAlignment="0" applyProtection="0"/>
    <xf numFmtId="230" fontId="11" fillId="0" borderId="0" applyFont="0" applyFill="0" applyAlignment="0" applyProtection="0"/>
    <xf numFmtId="231" fontId="11" fillId="0" borderId="42"/>
    <xf numFmtId="0" fontId="46" fillId="0" borderId="0" applyFont="0" applyFill="0" applyBorder="0" applyProtection="0">
      <alignment horizontal="right"/>
    </xf>
    <xf numFmtId="0" fontId="11" fillId="0" borderId="0" applyFont="0" applyFill="0" applyBorder="0" applyAlignment="0" applyProtection="0"/>
    <xf numFmtId="16" fontId="82" fillId="0" borderId="0" applyFont="0" applyFill="0" applyBorder="0" applyAlignment="0" applyProtection="0"/>
    <xf numFmtId="15" fontId="82" fillId="0" borderId="0" applyFont="0" applyFill="0" applyBorder="0" applyAlignment="0" applyProtection="0"/>
    <xf numFmtId="17" fontId="82" fillId="0" borderId="0" applyFont="0" applyFill="0" applyBorder="0" applyAlignment="0" applyProtection="0"/>
    <xf numFmtId="14" fontId="82" fillId="0" borderId="0" applyFill="0" applyBorder="0" applyAlignment="0"/>
    <xf numFmtId="0" fontId="46" fillId="0" borderId="0" applyFont="0" applyFill="0" applyBorder="0" applyProtection="0">
      <alignment horizontal="right"/>
    </xf>
    <xf numFmtId="232" fontId="103" fillId="0" borderId="0" applyFill="0" applyBorder="0">
      <alignment horizontal="right"/>
    </xf>
    <xf numFmtId="0" fontId="79" fillId="0" borderId="57">
      <alignment horizontal="center" vertical="center"/>
    </xf>
    <xf numFmtId="0" fontId="79" fillId="0" borderId="57" applyBorder="0">
      <alignment horizontal="center" vertical="center"/>
    </xf>
    <xf numFmtId="0" fontId="104" fillId="0" borderId="0" applyNumberFormat="0" applyFont="0" applyFill="0" applyBorder="0" applyAlignment="0" applyProtection="0">
      <alignment horizontal="left"/>
    </xf>
    <xf numFmtId="0" fontId="11" fillId="0" borderId="0"/>
    <xf numFmtId="0" fontId="97" fillId="0" borderId="0">
      <protection hidden="1"/>
    </xf>
    <xf numFmtId="0" fontId="11" fillId="0" borderId="0">
      <protection hidden="1"/>
    </xf>
    <xf numFmtId="0" fontId="105" fillId="0" borderId="0">
      <protection hidden="1"/>
    </xf>
    <xf numFmtId="233" fontId="47" fillId="65" borderId="0">
      <alignment horizontal="right"/>
    </xf>
    <xf numFmtId="0" fontId="27" fillId="0" borderId="0"/>
    <xf numFmtId="234" fontId="11" fillId="0" borderId="58">
      <alignment vertical="center"/>
    </xf>
    <xf numFmtId="15" fontId="106" fillId="66" borderId="0" applyNumberFormat="0" applyFont="0" applyBorder="0" applyAlignment="0" applyProtection="0"/>
    <xf numFmtId="3" fontId="97" fillId="0" borderId="59"/>
    <xf numFmtId="235" fontId="11" fillId="0" borderId="0" applyFont="0" applyFill="0" applyAlignment="0" applyProtection="0"/>
    <xf numFmtId="236" fontId="11" fillId="0" borderId="0" applyFont="0" applyFill="0" applyAlignment="0" applyProtection="0"/>
    <xf numFmtId="176" fontId="47" fillId="9" borderId="0"/>
    <xf numFmtId="176" fontId="103" fillId="9" borderId="0"/>
    <xf numFmtId="0" fontId="107" fillId="0" borderId="0"/>
    <xf numFmtId="237" fontId="11" fillId="0" borderId="0"/>
    <xf numFmtId="0" fontId="108" fillId="0" borderId="0"/>
    <xf numFmtId="238" fontId="11" fillId="0" borderId="0"/>
    <xf numFmtId="238" fontId="11" fillId="0" borderId="46"/>
    <xf numFmtId="238" fontId="11" fillId="0" borderId="2"/>
    <xf numFmtId="238" fontId="11" fillId="0" borderId="33"/>
    <xf numFmtId="238" fontId="11" fillId="0" borderId="1"/>
    <xf numFmtId="0" fontId="11" fillId="0" borderId="60"/>
    <xf numFmtId="0" fontId="11" fillId="0" borderId="61" applyNumberFormat="0" applyFont="0" applyFill="0" applyAlignment="0" applyProtection="0"/>
    <xf numFmtId="208" fontId="109" fillId="65" borderId="0">
      <alignment horizontal="right"/>
    </xf>
    <xf numFmtId="175" fontId="110" fillId="0" borderId="0" applyFill="0" applyBorder="0" applyAlignment="0" applyProtection="0"/>
    <xf numFmtId="0" fontId="11" fillId="28" borderId="46" applyNumberFormat="0" applyFont="0" applyAlignment="0" applyProtection="0">
      <alignment horizontal="center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0" fontId="111" fillId="11" borderId="0" applyNumberFormat="0">
      <protection locked="0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1" fillId="0" borderId="0" applyNumberFormat="0" applyAlignment="0">
      <alignment horizontal="left"/>
    </xf>
    <xf numFmtId="0" fontId="112" fillId="0" borderId="0" applyNumberFormat="0" applyAlignment="0">
      <alignment horizontal="left"/>
    </xf>
    <xf numFmtId="0" fontId="113" fillId="0" borderId="0"/>
    <xf numFmtId="166" fontId="113" fillId="0" borderId="0"/>
    <xf numFmtId="186" fontId="113" fillId="0" borderId="0"/>
    <xf numFmtId="240" fontId="11" fillId="0" borderId="0" applyFont="0" applyFill="0" applyBorder="0" applyAlignment="0" applyProtection="0"/>
    <xf numFmtId="240" fontId="11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1" fontId="114" fillId="0" borderId="0" applyFont="0" applyFill="0" applyBorder="0" applyAlignment="0" applyProtection="0"/>
    <xf numFmtId="242" fontId="11" fillId="0" borderId="0" applyFont="0" applyFill="0" applyBorder="0" applyAlignment="0" applyProtection="0"/>
    <xf numFmtId="242" fontId="11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79" fillId="0" borderId="32"/>
    <xf numFmtId="3" fontId="116" fillId="0" borderId="0" applyNumberFormat="0" applyFont="0" applyFill="0" applyBorder="0" applyAlignment="0" applyProtection="0">
      <alignment horizontal="left"/>
    </xf>
    <xf numFmtId="2" fontId="11" fillId="0" borderId="0" applyFont="0" applyFill="0" applyBorder="0" applyAlignment="0" applyProtection="0"/>
    <xf numFmtId="243" fontId="11" fillId="0" borderId="0" applyFont="0" applyFill="0" applyAlignment="0"/>
    <xf numFmtId="0" fontId="47" fillId="0" borderId="46" applyFont="0" applyFill="0" applyBorder="0" applyAlignment="0" applyProtection="0"/>
    <xf numFmtId="0" fontId="47" fillId="0" borderId="46" applyFont="0" applyFill="0" applyBorder="0" applyAlignment="0" applyProtection="0"/>
    <xf numFmtId="0" fontId="117" fillId="0" borderId="0" applyFill="0" applyBorder="0" applyProtection="0">
      <alignment horizontal="left"/>
    </xf>
    <xf numFmtId="0" fontId="100" fillId="67" borderId="0">
      <alignment horizontal="right" vertical="center"/>
    </xf>
    <xf numFmtId="0" fontId="118" fillId="0" borderId="0"/>
    <xf numFmtId="0" fontId="47" fillId="0" borderId="0">
      <protection hidden="1"/>
    </xf>
    <xf numFmtId="0" fontId="119" fillId="0" borderId="0" applyNumberFormat="0" applyFill="0" applyBorder="0" applyAlignment="0" applyProtection="0"/>
    <xf numFmtId="244" fontId="11" fillId="0" borderId="0" applyAlignment="0">
      <alignment horizontal="right"/>
    </xf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40" fillId="68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0" fontId="120" fillId="10" borderId="0" applyNumberFormat="0" applyBorder="0" applyAlignment="0" applyProtection="0"/>
    <xf numFmtId="38" fontId="47" fillId="25" borderId="0" applyNumberFormat="0" applyBorder="0" applyAlignment="0" applyProtection="0"/>
    <xf numFmtId="0" fontId="121" fillId="0" borderId="0">
      <protection hidden="1"/>
    </xf>
    <xf numFmtId="0" fontId="11" fillId="0" borderId="0" applyFont="0" applyFill="0" applyBorder="0" applyAlignment="0" applyProtection="0">
      <alignment horizontal="right"/>
    </xf>
    <xf numFmtId="0" fontId="11" fillId="0" borderId="0" applyNumberFormat="0" applyFill="0" applyBorder="0" applyAlignment="0" applyProtection="0"/>
    <xf numFmtId="0" fontId="122" fillId="0" borderId="0" applyProtection="0">
      <alignment horizontal="right"/>
    </xf>
    <xf numFmtId="210" fontId="123" fillId="0" borderId="62">
      <alignment vertical="center"/>
    </xf>
    <xf numFmtId="210" fontId="124" fillId="57" borderId="63">
      <alignment horizontal="left" vertical="center" indent="1"/>
    </xf>
    <xf numFmtId="0" fontId="30" fillId="0" borderId="64" applyNumberFormat="0" applyAlignment="0" applyProtection="0">
      <alignment horizontal="left" vertical="center"/>
    </xf>
    <xf numFmtId="0" fontId="30" fillId="0" borderId="35">
      <alignment horizontal="left" vertical="center"/>
    </xf>
    <xf numFmtId="0" fontId="123" fillId="0" borderId="65" applyNumberFormat="0" applyFill="0">
      <alignment horizontal="center" vertical="top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5" fillId="9" borderId="66" applyNumberFormat="0">
      <alignment horizontal="left" vertical="center" indent="1"/>
    </xf>
    <xf numFmtId="0" fontId="126" fillId="11" borderId="0" applyNumberFormat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9" fillId="0" borderId="68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9" fillId="0" borderId="68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9" fillId="0" borderId="68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7" fillId="0" borderId="67" applyNumberFormat="0" applyFill="0" applyAlignment="0" applyProtection="0"/>
    <xf numFmtId="0" fontId="129" fillId="0" borderId="68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7" fillId="0" borderId="67" applyNumberFormat="0" applyFill="0" applyAlignment="0" applyProtection="0"/>
    <xf numFmtId="0" fontId="128" fillId="0" borderId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2" fillId="0" borderId="70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2" fillId="0" borderId="70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2" fillId="0" borderId="70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0" fillId="0" borderId="69" applyNumberFormat="0" applyFill="0" applyAlignment="0" applyProtection="0"/>
    <xf numFmtId="0" fontId="132" fillId="0" borderId="70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0" fillId="0" borderId="69" applyNumberFormat="0" applyFill="0" applyAlignment="0" applyProtection="0"/>
    <xf numFmtId="0" fontId="131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5" fillId="0" borderId="72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5" fillId="0" borderId="72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5" fillId="0" borderId="72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71" applyNumberFormat="0" applyFill="0" applyAlignment="0" applyProtection="0"/>
    <xf numFmtId="0" fontId="135" fillId="0" borderId="72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3" fillId="0" borderId="71" applyNumberFormat="0" applyFill="0" applyAlignment="0" applyProtection="0"/>
    <xf numFmtId="0" fontId="134" fillId="0" borderId="0" applyProtection="0">
      <alignment horizontal="left"/>
    </xf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33" fillId="0" borderId="0" applyNumberFormat="0" applyFill="0" applyBorder="0" applyAlignment="0" applyProtection="0"/>
    <xf numFmtId="0" fontId="135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3" fillId="0" borderId="0" applyNumberFormat="0" applyFill="0" applyBorder="0" applyAlignment="0" applyProtection="0"/>
    <xf numFmtId="0" fontId="136" fillId="0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26" fillId="11" borderId="0" applyNumberFormat="0" applyAlignment="0" applyProtection="0"/>
    <xf numFmtId="0" fontId="137" fillId="0" borderId="0" applyNumberFormat="0">
      <protection locked="0"/>
    </xf>
    <xf numFmtId="186" fontId="47" fillId="0" borderId="32">
      <alignment horizontal="right" vertical="center"/>
    </xf>
    <xf numFmtId="245" fontId="29" fillId="0" borderId="0">
      <protection locked="0"/>
    </xf>
    <xf numFmtId="246" fontId="30" fillId="0" borderId="0"/>
    <xf numFmtId="245" fontId="29" fillId="0" borderId="0">
      <protection locked="0"/>
    </xf>
    <xf numFmtId="0" fontId="29" fillId="0" borderId="0"/>
    <xf numFmtId="0" fontId="11" fillId="0" borderId="33">
      <alignment horizontal="center"/>
    </xf>
    <xf numFmtId="0" fontId="138" fillId="0" borderId="33">
      <alignment horizontal="center"/>
    </xf>
    <xf numFmtId="0" fontId="11" fillId="0" borderId="0">
      <alignment horizontal="center"/>
    </xf>
    <xf numFmtId="0" fontId="138" fillId="0" borderId="0">
      <alignment horizontal="center"/>
    </xf>
    <xf numFmtId="0" fontId="139" fillId="0" borderId="0">
      <alignment vertical="center"/>
    </xf>
    <xf numFmtId="0" fontId="139" fillId="0" borderId="0"/>
    <xf numFmtId="0" fontId="97" fillId="0" borderId="0"/>
    <xf numFmtId="3" fontId="140" fillId="0" borderId="0">
      <protection hidden="1"/>
    </xf>
    <xf numFmtId="0" fontId="141" fillId="0" borderId="73" applyNumberFormat="0" applyFill="0" applyAlignment="0" applyProtection="0"/>
    <xf numFmtId="0" fontId="79" fillId="11" borderId="74">
      <alignment horizontal="left" vertical="center" wrapText="1"/>
    </xf>
    <xf numFmtId="0" fontId="36" fillId="0" borderId="75" applyNumberFormat="0" applyAlignment="0"/>
    <xf numFmtId="0" fontId="142" fillId="0" borderId="0"/>
    <xf numFmtId="9" fontId="143" fillId="0" borderId="45"/>
    <xf numFmtId="0" fontId="143" fillId="0" borderId="45"/>
    <xf numFmtId="10" fontId="143" fillId="0" borderId="45"/>
    <xf numFmtId="0" fontId="143" fillId="0" borderId="45"/>
    <xf numFmtId="4" fontId="143" fillId="0" borderId="45"/>
    <xf numFmtId="10" fontId="47" fillId="14" borderId="46" applyNumberFormat="0" applyBorder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43" fillId="22" borderId="26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144" fillId="22" borderId="52" applyNumberFormat="0" applyAlignment="0" applyProtection="0"/>
    <xf numFmtId="0" fontId="39" fillId="0" borderId="0" applyAlignment="0">
      <protection locked="0"/>
    </xf>
    <xf numFmtId="247" fontId="47" fillId="69" borderId="0"/>
    <xf numFmtId="14" fontId="145" fillId="0" borderId="0">
      <alignment horizontal="center"/>
      <protection locked="0"/>
    </xf>
    <xf numFmtId="8" fontId="47" fillId="0" borderId="0"/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11" fillId="11" borderId="0">
      <protection locked="0"/>
    </xf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11" fillId="11" borderId="0"/>
    <xf numFmtId="248" fontId="47" fillId="0" borderId="0"/>
    <xf numFmtId="249" fontId="47" fillId="0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/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>
      <protection locked="0"/>
    </xf>
    <xf numFmtId="3" fontId="97" fillId="11" borderId="0"/>
    <xf numFmtId="248" fontId="146" fillId="14" borderId="0" applyNumberFormat="0" applyBorder="0" applyAlignment="0">
      <protection locked="0"/>
    </xf>
    <xf numFmtId="250" fontId="49" fillId="14" borderId="76">
      <alignment horizontal="center"/>
      <protection locked="0"/>
    </xf>
    <xf numFmtId="37" fontId="49" fillId="14" borderId="76">
      <alignment horizontal="right"/>
      <protection locked="0"/>
    </xf>
    <xf numFmtId="9" fontId="147" fillId="14" borderId="76">
      <alignment horizontal="right"/>
      <protection locked="0"/>
    </xf>
    <xf numFmtId="37" fontId="68" fillId="0" borderId="76">
      <alignment horizontal="right"/>
    </xf>
    <xf numFmtId="166" fontId="47" fillId="0" borderId="76">
      <alignment horizontal="right"/>
    </xf>
    <xf numFmtId="0" fontId="148" fillId="0" borderId="0"/>
    <xf numFmtId="251" fontId="11" fillId="0" borderId="0">
      <alignment horizontal="right"/>
    </xf>
    <xf numFmtId="1" fontId="149" fillId="1" borderId="2">
      <protection locked="0"/>
    </xf>
    <xf numFmtId="248" fontId="150" fillId="0" borderId="0" applyNumberFormat="0" applyFill="0" applyBorder="0" applyAlignment="0" applyProtection="0"/>
    <xf numFmtId="0" fontId="151" fillId="0" borderId="0" applyNumberFormat="0" applyFill="0" applyBorder="0" applyAlignment="0" applyProtection="0">
      <alignment vertical="top"/>
      <protection locked="0"/>
    </xf>
    <xf numFmtId="41" fontId="12" fillId="62" borderId="0">
      <alignment horizontal="left"/>
    </xf>
    <xf numFmtId="41" fontId="152" fillId="9" borderId="0">
      <alignment horizontal="left"/>
    </xf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37" fontId="153" fillId="0" borderId="0" applyNumberFormat="0" applyFill="0" applyBorder="0" applyAlignment="0" applyProtection="0">
      <alignment horizontal="right"/>
    </xf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5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5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5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5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4" fillId="0" borderId="77" applyNumberFormat="0" applyFill="0" applyAlignment="0" applyProtection="0"/>
    <xf numFmtId="0" fontId="155" fillId="0" borderId="77" applyNumberFormat="0" applyFill="0" applyAlignment="0" applyProtection="0"/>
    <xf numFmtId="247" fontId="47" fillId="62" borderId="0"/>
    <xf numFmtId="0" fontId="100" fillId="57" borderId="0">
      <alignment horizontal="right" vertical="center"/>
    </xf>
    <xf numFmtId="252" fontId="11" fillId="0" borderId="0" applyAlignment="0">
      <alignment horizontal="right"/>
    </xf>
    <xf numFmtId="253" fontId="11" fillId="0" borderId="0" applyFont="0" applyFill="0" applyBorder="0" applyAlignment="0" applyProtection="0"/>
    <xf numFmtId="254" fontId="11" fillId="0" borderId="0" applyFont="0" applyFill="0" applyBorder="0" applyAlignment="0" applyProtection="0"/>
    <xf numFmtId="175" fontId="47" fillId="0" borderId="0" applyFont="0" applyFill="0" applyBorder="0" applyAlignment="0" applyProtection="0"/>
    <xf numFmtId="255" fontId="47" fillId="0" borderId="0" applyFont="0" applyFill="0" applyBorder="0" applyAlignment="0" applyProtection="0"/>
    <xf numFmtId="17" fontId="11" fillId="0" borderId="0" applyFont="0" applyFill="0" applyBorder="0" applyAlignment="0" applyProtection="0"/>
    <xf numFmtId="256" fontId="11" fillId="0" borderId="0" applyFont="0" applyFill="0" applyBorder="0" applyAlignment="0" applyProtection="0"/>
    <xf numFmtId="257" fontId="11" fillId="0" borderId="0" applyFont="0" applyFill="0" applyBorder="0" applyAlignment="0" applyProtection="0"/>
    <xf numFmtId="258" fontId="47" fillId="0" borderId="0" applyFont="0" applyFill="0" applyBorder="0" applyAlignment="0" applyProtection="0"/>
    <xf numFmtId="248" fontId="47" fillId="0" borderId="0" applyFont="0" applyFill="0" applyBorder="0" applyAlignment="0" applyProtection="0"/>
    <xf numFmtId="0" fontId="11" fillId="0" borderId="0"/>
    <xf numFmtId="0" fontId="60" fillId="0" borderId="78" applyNumberFormat="0">
      <alignment horizontal="left"/>
    </xf>
    <xf numFmtId="0" fontId="156" fillId="0" borderId="0" applyFont="0" applyFill="0" applyBorder="0" applyProtection="0">
      <alignment horizontal="right"/>
    </xf>
    <xf numFmtId="49" fontId="157" fillId="64" borderId="0">
      <alignment horizontal="centerContinuous" vertical="center"/>
    </xf>
    <xf numFmtId="259" fontId="47" fillId="25" borderId="0" applyFont="0" applyBorder="0" applyAlignment="0" applyProtection="0">
      <alignment horizontal="right"/>
      <protection hidden="1"/>
    </xf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42" fillId="70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8" fillId="11" borderId="0" applyNumberFormat="0" applyBorder="0" applyAlignment="0" applyProtection="0"/>
    <xf numFmtId="0" fontId="159" fillId="11" borderId="0" applyNumberFormat="0" applyBorder="0" applyAlignment="0" applyProtection="0"/>
    <xf numFmtId="0" fontId="12" fillId="56" borderId="47">
      <alignment horizontal="center" wrapText="1"/>
    </xf>
    <xf numFmtId="0" fontId="39" fillId="0" borderId="0"/>
    <xf numFmtId="0" fontId="160" fillId="45" borderId="0"/>
    <xf numFmtId="0" fontId="12" fillId="71" borderId="0"/>
    <xf numFmtId="0" fontId="12" fillId="71" borderId="0"/>
    <xf numFmtId="0" fontId="161" fillId="0" borderId="0"/>
    <xf numFmtId="37" fontId="162" fillId="0" borderId="0"/>
    <xf numFmtId="260" fontId="11" fillId="0" borderId="0"/>
    <xf numFmtId="0" fontId="163" fillId="25" borderId="0">
      <alignment horizontal="left" indent="1"/>
    </xf>
    <xf numFmtId="0" fontId="50" fillId="0" borderId="0"/>
    <xf numFmtId="16" fontId="39" fillId="0" borderId="0"/>
    <xf numFmtId="14" fontId="39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38" fontId="47" fillId="0" borderId="46" applyFont="0" applyFill="0" applyBorder="0" applyAlignment="0" applyProtection="0"/>
    <xf numFmtId="261" fontId="11" fillId="0" borderId="0" applyFont="0" applyFill="0" applyAlignment="0"/>
    <xf numFmtId="236" fontId="11" fillId="0" borderId="0" applyFont="0" applyFill="0" applyAlignment="0"/>
    <xf numFmtId="262" fontId="11" fillId="0" borderId="0" applyFont="0" applyFill="0" applyAlignment="0"/>
    <xf numFmtId="0" fontId="32" fillId="0" borderId="0"/>
    <xf numFmtId="0" fontId="32" fillId="0" borderId="0"/>
    <xf numFmtId="0" fontId="11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11" fillId="0" borderId="0"/>
    <xf numFmtId="4" fontId="68" fillId="9" borderId="40">
      <alignment horizontal="left" vertical="center" indent="2"/>
    </xf>
    <xf numFmtId="0" fontId="11" fillId="0" borderId="0"/>
    <xf numFmtId="4" fontId="68" fillId="9" borderId="40">
      <alignment horizontal="left" vertical="center" indent="2"/>
    </xf>
    <xf numFmtId="0" fontId="11" fillId="0" borderId="0"/>
    <xf numFmtId="4" fontId="68" fillId="9" borderId="40">
      <alignment horizontal="left" vertical="center" indent="2"/>
    </xf>
    <xf numFmtId="0" fontId="11" fillId="0" borderId="0"/>
    <xf numFmtId="0" fontId="11" fillId="0" borderId="0"/>
    <xf numFmtId="0" fontId="11" fillId="0" borderId="0"/>
    <xf numFmtId="0" fontId="32" fillId="0" borderId="0"/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11" fillId="0" borderId="0"/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32" fillId="0" borderId="0"/>
    <xf numFmtId="0" fontId="32" fillId="0" borderId="0"/>
    <xf numFmtId="4" fontId="68" fillId="9" borderId="40">
      <alignment horizontal="left" vertical="center" indent="2"/>
    </xf>
    <xf numFmtId="0" fontId="32" fillId="0" borderId="0"/>
    <xf numFmtId="0" fontId="32" fillId="0" borderId="0"/>
    <xf numFmtId="4" fontId="68" fillId="9" borderId="40">
      <alignment horizontal="left" vertical="center" indent="2"/>
    </xf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32" fillId="0" borderId="0"/>
    <xf numFmtId="0" fontId="32" fillId="0" borderId="0"/>
    <xf numFmtId="4" fontId="68" fillId="9" borderId="40">
      <alignment horizontal="left" vertical="center" indent="2"/>
    </xf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11" fillId="0" borderId="0"/>
    <xf numFmtId="220" fontId="82" fillId="0" borderId="0"/>
    <xf numFmtId="0" fontId="11" fillId="0" borderId="0"/>
    <xf numFmtId="0" fontId="11" fillId="0" borderId="0"/>
    <xf numFmtId="0" fontId="11" fillId="0" borderId="0"/>
    <xf numFmtId="4" fontId="68" fillId="9" borderId="40">
      <alignment horizontal="left" vertical="center" indent="2"/>
    </xf>
    <xf numFmtId="0" fontId="11" fillId="0" borderId="0"/>
    <xf numFmtId="0" fontId="32" fillId="0" borderId="0"/>
    <xf numFmtId="0" fontId="11" fillId="0" borderId="0"/>
    <xf numFmtId="0" fontId="11" fillId="0" borderId="0"/>
    <xf numFmtId="0" fontId="11" fillId="0" borderId="0"/>
    <xf numFmtId="0" fontId="61" fillId="0" borderId="0"/>
    <xf numFmtId="22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22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1" fillId="0" borderId="0"/>
    <xf numFmtId="0" fontId="11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64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32" fillId="0" borderId="0"/>
    <xf numFmtId="0" fontId="47" fillId="0" borderId="0"/>
    <xf numFmtId="0" fontId="32" fillId="0" borderId="0"/>
    <xf numFmtId="0" fontId="32" fillId="0" borderId="0"/>
    <xf numFmtId="0" fontId="47" fillId="0" borderId="0"/>
    <xf numFmtId="0" fontId="47" fillId="0" borderId="0"/>
    <xf numFmtId="0" fontId="32" fillId="0" borderId="0"/>
    <xf numFmtId="0" fontId="11" fillId="0" borderId="0">
      <alignment vertical="center"/>
    </xf>
    <xf numFmtId="0" fontId="11" fillId="0" borderId="0"/>
    <xf numFmtId="0" fontId="32" fillId="0" borderId="0"/>
    <xf numFmtId="0" fontId="32" fillId="0" borderId="0"/>
    <xf numFmtId="0" fontId="11" fillId="0" borderId="0" applyNumberFormat="0" applyFill="0" applyAlignment="0" applyProtection="0"/>
    <xf numFmtId="263" fontId="82" fillId="0" borderId="0" applyFont="0" applyFill="0" applyBorder="0" applyAlignment="0" applyProtection="0"/>
    <xf numFmtId="264" fontId="82" fillId="0" borderId="0" applyFont="0" applyFill="0" applyBorder="0" applyAlignment="0" applyProtection="0"/>
    <xf numFmtId="265" fontId="11" fillId="0" borderId="0" applyFont="0" applyFill="0" applyAlignment="0" applyProtection="0"/>
    <xf numFmtId="266" fontId="82" fillId="0" borderId="0" applyFont="0" applyFill="0" applyBorder="0" applyAlignment="0" applyProtection="0"/>
    <xf numFmtId="267" fontId="82" fillId="0" borderId="0" applyFont="0" applyFill="0" applyBorder="0" applyAlignment="0" applyProtection="0"/>
    <xf numFmtId="0" fontId="165" fillId="0" borderId="0"/>
    <xf numFmtId="0" fontId="29" fillId="25" borderId="35" applyNumberFormat="0" applyFont="0" applyFill="0">
      <alignment horizontal="center"/>
    </xf>
    <xf numFmtId="14" fontId="11" fillId="0" borderId="0">
      <alignment horizontal="center"/>
    </xf>
    <xf numFmtId="0" fontId="166" fillId="0" borderId="0"/>
    <xf numFmtId="0" fontId="167" fillId="0" borderId="0"/>
    <xf numFmtId="0" fontId="11" fillId="0" borderId="0">
      <alignment horizontal="left"/>
      <protection locked="0"/>
    </xf>
    <xf numFmtId="0" fontId="11" fillId="0" borderId="36">
      <protection locked="0"/>
    </xf>
    <xf numFmtId="0" fontId="11" fillId="0" borderId="1">
      <protection locked="0"/>
    </xf>
    <xf numFmtId="0" fontId="11" fillId="0" borderId="34">
      <protection locked="0"/>
    </xf>
    <xf numFmtId="0" fontId="11" fillId="0" borderId="32"/>
    <xf numFmtId="37" fontId="168" fillId="0" borderId="0" applyNumberFormat="0" applyFont="0" applyFill="0" applyBorder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61" fillId="14" borderId="30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32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32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1" fillId="14" borderId="79" applyNumberFormat="0" applyFont="0" applyAlignment="0" applyProtection="0"/>
    <xf numFmtId="0" fontId="169" fillId="0" borderId="80"/>
    <xf numFmtId="268" fontId="47" fillId="0" borderId="0" applyFont="0" applyFill="0" applyBorder="0" applyAlignment="0" applyProtection="0"/>
    <xf numFmtId="37" fontId="11" fillId="0" borderId="0"/>
    <xf numFmtId="269" fontId="170" fillId="0" borderId="0" applyFill="0" applyBorder="0" applyAlignment="0" applyProtection="0"/>
    <xf numFmtId="0" fontId="11" fillId="0" borderId="0"/>
    <xf numFmtId="0" fontId="11" fillId="0" borderId="0"/>
    <xf numFmtId="37" fontId="11" fillId="0" borderId="1"/>
    <xf numFmtId="0" fontId="171" fillId="0" borderId="0"/>
    <xf numFmtId="270" fontId="47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20" fontId="172" fillId="0" borderId="81">
      <alignment horizontal="center" vertical="top" wrapText="1"/>
      <protection locked="0"/>
    </xf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44" fillId="59" borderId="27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25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25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25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25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9" borderId="82" applyNumberFormat="0" applyAlignment="0" applyProtection="0"/>
    <xf numFmtId="0" fontId="173" fillId="25" borderId="82" applyNumberFormat="0" applyAlignment="0" applyProtection="0"/>
    <xf numFmtId="40" fontId="174" fillId="9" borderId="0">
      <alignment horizontal="right"/>
    </xf>
    <xf numFmtId="0" fontId="175" fillId="72" borderId="0">
      <alignment horizontal="center"/>
    </xf>
    <xf numFmtId="0" fontId="176" fillId="9" borderId="37"/>
    <xf numFmtId="0" fontId="177" fillId="9" borderId="0" applyBorder="0">
      <alignment horizontal="centerContinuous"/>
    </xf>
    <xf numFmtId="0" fontId="178" fillId="73" borderId="0" applyBorder="0">
      <alignment horizontal="centerContinuous"/>
    </xf>
    <xf numFmtId="3" fontId="29" fillId="19" borderId="46" applyNumberFormat="0" applyAlignment="0">
      <alignment horizontal="center"/>
      <protection locked="0"/>
    </xf>
    <xf numFmtId="0" fontId="179" fillId="0" borderId="0" applyFill="0" applyBorder="0" applyProtection="0">
      <alignment horizontal="left"/>
    </xf>
    <xf numFmtId="0" fontId="180" fillId="0" borderId="0" applyFill="0" applyBorder="0" applyProtection="0">
      <alignment horizontal="left"/>
    </xf>
    <xf numFmtId="1" fontId="181" fillId="0" borderId="0" applyProtection="0">
      <alignment horizontal="right" vertical="center"/>
    </xf>
    <xf numFmtId="0" fontId="182" fillId="9" borderId="0"/>
    <xf numFmtId="0" fontId="11" fillId="0" borderId="0" applyFont="0" applyFill="0" applyAlignment="0" applyProtection="0"/>
    <xf numFmtId="0" fontId="11" fillId="0" borderId="0" applyFont="0" applyFill="0" applyAlignment="0" applyProtection="0"/>
    <xf numFmtId="14" fontId="46" fillId="0" borderId="0">
      <alignment horizontal="center" wrapText="1"/>
      <protection locked="0"/>
    </xf>
    <xf numFmtId="205" fontId="83" fillId="0" borderId="0" applyFont="0" applyFill="0" applyBorder="0" applyAlignment="0" applyProtection="0"/>
    <xf numFmtId="271" fontId="11" fillId="0" borderId="0" applyFont="0" applyFill="0" applyAlignment="0"/>
    <xf numFmtId="272" fontId="11" fillId="0" borderId="0" applyFont="0" applyFill="0" applyBorder="0" applyAlignment="0" applyProtection="0"/>
    <xf numFmtId="273" fontId="31" fillId="0" borderId="0" applyFont="0" applyFill="0" applyBorder="0" applyAlignment="0" applyProtection="0"/>
    <xf numFmtId="274" fontId="11" fillId="0" borderId="0" applyFont="0" applyFill="0" applyAlignment="0"/>
    <xf numFmtId="10" fontId="11" fillId="0" borderId="0" applyFont="0" applyFill="0" applyBorder="0" applyAlignment="0" applyProtection="0"/>
    <xf numFmtId="3" fontId="97" fillId="0" borderId="0"/>
    <xf numFmtId="275" fontId="52" fillId="0" borderId="0">
      <protection hidden="1"/>
    </xf>
    <xf numFmtId="3" fontId="97" fillId="0" borderId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46" fillId="0" borderId="0" applyFont="0" applyFill="0" applyBorder="0" applyProtection="0">
      <alignment horizontal="right"/>
    </xf>
    <xf numFmtId="9" fontId="11" fillId="0" borderId="0"/>
    <xf numFmtId="10" fontId="11" fillId="0" borderId="0"/>
    <xf numFmtId="10" fontId="47" fillId="0" borderId="0"/>
    <xf numFmtId="0" fontId="183" fillId="11" borderId="57">
      <alignment horizontal="center" vertical="center"/>
    </xf>
    <xf numFmtId="276" fontId="47" fillId="0" borderId="0" applyFont="0" applyFill="0" applyBorder="0" applyAlignment="0" applyProtection="0"/>
    <xf numFmtId="0" fontId="11" fillId="0" borderId="0">
      <protection locked="0"/>
    </xf>
    <xf numFmtId="0" fontId="184" fillId="0" borderId="0">
      <protection locked="0"/>
    </xf>
    <xf numFmtId="0" fontId="11" fillId="0" borderId="0">
      <protection locked="0"/>
    </xf>
    <xf numFmtId="0" fontId="29" fillId="0" borderId="0">
      <protection locked="0"/>
    </xf>
    <xf numFmtId="0" fontId="11" fillId="0" borderId="0"/>
    <xf numFmtId="277" fontId="11" fillId="0" borderId="0" applyFont="0" applyFill="0" applyBorder="0" applyAlignment="0" applyProtection="0"/>
    <xf numFmtId="239" fontId="11" fillId="0" borderId="0" applyFill="0" applyBorder="0" applyAlignment="0"/>
    <xf numFmtId="218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217" fontId="11" fillId="0" borderId="0" applyFill="0" applyBorder="0" applyAlignment="0"/>
    <xf numFmtId="218" fontId="31" fillId="0" borderId="0" applyFill="0" applyBorder="0" applyAlignment="0"/>
    <xf numFmtId="0" fontId="11" fillId="0" borderId="0" applyFill="0" applyBorder="0" applyAlignment="0"/>
    <xf numFmtId="219" fontId="31" fillId="0" borderId="0" applyFill="0" applyBorder="0" applyAlignment="0"/>
    <xf numFmtId="212" fontId="11" fillId="0" borderId="0" applyFill="0" applyBorder="0" applyAlignment="0"/>
    <xf numFmtId="213" fontId="31" fillId="0" borderId="0" applyFill="0" applyBorder="0" applyAlignment="0"/>
    <xf numFmtId="0" fontId="185" fillId="0" borderId="0" applyNumberFormat="0" applyFill="0" applyBorder="0" applyAlignment="0" applyProtection="0"/>
    <xf numFmtId="5" fontId="186" fillId="0" borderId="0"/>
    <xf numFmtId="5" fontId="187" fillId="0" borderId="0"/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0" fontId="188" fillId="49" borderId="0">
      <alignment horizontal="left" indent="1"/>
    </xf>
    <xf numFmtId="9" fontId="189" fillId="0" borderId="59"/>
    <xf numFmtId="9" fontId="189" fillId="0" borderId="59"/>
    <xf numFmtId="3" fontId="111" fillId="0" borderId="0">
      <protection locked="0"/>
    </xf>
    <xf numFmtId="0" fontId="60" fillId="0" borderId="0" applyNumberFormat="0" applyFont="0" applyFill="0" applyBorder="0" applyAlignment="0" applyProtection="0">
      <alignment horizontal="left"/>
    </xf>
    <xf numFmtId="15" fontId="60" fillId="0" borderId="0" applyFont="0" applyFill="0" applyBorder="0" applyAlignment="0" applyProtection="0"/>
    <xf numFmtId="4" fontId="60" fillId="0" borderId="0" applyFont="0" applyFill="0" applyBorder="0" applyAlignment="0" applyProtection="0"/>
    <xf numFmtId="0" fontId="80" fillId="0" borderId="33">
      <alignment horizontal="center"/>
    </xf>
    <xf numFmtId="3" fontId="60" fillId="0" borderId="0" applyFont="0" applyFill="0" applyBorder="0" applyAlignment="0" applyProtection="0"/>
    <xf numFmtId="0" fontId="60" fillId="74" borderId="0" applyNumberFormat="0" applyFont="0" applyBorder="0" applyAlignment="0" applyProtection="0"/>
    <xf numFmtId="248" fontId="190" fillId="0" borderId="0" applyNumberFormat="0" applyFill="0" applyBorder="0" applyAlignment="0" applyProtection="0">
      <alignment horizontal="left"/>
    </xf>
    <xf numFmtId="0" fontId="38" fillId="0" borderId="38" applyNumberFormat="0" applyFill="0" applyBorder="0" applyAlignment="0" applyProtection="0">
      <alignment horizontal="center"/>
    </xf>
    <xf numFmtId="3" fontId="191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0" fontId="189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4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91" fillId="25" borderId="0"/>
    <xf numFmtId="3" fontId="11" fillId="25" borderId="0"/>
    <xf numFmtId="0" fontId="192" fillId="75" borderId="0" applyNumberFormat="0" applyFont="0" applyBorder="0" applyAlignment="0">
      <alignment horizontal="center"/>
    </xf>
    <xf numFmtId="41" fontId="152" fillId="11" borderId="0">
      <alignment horizontal="center"/>
    </xf>
    <xf numFmtId="49" fontId="193" fillId="9" borderId="0">
      <alignment horizontal="center"/>
    </xf>
    <xf numFmtId="278" fontId="194" fillId="0" borderId="0" applyNumberFormat="0" applyFill="0" applyBorder="0" applyAlignment="0" applyProtection="0">
      <alignment horizontal="left"/>
    </xf>
    <xf numFmtId="278" fontId="195" fillId="0" borderId="0" applyNumberFormat="0" applyFill="0" applyBorder="0" applyAlignment="0" applyProtection="0">
      <alignment horizontal="left"/>
    </xf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0" fontId="196" fillId="9" borderId="0" applyFont="0" applyFill="0" applyAlignment="0"/>
    <xf numFmtId="37" fontId="29" fillId="49" borderId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37" fontId="47" fillId="0" borderId="0" applyNumberFormat="0" applyFont="0" applyFill="0" applyBorder="0" applyAlignment="0" applyProtection="0"/>
    <xf numFmtId="41" fontId="91" fillId="62" borderId="0">
      <alignment horizontal="center"/>
    </xf>
    <xf numFmtId="41" fontId="91" fillId="62" borderId="0">
      <alignment horizontal="centerContinuous"/>
    </xf>
    <xf numFmtId="41" fontId="197" fillId="9" borderId="0">
      <alignment horizontal="left"/>
    </xf>
    <xf numFmtId="49" fontId="197" fillId="9" borderId="0">
      <alignment horizontal="center"/>
    </xf>
    <xf numFmtId="41" fontId="12" fillId="62" borderId="0">
      <alignment horizontal="left"/>
    </xf>
    <xf numFmtId="49" fontId="197" fillId="9" borderId="0">
      <alignment horizontal="left"/>
    </xf>
    <xf numFmtId="41" fontId="12" fillId="62" borderId="0">
      <alignment horizontal="centerContinuous"/>
    </xf>
    <xf numFmtId="41" fontId="12" fillId="62" borderId="0">
      <alignment horizontal="right"/>
    </xf>
    <xf numFmtId="49" fontId="152" fillId="9" borderId="0">
      <alignment horizontal="left"/>
    </xf>
    <xf numFmtId="5" fontId="11" fillId="0" borderId="0"/>
    <xf numFmtId="41" fontId="91" fillId="62" borderId="0">
      <alignment horizontal="right"/>
    </xf>
    <xf numFmtId="0" fontId="90" fillId="0" borderId="0" applyNumberFormat="0" applyFill="0" applyBorder="0" applyAlignment="0" applyProtection="0">
      <alignment vertical="top"/>
    </xf>
    <xf numFmtId="0" fontId="198" fillId="25" borderId="51" applyNumberFormat="0" applyAlignment="0">
      <protection locked="0"/>
    </xf>
    <xf numFmtId="0" fontId="199" fillId="0" borderId="83">
      <alignment vertical="center"/>
    </xf>
    <xf numFmtId="41" fontId="197" fillId="22" borderId="0">
      <alignment horizontal="center"/>
    </xf>
    <xf numFmtId="41" fontId="49" fillId="22" borderId="0">
      <alignment horizontal="center"/>
    </xf>
    <xf numFmtId="0" fontId="200" fillId="76" borderId="0"/>
    <xf numFmtId="0" fontId="201" fillId="58" borderId="0" applyNumberFormat="0" applyBorder="0" applyAlignment="0" applyProtection="0"/>
    <xf numFmtId="0" fontId="39" fillId="71" borderId="0" applyNumberFormat="0" applyFont="0" applyBorder="0" applyAlignment="0" applyProtection="0"/>
    <xf numFmtId="0" fontId="192" fillId="1" borderId="35" applyNumberFormat="0" applyFont="0" applyAlignment="0">
      <alignment horizontal="center"/>
    </xf>
    <xf numFmtId="1" fontId="11" fillId="0" borderId="0"/>
    <xf numFmtId="0" fontId="202" fillId="0" borderId="84">
      <alignment horizontal="center" vertical="center"/>
    </xf>
    <xf numFmtId="208" fontId="35" fillId="65" borderId="0">
      <alignment horizontal="right"/>
    </xf>
    <xf numFmtId="175" fontId="81" fillId="0" borderId="0" applyFill="0" applyBorder="0" applyAlignment="0" applyProtection="0"/>
    <xf numFmtId="0" fontId="100" fillId="64" borderId="0">
      <alignment horizontal="right" vertical="center"/>
    </xf>
    <xf numFmtId="0" fontId="101" fillId="0" borderId="0" applyNumberFormat="0" applyFill="0" applyBorder="0" applyAlignment="0">
      <alignment horizontal="center"/>
    </xf>
    <xf numFmtId="0" fontId="203" fillId="0" borderId="0"/>
    <xf numFmtId="174" fontId="170" fillId="0" borderId="0"/>
    <xf numFmtId="0" fontId="204" fillId="0" borderId="85" applyProtection="0">
      <alignment horizontal="centerContinuous"/>
    </xf>
    <xf numFmtId="0" fontId="11" fillId="0" borderId="0"/>
    <xf numFmtId="0" fontId="11" fillId="0" borderId="0"/>
    <xf numFmtId="0" fontId="11" fillId="0" borderId="0">
      <alignment horizontal="left" wrapText="1"/>
    </xf>
    <xf numFmtId="0" fontId="11" fillId="0" borderId="0">
      <alignment horizontal="left" wrapText="1"/>
    </xf>
    <xf numFmtId="37" fontId="47" fillId="0" borderId="6" applyBorder="0"/>
    <xf numFmtId="37" fontId="47" fillId="0" borderId="6" applyBorder="0"/>
    <xf numFmtId="37" fontId="103" fillId="0" borderId="6" applyBorder="0"/>
    <xf numFmtId="37" fontId="11" fillId="0" borderId="6" applyBorder="0"/>
    <xf numFmtId="37" fontId="88" fillId="0" borderId="6" applyBorder="0"/>
    <xf numFmtId="37" fontId="205" fillId="72" borderId="86" applyBorder="0">
      <alignment vertical="center"/>
    </xf>
    <xf numFmtId="0" fontId="206" fillId="0" borderId="0"/>
    <xf numFmtId="0" fontId="29" fillId="0" borderId="0"/>
    <xf numFmtId="40" fontId="207" fillId="0" borderId="0" applyBorder="0">
      <alignment horizontal="right"/>
    </xf>
    <xf numFmtId="40" fontId="208" fillId="0" borderId="0" applyBorder="0">
      <alignment horizontal="right"/>
    </xf>
    <xf numFmtId="0" fontId="29" fillId="0" borderId="0" applyNumberFormat="0" applyFont="0"/>
    <xf numFmtId="0" fontId="139" fillId="0" borderId="0"/>
    <xf numFmtId="0" fontId="209" fillId="0" borderId="0"/>
    <xf numFmtId="0" fontId="28" fillId="0" borderId="0" applyFill="0" applyBorder="0" applyProtection="0">
      <alignment horizontal="center" vertical="center"/>
    </xf>
    <xf numFmtId="0" fontId="210" fillId="0" borderId="0" applyBorder="0" applyProtection="0">
      <alignment vertical="center"/>
    </xf>
    <xf numFmtId="0" fontId="11" fillId="0" borderId="32" applyBorder="0" applyProtection="0">
      <alignment horizontal="right" vertical="center"/>
    </xf>
    <xf numFmtId="0" fontId="211" fillId="77" borderId="0" applyBorder="0" applyProtection="0">
      <alignment horizontal="centerContinuous" vertical="center"/>
    </xf>
    <xf numFmtId="0" fontId="211" fillId="57" borderId="32" applyBorder="0" applyProtection="0">
      <alignment horizontal="centerContinuous" vertical="center"/>
    </xf>
    <xf numFmtId="0" fontId="212" fillId="0" borderId="0"/>
    <xf numFmtId="0" fontId="28" fillId="0" borderId="0" applyFill="0" applyBorder="0" applyProtection="0"/>
    <xf numFmtId="0" fontId="166" fillId="0" borderId="0"/>
    <xf numFmtId="0" fontId="29" fillId="0" borderId="0" applyFill="0" applyBorder="0" applyProtection="0">
      <alignment horizontal="left"/>
    </xf>
    <xf numFmtId="0" fontId="48" fillId="0" borderId="0" applyFill="0" applyBorder="0" applyProtection="0">
      <alignment horizontal="left" vertical="top"/>
    </xf>
    <xf numFmtId="0" fontId="38" fillId="0" borderId="0">
      <alignment horizontal="centerContinuous"/>
    </xf>
    <xf numFmtId="2" fontId="97" fillId="0" borderId="0"/>
    <xf numFmtId="0" fontId="11" fillId="0" borderId="0" applyNumberFormat="0" applyFont="0" applyAlignment="0" applyProtection="0"/>
    <xf numFmtId="0" fontId="11" fillId="0" borderId="0"/>
    <xf numFmtId="279" fontId="11" fillId="0" borderId="46" applyFont="0" applyFill="0" applyBorder="0" applyAlignment="0" applyProtection="0">
      <protection locked="0" hidden="1"/>
    </xf>
    <xf numFmtId="0" fontId="79" fillId="0" borderId="74">
      <alignment horizontal="left" vertical="top" wrapText="1"/>
    </xf>
    <xf numFmtId="0" fontId="213" fillId="49" borderId="0">
      <alignment horizontal="left" vertical="center" indent="1"/>
    </xf>
    <xf numFmtId="0" fontId="214" fillId="0" borderId="0"/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3" fillId="49" borderId="0">
      <alignment horizontal="left" vertical="center" indent="1"/>
    </xf>
    <xf numFmtId="0" fontId="215" fillId="0" borderId="0"/>
    <xf numFmtId="49" fontId="82" fillId="0" borderId="0" applyFill="0" applyBorder="0" applyAlignment="0"/>
    <xf numFmtId="239" fontId="60" fillId="0" borderId="0" applyFill="0" applyBorder="0" applyAlignment="0"/>
    <xf numFmtId="280" fontId="31" fillId="0" borderId="0" applyFill="0" applyBorder="0" applyAlignment="0"/>
    <xf numFmtId="281" fontId="11" fillId="0" borderId="0" applyFill="0" applyBorder="0" applyAlignment="0"/>
    <xf numFmtId="282" fontId="31" fillId="0" borderId="0" applyFill="0" applyBorder="0" applyAlignment="0"/>
    <xf numFmtId="0" fontId="103" fillId="65" borderId="0"/>
    <xf numFmtId="0" fontId="47" fillId="65" borderId="0">
      <alignment horizontal="left"/>
    </xf>
    <xf numFmtId="0" fontId="47" fillId="65" borderId="0">
      <alignment horizontal="left" indent="1"/>
    </xf>
    <xf numFmtId="0" fontId="47" fillId="65" borderId="0">
      <alignment horizontal="left" vertical="center" indent="2"/>
    </xf>
    <xf numFmtId="0" fontId="27" fillId="0" borderId="0">
      <alignment horizontal="centerContinuous" wrapText="1"/>
    </xf>
    <xf numFmtId="0" fontId="105" fillId="0" borderId="0" applyNumberFormat="0" applyFont="0" applyFill="0" applyBorder="0" applyProtection="0">
      <alignment wrapText="1"/>
    </xf>
    <xf numFmtId="0" fontId="92" fillId="0" borderId="0">
      <alignment vertical="top"/>
    </xf>
    <xf numFmtId="0" fontId="216" fillId="0" borderId="0"/>
    <xf numFmtId="0" fontId="197" fillId="0" borderId="0">
      <alignment vertical="top"/>
    </xf>
    <xf numFmtId="283" fontId="217" fillId="0" borderId="0" applyFill="0" applyBorder="0" applyAlignment="0" applyProtection="0">
      <alignment horizontal="right"/>
    </xf>
    <xf numFmtId="284" fontId="11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0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18" fillId="0" borderId="0" applyNumberFormat="0" applyFill="0" applyBorder="0" applyAlignment="0" applyProtection="0"/>
    <xf numFmtId="0" fontId="221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8" fillId="0" borderId="0" applyNumberFormat="0" applyFill="0" applyBorder="0" applyAlignment="0" applyProtection="0"/>
    <xf numFmtId="0" fontId="219" fillId="65" borderId="0">
      <alignment horizontal="left" vertical="center" indent="1"/>
    </xf>
    <xf numFmtId="0" fontId="222" fillId="0" borderId="0">
      <alignment vertical="top"/>
    </xf>
    <xf numFmtId="0" fontId="79" fillId="22" borderId="74">
      <alignment horizontal="center" wrapText="1"/>
    </xf>
    <xf numFmtId="0" fontId="79" fillId="22" borderId="74">
      <alignment horizontal="left" vertical="top" wrapText="1"/>
    </xf>
    <xf numFmtId="0" fontId="79" fillId="14" borderId="84">
      <alignment horizontal="left" vertical="center" wrapText="1" indent="1"/>
    </xf>
    <xf numFmtId="0" fontId="223" fillId="0" borderId="0">
      <alignment horizontal="right"/>
    </xf>
    <xf numFmtId="0" fontId="36" fillId="0" borderId="0" applyNumberFormat="0" applyBorder="0" applyAlignment="0"/>
    <xf numFmtId="285" fontId="11" fillId="0" borderId="1" applyNumberFormat="0" applyFont="0" applyFill="0" applyAlignment="0" applyProtection="0"/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79" fillId="14" borderId="74">
      <alignment horizontal="center" vertical="center" wrapText="1"/>
    </xf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224" fillId="0" borderId="31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9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9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9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0" fontId="33" fillId="0" borderId="87" applyNumberFormat="0" applyFill="0" applyAlignment="0" applyProtection="0"/>
    <xf numFmtId="0" fontId="33" fillId="0" borderId="89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3" fillId="0" borderId="87" applyNumberFormat="0" applyFill="0" applyAlignment="0" applyProtection="0"/>
    <xf numFmtId="0" fontId="31" fillId="0" borderId="88" applyNumberFormat="0" applyFont="0" applyFill="0" applyAlignment="0" applyProtection="0"/>
    <xf numFmtId="15" fontId="225" fillId="22" borderId="90">
      <alignment horizontal="center" vertical="center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79" fillId="11" borderId="74">
      <alignment horizontal="center" vertical="center" wrapText="1"/>
    </xf>
    <xf numFmtId="0" fontId="226" fillId="0" borderId="0">
      <alignment horizontal="centerContinuous"/>
    </xf>
    <xf numFmtId="0" fontId="11" fillId="0" borderId="32"/>
    <xf numFmtId="37" fontId="47" fillId="11" borderId="0" applyNumberFormat="0" applyBorder="0" applyAlignment="0" applyProtection="0"/>
    <xf numFmtId="37" fontId="47" fillId="0" borderId="0"/>
    <xf numFmtId="37" fontId="227" fillId="11" borderId="0" applyNumberFormat="0" applyBorder="0" applyAlignment="0" applyProtection="0"/>
    <xf numFmtId="3" fontId="49" fillId="0" borderId="73" applyProtection="0"/>
    <xf numFmtId="41" fontId="228" fillId="9" borderId="0">
      <alignment horizontal="center"/>
    </xf>
    <xf numFmtId="0" fontId="83" fillId="0" borderId="91"/>
    <xf numFmtId="278" fontId="47" fillId="0" borderId="0">
      <alignment horizontal="center"/>
    </xf>
    <xf numFmtId="250" fontId="47" fillId="0" borderId="76">
      <alignment horizontal="center"/>
    </xf>
    <xf numFmtId="37" fontId="47" fillId="0" borderId="76">
      <alignment horizontal="right"/>
    </xf>
    <xf numFmtId="9" fontId="68" fillId="0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37" fontId="68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166" fontId="47" fillId="25" borderId="76">
      <alignment horizontal="right"/>
    </xf>
    <xf numFmtId="41" fontId="229" fillId="0" borderId="0" applyNumberFormat="0" applyAlignment="0">
      <alignment horizontal="right"/>
    </xf>
    <xf numFmtId="37" fontId="103" fillId="25" borderId="76">
      <alignment horizontal="right"/>
    </xf>
    <xf numFmtId="37" fontId="230" fillId="25" borderId="76">
      <alignment horizontal="right"/>
    </xf>
    <xf numFmtId="37" fontId="47" fillId="25" borderId="76">
      <alignment horizontal="right"/>
    </xf>
    <xf numFmtId="9" fontId="68" fillId="25" borderId="76">
      <alignment horizontal="right"/>
    </xf>
    <xf numFmtId="0" fontId="11" fillId="0" borderId="0" applyFont="0" applyFill="0" applyAlignment="0" applyProtection="0"/>
    <xf numFmtId="0" fontId="11" fillId="0" borderId="0" applyFont="0" applyFill="0" applyAlignment="0" applyProtection="0"/>
    <xf numFmtId="0" fontId="231" fillId="0" borderId="0">
      <protection hidden="1"/>
    </xf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3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0" fontId="232" fillId="0" borderId="0" applyNumberFormat="0" applyFill="0" applyBorder="0" applyAlignment="0" applyProtection="0"/>
    <xf numFmtId="37" fontId="47" fillId="0" borderId="0" applyNumberFormat="0" applyFont="0" applyFill="0" applyBorder="0" applyAlignment="0" applyProtection="0"/>
    <xf numFmtId="10" fontId="11" fillId="28" borderId="46" applyNumberFormat="0" applyFont="0" applyBorder="0" applyAlignment="0" applyProtection="0">
      <protection locked="0"/>
    </xf>
    <xf numFmtId="195" fontId="27" fillId="0" borderId="0"/>
    <xf numFmtId="0" fontId="46" fillId="0" borderId="0" applyFont="0" applyFill="0" applyBorder="0" applyProtection="0">
      <alignment horizontal="right"/>
    </xf>
    <xf numFmtId="0" fontId="47" fillId="11" borderId="0"/>
    <xf numFmtId="175" fontId="8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9" fontId="234" fillId="0" borderId="0" applyFont="0" applyFill="0" applyBorder="0" applyAlignment="0" applyProtection="0"/>
    <xf numFmtId="0" fontId="235" fillId="0" borderId="0"/>
    <xf numFmtId="0" fontId="63" fillId="0" borderId="0"/>
    <xf numFmtId="0" fontId="236" fillId="11" borderId="0" applyNumberFormat="0" applyBorder="0" applyAlignment="0" applyProtection="0">
      <alignment vertical="center"/>
    </xf>
    <xf numFmtId="0" fontId="237" fillId="14" borderId="79" applyNumberFormat="0" applyFont="0" applyAlignment="0" applyProtection="0">
      <alignment vertical="center"/>
    </xf>
    <xf numFmtId="286" fontId="11" fillId="0" borderId="0" applyFont="0" applyFill="0" applyBorder="0" applyAlignment="0" applyProtection="0"/>
    <xf numFmtId="287" fontId="11" fillId="0" borderId="0" applyFont="0" applyFill="0" applyBorder="0" applyAlignment="0" applyProtection="0"/>
    <xf numFmtId="0" fontId="238" fillId="0" borderId="89" applyNumberFormat="0" applyFill="0" applyAlignment="0" applyProtection="0">
      <alignment vertical="center"/>
    </xf>
    <xf numFmtId="288" fontId="11" fillId="0" borderId="0" applyFont="0" applyFill="0" applyBorder="0" applyAlignment="0" applyProtection="0"/>
    <xf numFmtId="289" fontId="11" fillId="0" borderId="0" applyFont="0" applyFill="0" applyBorder="0" applyAlignment="0" applyProtection="0"/>
    <xf numFmtId="0" fontId="234" fillId="0" borderId="0" applyFont="0" applyFill="0" applyBorder="0" applyAlignment="0" applyProtection="0"/>
    <xf numFmtId="290" fontId="234" fillId="0" borderId="0" applyFont="0" applyFill="0" applyBorder="0" applyAlignment="0" applyProtection="0"/>
    <xf numFmtId="0" fontId="239" fillId="16" borderId="0" applyNumberFormat="0" applyBorder="0" applyAlignment="0" applyProtection="0">
      <alignment vertical="center"/>
    </xf>
    <xf numFmtId="0" fontId="240" fillId="0" borderId="0"/>
    <xf numFmtId="0" fontId="241" fillId="10" borderId="0" applyNumberFormat="0" applyBorder="0" applyAlignment="0" applyProtection="0">
      <alignment vertical="center"/>
    </xf>
    <xf numFmtId="0" fontId="242" fillId="10" borderId="0" applyNumberFormat="0" applyBorder="0" applyAlignment="0" applyProtection="0">
      <alignment vertical="center"/>
    </xf>
    <xf numFmtId="0" fontId="243" fillId="16" borderId="0" applyNumberFormat="0" applyBorder="0" applyAlignment="0" applyProtection="0">
      <alignment vertical="center"/>
    </xf>
    <xf numFmtId="0" fontId="11" fillId="0" borderId="0"/>
    <xf numFmtId="0" fontId="66" fillId="45" borderId="0" applyNumberFormat="0" applyBorder="0" applyAlignment="0" applyProtection="0">
      <alignment vertical="center"/>
    </xf>
    <xf numFmtId="0" fontId="66" fillId="48" borderId="0" applyNumberFormat="0" applyBorder="0" applyAlignment="0" applyProtection="0">
      <alignment vertical="center"/>
    </xf>
    <xf numFmtId="0" fontId="66" fillId="51" borderId="0" applyNumberFormat="0" applyBorder="0" applyAlignment="0" applyProtection="0">
      <alignment vertical="center"/>
    </xf>
    <xf numFmtId="0" fontId="66" fillId="38" borderId="0" applyNumberFormat="0" applyBorder="0" applyAlignment="0" applyProtection="0">
      <alignment vertical="center"/>
    </xf>
    <xf numFmtId="0" fontId="66" fillId="40" borderId="0" applyNumberFormat="0" applyBorder="0" applyAlignment="0" applyProtection="0">
      <alignment vertical="center"/>
    </xf>
    <xf numFmtId="0" fontId="66" fillId="55" borderId="0" applyNumberFormat="0" applyBorder="0" applyAlignment="0" applyProtection="0">
      <alignment vertical="center"/>
    </xf>
    <xf numFmtId="0" fontId="244" fillId="0" borderId="0" applyNumberFormat="0" applyFill="0" applyBorder="0" applyAlignment="0" applyProtection="0">
      <alignment vertical="center"/>
    </xf>
    <xf numFmtId="0" fontId="245" fillId="0" borderId="68" applyNumberFormat="0" applyFill="0" applyAlignment="0" applyProtection="0">
      <alignment vertical="center"/>
    </xf>
    <xf numFmtId="0" fontId="246" fillId="0" borderId="70" applyNumberFormat="0" applyFill="0" applyAlignment="0" applyProtection="0">
      <alignment vertical="center"/>
    </xf>
    <xf numFmtId="0" fontId="247" fillId="0" borderId="72" applyNumberFormat="0" applyFill="0" applyAlignment="0" applyProtection="0">
      <alignment vertical="center"/>
    </xf>
    <xf numFmtId="0" fontId="247" fillId="0" borderId="0" applyNumberFormat="0" applyFill="0" applyBorder="0" applyAlignment="0" applyProtection="0">
      <alignment vertical="center"/>
    </xf>
    <xf numFmtId="0" fontId="248" fillId="49" borderId="53" applyNumberFormat="0" applyAlignment="0" applyProtection="0">
      <alignment vertical="center"/>
    </xf>
    <xf numFmtId="0" fontId="249" fillId="0" borderId="0" applyNumberFormat="0" applyFill="0" applyBorder="0" applyAlignment="0" applyProtection="0">
      <alignment vertical="center"/>
    </xf>
    <xf numFmtId="0" fontId="250" fillId="0" borderId="68" applyNumberFormat="0" applyFill="0" applyAlignment="0" applyProtection="0">
      <alignment vertical="center"/>
    </xf>
    <xf numFmtId="0" fontId="251" fillId="0" borderId="70" applyNumberFormat="0" applyFill="0" applyAlignment="0" applyProtection="0">
      <alignment vertical="center"/>
    </xf>
    <xf numFmtId="0" fontId="252" fillId="0" borderId="72" applyNumberFormat="0" applyFill="0" applyAlignment="0" applyProtection="0">
      <alignment vertical="center"/>
    </xf>
    <xf numFmtId="0" fontId="252" fillId="0" borderId="0" applyNumberFormat="0" applyFill="0" applyBorder="0" applyAlignment="0" applyProtection="0">
      <alignment vertical="center"/>
    </xf>
    <xf numFmtId="0" fontId="253" fillId="49" borderId="53" applyNumberFormat="0" applyAlignment="0" applyProtection="0">
      <alignment vertical="center"/>
    </xf>
    <xf numFmtId="0" fontId="254" fillId="0" borderId="89" applyNumberFormat="0" applyFill="0" applyAlignment="0" applyProtection="0">
      <alignment vertical="center"/>
    </xf>
    <xf numFmtId="0" fontId="11" fillId="14" borderId="79" applyNumberFormat="0" applyFont="0" applyAlignment="0" applyProtection="0">
      <alignment vertical="center"/>
    </xf>
    <xf numFmtId="0" fontId="255" fillId="0" borderId="0" applyNumberFormat="0" applyFill="0" applyBorder="0" applyAlignment="0" applyProtection="0">
      <alignment vertical="center"/>
    </xf>
    <xf numFmtId="0" fontId="256" fillId="25" borderId="52" applyNumberFormat="0" applyAlignment="0" applyProtection="0">
      <alignment vertical="center"/>
    </xf>
    <xf numFmtId="0" fontId="257" fillId="0" borderId="0" applyNumberFormat="0" applyFill="0" applyBorder="0" applyAlignment="0" applyProtection="0">
      <alignment vertical="center"/>
    </xf>
    <xf numFmtId="0" fontId="258" fillId="0" borderId="0" applyNumberFormat="0" applyFill="0" applyBorder="0" applyAlignment="0" applyProtection="0">
      <alignment vertical="center"/>
    </xf>
    <xf numFmtId="0" fontId="259" fillId="0" borderId="0" applyNumberFormat="0" applyFill="0" applyBorder="0" applyAlignment="0" applyProtection="0">
      <alignment vertical="center"/>
    </xf>
    <xf numFmtId="0" fontId="260" fillId="25" borderId="52" applyNumberFormat="0" applyAlignment="0" applyProtection="0">
      <alignment vertical="center"/>
    </xf>
    <xf numFmtId="291" fontId="11" fillId="0" borderId="0" applyFont="0" applyFill="0" applyBorder="0" applyAlignment="0" applyProtection="0"/>
    <xf numFmtId="292" fontId="11" fillId="0" borderId="0" applyFont="0" applyFill="0" applyBorder="0" applyAlignment="0" applyProtection="0"/>
    <xf numFmtId="0" fontId="67" fillId="45" borderId="0" applyNumberFormat="0" applyBorder="0" applyAlignment="0" applyProtection="0">
      <alignment vertical="center"/>
    </xf>
    <xf numFmtId="0" fontId="67" fillId="48" borderId="0" applyNumberFormat="0" applyBorder="0" applyAlignment="0" applyProtection="0">
      <alignment vertical="center"/>
    </xf>
    <xf numFmtId="0" fontId="67" fillId="51" borderId="0" applyNumberFormat="0" applyBorder="0" applyAlignment="0" applyProtection="0">
      <alignment vertical="center"/>
    </xf>
    <xf numFmtId="0" fontId="67" fillId="38" borderId="0" applyNumberFormat="0" applyBorder="0" applyAlignment="0" applyProtection="0">
      <alignment vertical="center"/>
    </xf>
    <xf numFmtId="0" fontId="67" fillId="40" borderId="0" applyNumberFormat="0" applyBorder="0" applyAlignment="0" applyProtection="0">
      <alignment vertical="center"/>
    </xf>
    <xf numFmtId="0" fontId="67" fillId="55" borderId="0" applyNumberFormat="0" applyBorder="0" applyAlignment="0" applyProtection="0">
      <alignment vertical="center"/>
    </xf>
    <xf numFmtId="0" fontId="261" fillId="22" borderId="52" applyNumberFormat="0" applyAlignment="0" applyProtection="0">
      <alignment vertical="center"/>
    </xf>
    <xf numFmtId="0" fontId="262" fillId="25" borderId="82" applyNumberFormat="0" applyAlignment="0" applyProtection="0">
      <alignment vertical="center"/>
    </xf>
    <xf numFmtId="0" fontId="263" fillId="22" borderId="52" applyNumberFormat="0" applyAlignment="0" applyProtection="0">
      <alignment vertical="center"/>
    </xf>
    <xf numFmtId="0" fontId="264" fillId="25" borderId="82" applyNumberFormat="0" applyAlignment="0" applyProtection="0">
      <alignment vertical="center"/>
    </xf>
    <xf numFmtId="0" fontId="265" fillId="11" borderId="0" applyNumberFormat="0" applyBorder="0" applyAlignment="0" applyProtection="0">
      <alignment vertical="center"/>
    </xf>
    <xf numFmtId="0" fontId="266" fillId="0" borderId="77" applyNumberFormat="0" applyFill="0" applyAlignment="0" applyProtection="0">
      <alignment vertical="center"/>
    </xf>
    <xf numFmtId="0" fontId="267" fillId="0" borderId="77" applyNumberFormat="0" applyFill="0" applyAlignment="0" applyProtection="0">
      <alignment vertical="center"/>
    </xf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61" fillId="13" borderId="0" applyNumberFormat="0" applyBorder="0" applyAlignment="0" applyProtection="0"/>
    <xf numFmtId="0" fontId="61" fillId="15" borderId="0" applyNumberFormat="0" applyBorder="0" applyAlignment="0" applyProtection="0"/>
    <xf numFmtId="0" fontId="61" fillId="17" borderId="0" applyNumberFormat="0" applyBorder="0" applyAlignment="0" applyProtection="0"/>
    <xf numFmtId="0" fontId="61" fillId="18" borderId="0" applyNumberFormat="0" applyBorder="0" applyAlignment="0" applyProtection="0"/>
    <xf numFmtId="0" fontId="61" fillId="7" borderId="0" applyNumberFormat="0" applyBorder="0" applyAlignment="0" applyProtection="0"/>
    <xf numFmtId="0" fontId="61" fillId="21" borderId="0" applyNumberFormat="0" applyBorder="0" applyAlignment="0" applyProtection="0"/>
    <xf numFmtId="0" fontId="61" fillId="23" borderId="0" applyNumberFormat="0" applyBorder="0" applyAlignment="0" applyProtection="0"/>
    <xf numFmtId="0" fontId="61" fillId="26" borderId="0" applyNumberFormat="0" applyBorder="0" applyAlignment="0" applyProtection="0"/>
    <xf numFmtId="0" fontId="61" fillId="6" borderId="0" applyNumberFormat="0" applyBorder="0" applyAlignment="0" applyProtection="0"/>
    <xf numFmtId="0" fontId="61" fillId="29" borderId="0" applyNumberFormat="0" applyBorder="0" applyAlignment="0" applyProtection="0"/>
    <xf numFmtId="0" fontId="61" fillId="30" borderId="0" applyNumberFormat="0" applyBorder="0" applyAlignment="0" applyProtection="0"/>
    <xf numFmtId="0" fontId="61" fillId="31" borderId="0" applyNumberFormat="0" applyBorder="0" applyAlignment="0" applyProtection="0"/>
    <xf numFmtId="0" fontId="65" fillId="33" borderId="0" applyNumberFormat="0" applyBorder="0" applyAlignment="0" applyProtection="0"/>
    <xf numFmtId="0" fontId="65" fillId="35" borderId="0" applyNumberFormat="0" applyBorder="0" applyAlignment="0" applyProtection="0"/>
    <xf numFmtId="0" fontId="65" fillId="36" borderId="0" applyNumberFormat="0" applyBorder="0" applyAlignment="0" applyProtection="0"/>
    <xf numFmtId="0" fontId="65" fillId="37" borderId="0" applyNumberFormat="0" applyBorder="0" applyAlignment="0" applyProtection="0"/>
    <xf numFmtId="0" fontId="65" fillId="39" borderId="0" applyNumberFormat="0" applyBorder="0" applyAlignment="0" applyProtection="0"/>
    <xf numFmtId="0" fontId="65" fillId="41" borderId="0" applyNumberFormat="0" applyBorder="0" applyAlignment="0" applyProtection="0"/>
    <xf numFmtId="0" fontId="65" fillId="44" borderId="0" applyNumberFormat="0" applyBorder="0" applyAlignment="0" applyProtection="0"/>
    <xf numFmtId="0" fontId="65" fillId="47" borderId="0" applyNumberFormat="0" applyBorder="0" applyAlignment="0" applyProtection="0"/>
    <xf numFmtId="0" fontId="65" fillId="50" borderId="0" applyNumberFormat="0" applyBorder="0" applyAlignment="0" applyProtection="0"/>
    <xf numFmtId="0" fontId="65" fillId="52" borderId="0" applyNumberFormat="0" applyBorder="0" applyAlignment="0" applyProtection="0"/>
    <xf numFmtId="0" fontId="65" fillId="53" borderId="0" applyNumberFormat="0" applyBorder="0" applyAlignment="0" applyProtection="0"/>
    <xf numFmtId="0" fontId="65" fillId="54" borderId="0" applyNumberFormat="0" applyBorder="0" applyAlignment="0" applyProtection="0"/>
    <xf numFmtId="0" fontId="41" fillId="8" borderId="0" applyNumberFormat="0" applyBorder="0" applyAlignment="0" applyProtection="0"/>
    <xf numFmtId="0" fontId="45" fillId="59" borderId="26" applyNumberFormat="0" applyAlignment="0" applyProtection="0"/>
    <xf numFmtId="0" fontId="89" fillId="61" borderId="29" applyNumberFormat="0" applyAlignment="0" applyProtection="0"/>
    <xf numFmtId="0" fontId="268" fillId="0" borderId="0" applyNumberFormat="0" applyFill="0" applyBorder="0" applyAlignment="0" applyProtection="0"/>
    <xf numFmtId="0" fontId="40" fillId="68" borderId="0" applyNumberFormat="0" applyBorder="0" applyAlignment="0" applyProtection="0"/>
    <xf numFmtId="0" fontId="269" fillId="0" borderId="23" applyNumberFormat="0" applyFill="0" applyAlignment="0" applyProtection="0"/>
    <xf numFmtId="0" fontId="270" fillId="0" borderId="24" applyNumberFormat="0" applyFill="0" applyAlignment="0" applyProtection="0"/>
    <xf numFmtId="0" fontId="271" fillId="0" borderId="25" applyNumberFormat="0" applyFill="0" applyAlignment="0" applyProtection="0"/>
    <xf numFmtId="0" fontId="271" fillId="0" borderId="0" applyNumberFormat="0" applyFill="0" applyBorder="0" applyAlignment="0" applyProtection="0"/>
    <xf numFmtId="0" fontId="43" fillId="22" borderId="26" applyNumberFormat="0" applyAlignment="0" applyProtection="0"/>
    <xf numFmtId="0" fontId="272" fillId="0" borderId="28" applyNumberFormat="0" applyFill="0" applyAlignment="0" applyProtection="0"/>
    <xf numFmtId="0" fontId="42" fillId="70" borderId="0" applyNumberFormat="0" applyBorder="0" applyAlignment="0" applyProtection="0"/>
    <xf numFmtId="0" fontId="61" fillId="14" borderId="30" applyNumberFormat="0" applyFont="0" applyAlignment="0" applyProtection="0"/>
    <xf numFmtId="0" fontId="44" fillId="59" borderId="27" applyNumberFormat="0" applyAlignment="0" applyProtection="0"/>
    <xf numFmtId="0" fontId="220" fillId="0" borderId="0" applyNumberFormat="0" applyFill="0" applyBorder="0" applyAlignment="0" applyProtection="0"/>
    <xf numFmtId="0" fontId="224" fillId="0" borderId="31" applyNumberFormat="0" applyFill="0" applyAlignment="0" applyProtection="0"/>
    <xf numFmtId="0" fontId="233" fillId="0" borderId="0" applyNumberFormat="0" applyFill="0" applyBorder="0" applyAlignment="0" applyProtection="0"/>
    <xf numFmtId="0" fontId="11" fillId="0" borderId="0"/>
    <xf numFmtId="44" fontId="11" fillId="0" borderId="0" applyFont="0" applyFill="0" applyBorder="0" applyAlignment="0" applyProtection="0"/>
    <xf numFmtId="43" fontId="11" fillId="0" borderId="0" applyFont="0" applyFill="0" applyBorder="0" applyAlignment="0" applyProtection="0"/>
    <xf numFmtId="0" fontId="273" fillId="25" borderId="79">
      <alignment vertical="center"/>
    </xf>
    <xf numFmtId="0" fontId="11" fillId="0" borderId="0"/>
    <xf numFmtId="9" fontId="11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</cellStyleXfs>
  <cellXfs count="328">
    <xf numFmtId="0" fontId="0" fillId="0" borderId="0" xfId="0"/>
    <xf numFmtId="10" fontId="0" fillId="0" borderId="0" xfId="0" applyNumberFormat="1"/>
    <xf numFmtId="0" fontId="2" fillId="0" borderId="1" xfId="0" applyFont="1" applyBorder="1"/>
    <xf numFmtId="0" fontId="2" fillId="0" borderId="0" xfId="0" applyFont="1"/>
    <xf numFmtId="2" fontId="0" fillId="0" borderId="0" xfId="0" applyNumberFormat="1"/>
    <xf numFmtId="0" fontId="0" fillId="0" borderId="0" xfId="0" applyFont="1"/>
    <xf numFmtId="0" fontId="4" fillId="0" borderId="0" xfId="0" applyFont="1"/>
    <xf numFmtId="3" fontId="0" fillId="0" borderId="0" xfId="0" applyNumberFormat="1"/>
    <xf numFmtId="3" fontId="2" fillId="0" borderId="1" xfId="0" applyNumberFormat="1" applyFont="1" applyBorder="1"/>
    <xf numFmtId="0" fontId="0" fillId="0" borderId="1" xfId="0" applyBorder="1"/>
    <xf numFmtId="0" fontId="2" fillId="0" borderId="0" xfId="0" applyFont="1" applyAlignment="1">
      <alignment horizontal="right"/>
    </xf>
    <xf numFmtId="0" fontId="2" fillId="0" borderId="1" xfId="0" applyFont="1" applyBorder="1" applyAlignment="1">
      <alignment horizontal="right"/>
    </xf>
    <xf numFmtId="0" fontId="1" fillId="3" borderId="0" xfId="0" applyFont="1" applyFill="1"/>
    <xf numFmtId="167" fontId="0" fillId="0" borderId="1" xfId="0" applyNumberFormat="1" applyBorder="1"/>
    <xf numFmtId="166" fontId="0" fillId="0" borderId="0" xfId="0" applyNumberFormat="1"/>
    <xf numFmtId="0" fontId="8" fillId="0" borderId="0" xfId="0" applyFont="1"/>
    <xf numFmtId="0" fontId="3" fillId="3" borderId="0" xfId="0" applyFont="1" applyFill="1"/>
    <xf numFmtId="10" fontId="4" fillId="0" borderId="0" xfId="0" applyNumberFormat="1" applyFont="1"/>
    <xf numFmtId="166" fontId="6" fillId="2" borderId="2" xfId="0" applyNumberFormat="1" applyFont="1" applyFill="1" applyBorder="1"/>
    <xf numFmtId="166" fontId="2" fillId="0" borderId="0" xfId="0" applyNumberFormat="1" applyFont="1"/>
    <xf numFmtId="0" fontId="2" fillId="0" borderId="0" xfId="0" applyFont="1" applyAlignment="1">
      <alignment horizontal="center"/>
    </xf>
    <xf numFmtId="10" fontId="7" fillId="0" borderId="1" xfId="0" applyNumberFormat="1" applyFont="1" applyBorder="1" applyAlignment="1">
      <alignment horizontal="center"/>
    </xf>
    <xf numFmtId="9" fontId="2" fillId="0" borderId="0" xfId="0" applyNumberFormat="1" applyFont="1"/>
    <xf numFmtId="10" fontId="5" fillId="0" borderId="5" xfId="0" applyNumberFormat="1" applyFont="1" applyBorder="1" applyAlignment="1">
      <alignment horizontal="center"/>
    </xf>
    <xf numFmtId="10" fontId="5" fillId="0" borderId="6" xfId="0" applyNumberFormat="1" applyFont="1" applyBorder="1" applyAlignment="1">
      <alignment horizontal="center"/>
    </xf>
    <xf numFmtId="0" fontId="0" fillId="0" borderId="0" xfId="0" applyBorder="1"/>
    <xf numFmtId="10" fontId="5" fillId="0" borderId="7" xfId="0" applyNumberFormat="1" applyFont="1" applyBorder="1" applyAlignment="1">
      <alignment horizontal="center"/>
    </xf>
    <xf numFmtId="10" fontId="5" fillId="0" borderId="0" xfId="0" applyNumberFormat="1" applyFont="1" applyAlignment="1">
      <alignment horizontal="center"/>
    </xf>
    <xf numFmtId="0" fontId="2" fillId="0" borderId="0" xfId="0" quotePrefix="1" applyFont="1" applyAlignment="1">
      <alignment horizontal="center"/>
    </xf>
    <xf numFmtId="165" fontId="0" fillId="0" borderId="0" xfId="0" applyNumberFormat="1" applyAlignment="1">
      <alignment horizontal="center"/>
    </xf>
    <xf numFmtId="166" fontId="0" fillId="0" borderId="0" xfId="0" applyNumberFormat="1" applyAlignment="1">
      <alignment horizontal="center"/>
    </xf>
    <xf numFmtId="169" fontId="2" fillId="0" borderId="0" xfId="0" applyNumberFormat="1" applyFont="1" applyAlignment="1">
      <alignment horizontal="center"/>
    </xf>
    <xf numFmtId="10" fontId="2" fillId="0" borderId="0" xfId="0" applyNumberFormat="1" applyFont="1" applyAlignment="1">
      <alignment horizontal="center"/>
    </xf>
    <xf numFmtId="0" fontId="0" fillId="0" borderId="0" xfId="0" applyFill="1"/>
    <xf numFmtId="0" fontId="6" fillId="0" borderId="0" xfId="0" applyFont="1"/>
    <xf numFmtId="9" fontId="5" fillId="0" borderId="7" xfId="0" applyNumberFormat="1" applyFont="1" applyBorder="1" applyAlignment="1">
      <alignment horizontal="center"/>
    </xf>
    <xf numFmtId="9" fontId="5" fillId="0" borderId="5" xfId="0" applyNumberFormat="1" applyFont="1" applyBorder="1" applyAlignment="1">
      <alignment horizontal="center"/>
    </xf>
    <xf numFmtId="9" fontId="5" fillId="0" borderId="6" xfId="0" applyNumberFormat="1" applyFont="1" applyBorder="1" applyAlignment="1">
      <alignment horizontal="center"/>
    </xf>
    <xf numFmtId="10" fontId="5" fillId="0" borderId="0" xfId="0" applyNumberFormat="1" applyFont="1"/>
    <xf numFmtId="171" fontId="0" fillId="0" borderId="0" xfId="0" applyNumberFormat="1" applyAlignment="1">
      <alignment horizontal="center"/>
    </xf>
    <xf numFmtId="9" fontId="0" fillId="0" borderId="0" xfId="0" applyNumberFormat="1" applyAlignment="1">
      <alignment horizontal="center"/>
    </xf>
    <xf numFmtId="0" fontId="1" fillId="5" borderId="0" xfId="0" applyFont="1" applyFill="1"/>
    <xf numFmtId="0" fontId="3" fillId="5" borderId="0" xfId="0" applyFont="1" applyFill="1"/>
    <xf numFmtId="0" fontId="7" fillId="6" borderId="0" xfId="0" applyFont="1" applyFill="1"/>
    <xf numFmtId="0" fontId="14" fillId="0" borderId="0" xfId="0" applyFont="1"/>
    <xf numFmtId="172" fontId="0" fillId="0" borderId="0" xfId="0" applyNumberFormat="1"/>
    <xf numFmtId="173" fontId="0" fillId="0" borderId="0" xfId="0" applyNumberFormat="1"/>
    <xf numFmtId="171" fontId="15" fillId="0" borderId="0" xfId="0" applyNumberFormat="1" applyFont="1" applyAlignment="1">
      <alignment horizontal="left"/>
    </xf>
    <xf numFmtId="0" fontId="15" fillId="0" borderId="0" xfId="0" applyFont="1"/>
    <xf numFmtId="4" fontId="4" fillId="0" borderId="0" xfId="0" applyNumberFormat="1" applyFont="1"/>
    <xf numFmtId="0" fontId="16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7" fillId="0" borderId="0" xfId="0" applyFont="1"/>
    <xf numFmtId="3" fontId="2" fillId="0" borderId="0" xfId="0" applyNumberFormat="1" applyFont="1"/>
    <xf numFmtId="9" fontId="0" fillId="0" borderId="0" xfId="0" applyNumberFormat="1"/>
    <xf numFmtId="9" fontId="18" fillId="0" borderId="0" xfId="0" applyNumberFormat="1" applyFont="1"/>
    <xf numFmtId="0" fontId="0" fillId="0" borderId="0" xfId="0" applyAlignment="1">
      <alignment horizontal="left"/>
    </xf>
    <xf numFmtId="4" fontId="0" fillId="0" borderId="0" xfId="0" applyNumberFormat="1"/>
    <xf numFmtId="3" fontId="18" fillId="0" borderId="0" xfId="0" applyNumberFormat="1" applyFont="1"/>
    <xf numFmtId="0" fontId="0" fillId="0" borderId="0" xfId="0" applyAlignment="1">
      <alignment horizontal="left" indent="1"/>
    </xf>
    <xf numFmtId="0" fontId="0" fillId="0" borderId="0" xfId="0" applyFont="1" applyBorder="1"/>
    <xf numFmtId="3" fontId="0" fillId="0" borderId="0" xfId="0" applyNumberFormat="1" applyFont="1"/>
    <xf numFmtId="9" fontId="0" fillId="0" borderId="0" xfId="0" applyNumberFormat="1" applyAlignment="1">
      <alignment horizontal="right"/>
    </xf>
    <xf numFmtId="3" fontId="5" fillId="0" borderId="0" xfId="0" applyNumberFormat="1" applyFont="1"/>
    <xf numFmtId="10" fontId="2" fillId="0" borderId="0" xfId="0" applyNumberFormat="1" applyFont="1"/>
    <xf numFmtId="9" fontId="4" fillId="0" borderId="0" xfId="0" applyNumberFormat="1" applyFont="1"/>
    <xf numFmtId="166" fontId="4" fillId="0" borderId="0" xfId="0" applyNumberFormat="1" applyFont="1"/>
    <xf numFmtId="3" fontId="5" fillId="0" borderId="0" xfId="0" applyNumberFormat="1" applyFont="1" applyAlignment="1">
      <alignment horizontal="right"/>
    </xf>
    <xf numFmtId="3" fontId="4" fillId="0" borderId="0" xfId="0" applyNumberFormat="1" applyFont="1"/>
    <xf numFmtId="0" fontId="17" fillId="0" borderId="0" xfId="0" applyFont="1" applyAlignment="1">
      <alignment horizontal="left" indent="2"/>
    </xf>
    <xf numFmtId="9" fontId="5" fillId="0" borderId="0" xfId="0" applyNumberFormat="1" applyFont="1" applyAlignment="1">
      <alignment horizontal="right"/>
    </xf>
    <xf numFmtId="9" fontId="4" fillId="0" borderId="0" xfId="0" applyNumberFormat="1" applyFont="1" applyAlignment="1">
      <alignment horizontal="right"/>
    </xf>
    <xf numFmtId="3" fontId="0" fillId="0" borderId="0" xfId="0" applyNumberFormat="1" applyAlignment="1">
      <alignment horizontal="left" indent="1"/>
    </xf>
    <xf numFmtId="0" fontId="17" fillId="0" borderId="0" xfId="0" applyFont="1" applyAlignment="1">
      <alignment horizontal="left" indent="1"/>
    </xf>
    <xf numFmtId="3" fontId="17" fillId="0" borderId="0" xfId="0" applyNumberFormat="1" applyFont="1" applyAlignment="1">
      <alignment horizontal="right"/>
    </xf>
    <xf numFmtId="4" fontId="7" fillId="0" borderId="0" xfId="0" applyNumberFormat="1" applyFont="1" applyAlignment="1">
      <alignment horizontal="right"/>
    </xf>
    <xf numFmtId="166" fontId="0" fillId="0" borderId="0" xfId="0" applyNumberFormat="1" applyAlignment="1">
      <alignment horizontal="right"/>
    </xf>
    <xf numFmtId="3" fontId="5" fillId="0" borderId="0" xfId="0" applyNumberFormat="1" applyFont="1" applyFill="1"/>
    <xf numFmtId="3" fontId="0" fillId="0" borderId="0" xfId="0" applyNumberFormat="1" applyFill="1"/>
    <xf numFmtId="3" fontId="0" fillId="0" borderId="0" xfId="0" applyNumberFormat="1" applyAlignment="1">
      <alignment horizontal="right"/>
    </xf>
    <xf numFmtId="174" fontId="0" fillId="0" borderId="0" xfId="0" applyNumberFormat="1"/>
    <xf numFmtId="0" fontId="19" fillId="0" borderId="0" xfId="0" applyFont="1" applyBorder="1"/>
    <xf numFmtId="3" fontId="19" fillId="0" borderId="0" xfId="0" applyNumberFormat="1" applyFont="1"/>
    <xf numFmtId="0" fontId="19" fillId="0" borderId="0" xfId="0" applyFont="1"/>
    <xf numFmtId="2" fontId="0" fillId="0" borderId="0" xfId="0" applyNumberFormat="1" applyAlignment="1">
      <alignment horizontal="right"/>
    </xf>
    <xf numFmtId="3" fontId="9" fillId="0" borderId="0" xfId="0" applyNumberFormat="1" applyFont="1"/>
    <xf numFmtId="174" fontId="4" fillId="0" borderId="0" xfId="0" applyNumberFormat="1" applyFont="1"/>
    <xf numFmtId="166" fontId="0" fillId="0" borderId="0" xfId="0" applyNumberFormat="1" applyFill="1"/>
    <xf numFmtId="3" fontId="2" fillId="0" borderId="1" xfId="0" applyNumberFormat="1" applyFont="1" applyFill="1" applyBorder="1"/>
    <xf numFmtId="3" fontId="9" fillId="0" borderId="1" xfId="0" applyNumberFormat="1" applyFont="1" applyFill="1" applyBorder="1"/>
    <xf numFmtId="0" fontId="0" fillId="6" borderId="0" xfId="0" applyFill="1"/>
    <xf numFmtId="0" fontId="2" fillId="6" borderId="0" xfId="0" applyFont="1" applyFill="1"/>
    <xf numFmtId="0" fontId="1" fillId="5" borderId="0" xfId="0" quotePrefix="1" applyFont="1" applyFill="1" applyAlignment="1">
      <alignment horizontal="center"/>
    </xf>
    <xf numFmtId="4" fontId="3" fillId="5" borderId="0" xfId="0" applyNumberFormat="1" applyFont="1" applyFill="1"/>
    <xf numFmtId="0" fontId="22" fillId="5" borderId="0" xfId="0" applyFont="1" applyFill="1"/>
    <xf numFmtId="0" fontId="23" fillId="0" borderId="0" xfId="0" applyFont="1"/>
    <xf numFmtId="0" fontId="24" fillId="0" borderId="0" xfId="0" applyFont="1"/>
    <xf numFmtId="0" fontId="23" fillId="0" borderId="0" xfId="0" applyFont="1" applyAlignment="1">
      <alignment horizontal="left" indent="1"/>
    </xf>
    <xf numFmtId="0" fontId="25" fillId="0" borderId="0" xfId="0" applyFont="1"/>
    <xf numFmtId="0" fontId="0" fillId="2" borderId="9" xfId="0" applyFill="1" applyBorder="1" applyAlignment="1">
      <alignment horizontal="center"/>
    </xf>
    <xf numFmtId="9" fontId="0" fillId="2" borderId="10" xfId="0" applyNumberFormat="1" applyFill="1" applyBorder="1" applyAlignment="1">
      <alignment horizontal="center"/>
    </xf>
    <xf numFmtId="9" fontId="0" fillId="2" borderId="11" xfId="0" applyNumberFormat="1" applyFill="1" applyBorder="1" applyAlignment="1">
      <alignment horizontal="center"/>
    </xf>
    <xf numFmtId="3" fontId="0" fillId="2" borderId="13" xfId="0" applyNumberFormat="1" applyFill="1" applyBorder="1"/>
    <xf numFmtId="3" fontId="0" fillId="0" borderId="12" xfId="0" applyNumberFormat="1" applyBorder="1"/>
    <xf numFmtId="3" fontId="0" fillId="2" borderId="15" xfId="0" applyNumberFormat="1" applyFill="1" applyBorder="1"/>
    <xf numFmtId="3" fontId="0" fillId="2" borderId="14" xfId="0" applyNumberFormat="1" applyFill="1" applyBorder="1"/>
    <xf numFmtId="0" fontId="0" fillId="0" borderId="16" xfId="0" applyBorder="1"/>
    <xf numFmtId="0" fontId="0" fillId="0" borderId="14" xfId="0" applyBorder="1"/>
    <xf numFmtId="0" fontId="0" fillId="0" borderId="17" xfId="0" applyBorder="1"/>
    <xf numFmtId="3" fontId="0" fillId="0" borderId="18" xfId="0" applyNumberFormat="1" applyBorder="1"/>
    <xf numFmtId="0" fontId="0" fillId="0" borderId="16" xfId="0" applyBorder="1" applyAlignment="1">
      <alignment horizontal="right"/>
    </xf>
    <xf numFmtId="0" fontId="0" fillId="0" borderId="14" xfId="0" applyBorder="1" applyAlignment="1">
      <alignment horizontal="right"/>
    </xf>
    <xf numFmtId="3" fontId="0" fillId="2" borderId="22" xfId="0" applyNumberFormat="1" applyFill="1" applyBorder="1"/>
    <xf numFmtId="171" fontId="2" fillId="7" borderId="2" xfId="0" applyNumberFormat="1" applyFont="1" applyFill="1" applyBorder="1" applyAlignment="1">
      <alignment horizontal="center"/>
    </xf>
    <xf numFmtId="171" fontId="2" fillId="7" borderId="4" xfId="0" applyNumberFormat="1" applyFont="1" applyFill="1" applyBorder="1"/>
    <xf numFmtId="0" fontId="2" fillId="7" borderId="3" xfId="0" applyFont="1" applyFill="1" applyBorder="1"/>
    <xf numFmtId="0" fontId="8" fillId="0" borderId="0" xfId="0" applyFont="1" applyAlignment="1">
      <alignment horizontal="left" indent="1"/>
    </xf>
    <xf numFmtId="166" fontId="8" fillId="0" borderId="0" xfId="0" applyNumberFormat="1" applyFont="1" applyAlignment="1">
      <alignment horizontal="right"/>
    </xf>
    <xf numFmtId="0" fontId="21" fillId="0" borderId="0" xfId="0" applyFont="1" applyAlignment="1">
      <alignment horizontal="center"/>
    </xf>
    <xf numFmtId="0" fontId="14" fillId="0" borderId="0" xfId="0" applyFont="1" applyFill="1"/>
    <xf numFmtId="0" fontId="1" fillId="0" borderId="0" xfId="0" applyFont="1" applyFill="1"/>
    <xf numFmtId="0" fontId="17" fillId="0" borderId="0" xfId="0" applyFont="1" applyFill="1"/>
    <xf numFmtId="0" fontId="2" fillId="0" borderId="0" xfId="0" applyFont="1" applyFill="1"/>
    <xf numFmtId="0" fontId="0" fillId="0" borderId="0" xfId="0" applyFill="1" applyAlignment="1">
      <alignment horizontal="left" indent="1"/>
    </xf>
    <xf numFmtId="0" fontId="19" fillId="0" borderId="0" xfId="0" applyFont="1" applyFill="1"/>
    <xf numFmtId="0" fontId="0" fillId="0" borderId="0" xfId="0" applyFont="1" applyFill="1"/>
    <xf numFmtId="0" fontId="0" fillId="0" borderId="0" xfId="0" applyFont="1" applyFill="1" applyAlignment="1">
      <alignment horizontal="left" indent="1"/>
    </xf>
    <xf numFmtId="165" fontId="0" fillId="0" borderId="0" xfId="0" applyNumberFormat="1" applyAlignment="1">
      <alignment horizontal="right"/>
    </xf>
    <xf numFmtId="0" fontId="2" fillId="0" borderId="1" xfId="0" applyFont="1" applyFill="1" applyBorder="1" applyAlignment="1">
      <alignment horizontal="left"/>
    </xf>
    <xf numFmtId="0" fontId="0" fillId="0" borderId="0" xfId="0" applyFill="1" applyAlignment="1">
      <alignment horizontal="left"/>
    </xf>
    <xf numFmtId="0" fontId="6" fillId="0" borderId="0" xfId="0" applyFont="1" applyAlignment="1">
      <alignment horizontal="left"/>
    </xf>
    <xf numFmtId="10" fontId="7" fillId="0" borderId="0" xfId="0" applyNumberFormat="1" applyFont="1" applyAlignment="1">
      <alignment horizontal="center"/>
    </xf>
    <xf numFmtId="10" fontId="7" fillId="0" borderId="5" xfId="0" applyNumberFormat="1" applyFont="1" applyBorder="1" applyAlignment="1">
      <alignment horizontal="center"/>
    </xf>
    <xf numFmtId="166" fontId="4" fillId="0" borderId="7" xfId="0" applyNumberFormat="1" applyFont="1" applyBorder="1" applyAlignment="1">
      <alignment horizontal="center"/>
    </xf>
    <xf numFmtId="166" fontId="4" fillId="0" borderId="5" xfId="0" applyNumberFormat="1" applyFont="1" applyBorder="1" applyAlignment="1">
      <alignment horizontal="center"/>
    </xf>
    <xf numFmtId="166" fontId="4" fillId="0" borderId="6" xfId="0" applyNumberFormat="1" applyFont="1" applyBorder="1" applyAlignment="1">
      <alignment horizontal="center"/>
    </xf>
    <xf numFmtId="10" fontId="4" fillId="0" borderId="0" xfId="0" applyNumberFormat="1" applyFont="1" applyAlignment="1">
      <alignment horizontal="center"/>
    </xf>
    <xf numFmtId="10" fontId="4" fillId="0" borderId="5" xfId="0" applyNumberFormat="1" applyFont="1" applyBorder="1" applyAlignment="1">
      <alignment horizontal="center"/>
    </xf>
    <xf numFmtId="2" fontId="4" fillId="0" borderId="0" xfId="0" applyNumberFormat="1" applyFont="1"/>
    <xf numFmtId="3" fontId="7" fillId="0" borderId="1" xfId="0" applyNumberFormat="1" applyFont="1" applyBorder="1"/>
    <xf numFmtId="3" fontId="4" fillId="0" borderId="0" xfId="0" applyNumberFormat="1" applyFont="1" applyAlignment="1">
      <alignment horizontal="right"/>
    </xf>
    <xf numFmtId="3" fontId="4" fillId="0" borderId="0" xfId="0" applyNumberFormat="1" applyFont="1" applyFill="1"/>
    <xf numFmtId="0" fontId="2" fillId="0" borderId="0" xfId="0" applyFont="1" applyBorder="1"/>
    <xf numFmtId="3" fontId="7" fillId="0" borderId="0" xfId="0" applyNumberFormat="1" applyFont="1" applyBorder="1"/>
    <xf numFmtId="4" fontId="5" fillId="0" borderId="0" xfId="0" applyNumberFormat="1" applyFont="1" applyBorder="1"/>
    <xf numFmtId="3" fontId="6" fillId="0" borderId="1" xfId="0" applyNumberFormat="1" applyFont="1" applyBorder="1"/>
    <xf numFmtId="3" fontId="0" fillId="2" borderId="20" xfId="0" applyNumberFormat="1" applyFill="1" applyBorder="1"/>
    <xf numFmtId="3" fontId="0" fillId="2" borderId="19" xfId="0" applyNumberFormat="1" applyFill="1" applyBorder="1"/>
    <xf numFmtId="10" fontId="0" fillId="0" borderId="0" xfId="0" applyNumberFormat="1" applyFont="1"/>
    <xf numFmtId="167" fontId="0" fillId="0" borderId="0" xfId="0" applyNumberFormat="1"/>
    <xf numFmtId="167" fontId="14" fillId="0" borderId="0" xfId="0" applyNumberFormat="1" applyFont="1" applyAlignment="1">
      <alignment horizontal="center"/>
    </xf>
    <xf numFmtId="9" fontId="274" fillId="0" borderId="0" xfId="0" applyNumberFormat="1" applyFont="1"/>
    <xf numFmtId="3" fontId="275" fillId="0" borderId="0" xfId="0" applyNumberFormat="1" applyFont="1" applyAlignment="1">
      <alignment horizontal="right"/>
    </xf>
    <xf numFmtId="3" fontId="0" fillId="6" borderId="0" xfId="0" applyNumberFormat="1" applyFill="1"/>
    <xf numFmtId="10" fontId="0" fillId="0" borderId="1" xfId="0" applyNumberFormat="1" applyBorder="1"/>
    <xf numFmtId="4" fontId="5" fillId="0" borderId="0" xfId="0" applyNumberFormat="1" applyFont="1"/>
    <xf numFmtId="171" fontId="0" fillId="0" borderId="0" xfId="0" applyNumberFormat="1"/>
    <xf numFmtId="0" fontId="19" fillId="0" borderId="1" xfId="0" applyFont="1" applyBorder="1"/>
    <xf numFmtId="9" fontId="5" fillId="0" borderId="0" xfId="0" applyNumberFormat="1" applyFont="1"/>
    <xf numFmtId="0" fontId="2" fillId="0" borderId="0" xfId="0" applyFont="1" applyAlignment="1">
      <alignment horizontal="left"/>
    </xf>
    <xf numFmtId="172" fontId="4" fillId="0" borderId="0" xfId="0" applyNumberFormat="1" applyFont="1"/>
    <xf numFmtId="0" fontId="276" fillId="0" borderId="0" xfId="0" applyFont="1"/>
    <xf numFmtId="0" fontId="0" fillId="0" borderId="0" xfId="0" applyFill="1" applyBorder="1"/>
    <xf numFmtId="3" fontId="17" fillId="0" borderId="0" xfId="0" applyNumberFormat="1" applyFont="1"/>
    <xf numFmtId="3" fontId="277" fillId="0" borderId="0" xfId="0" applyNumberFormat="1" applyFont="1"/>
    <xf numFmtId="10" fontId="275" fillId="0" borderId="0" xfId="0" applyNumberFormat="1" applyFont="1"/>
    <xf numFmtId="166" fontId="4" fillId="0" borderId="0" xfId="0" applyNumberFormat="1" applyFont="1" applyAlignment="1">
      <alignment horizontal="right"/>
    </xf>
    <xf numFmtId="9" fontId="17" fillId="0" borderId="0" xfId="0" applyNumberFormat="1" applyFont="1" applyAlignment="1">
      <alignment horizontal="right"/>
    </xf>
    <xf numFmtId="9" fontId="275" fillId="0" borderId="0" xfId="0" applyNumberFormat="1" applyFont="1" applyAlignment="1">
      <alignment horizontal="right"/>
    </xf>
    <xf numFmtId="4" fontId="0" fillId="2" borderId="93" xfId="0" applyNumberFormat="1" applyFill="1" applyBorder="1"/>
    <xf numFmtId="167" fontId="4" fillId="2" borderId="94" xfId="0" applyNumberFormat="1" applyFont="1" applyFill="1" applyBorder="1"/>
    <xf numFmtId="167" fontId="4" fillId="2" borderId="93" xfId="0" applyNumberFormat="1" applyFont="1" applyFill="1" applyBorder="1"/>
    <xf numFmtId="3" fontId="0" fillId="2" borderId="94" xfId="0" applyNumberFormat="1" applyFill="1" applyBorder="1"/>
    <xf numFmtId="3" fontId="22" fillId="5" borderId="0" xfId="0" applyNumberFormat="1" applyFont="1" applyFill="1"/>
    <xf numFmtId="3" fontId="1" fillId="5" borderId="0" xfId="0" applyNumberFormat="1" applyFont="1" applyFill="1"/>
    <xf numFmtId="293" fontId="22" fillId="5" borderId="0" xfId="0" applyNumberFormat="1" applyFont="1" applyFill="1"/>
    <xf numFmtId="293" fontId="1" fillId="5" borderId="0" xfId="0" applyNumberFormat="1" applyFont="1" applyFill="1"/>
    <xf numFmtId="3" fontId="4" fillId="78" borderId="0" xfId="0" applyNumberFormat="1" applyFont="1" applyFill="1"/>
    <xf numFmtId="0" fontId="0" fillId="0" borderId="0" xfId="0" applyFont="1" applyFill="1" applyBorder="1" applyAlignment="1">
      <alignment horizontal="left" indent="1"/>
    </xf>
    <xf numFmtId="10" fontId="17" fillId="0" borderId="0" xfId="0" applyNumberFormat="1" applyFont="1"/>
    <xf numFmtId="3" fontId="7" fillId="0" borderId="0" xfId="0" applyNumberFormat="1" applyFont="1" applyAlignment="1">
      <alignment horizontal="right"/>
    </xf>
    <xf numFmtId="3" fontId="4" fillId="78" borderId="0" xfId="0" applyNumberFormat="1" applyFont="1" applyFill="1" applyAlignment="1">
      <alignment horizontal="right"/>
    </xf>
    <xf numFmtId="166" fontId="5" fillId="0" borderId="0" xfId="0" applyNumberFormat="1" applyFont="1" applyAlignment="1">
      <alignment horizontal="right"/>
    </xf>
    <xf numFmtId="3" fontId="277" fillId="0" borderId="0" xfId="0" applyNumberFormat="1" applyFont="1" applyFill="1"/>
    <xf numFmtId="3" fontId="9" fillId="0" borderId="0" xfId="0" applyNumberFormat="1" applyFont="1" applyFill="1" applyBorder="1"/>
    <xf numFmtId="0" fontId="0" fillId="0" borderId="0" xfId="0" applyAlignment="1">
      <alignment horizontal="left" indent="2"/>
    </xf>
    <xf numFmtId="10" fontId="0" fillId="0" borderId="0" xfId="0" applyNumberFormat="1" applyAlignment="1">
      <alignment horizontal="right"/>
    </xf>
    <xf numFmtId="166" fontId="17" fillId="0" borderId="0" xfId="0" applyNumberFormat="1" applyFont="1" applyAlignment="1">
      <alignment horizontal="right"/>
    </xf>
    <xf numFmtId="294" fontId="0" fillId="6" borderId="0" xfId="0" applyNumberFormat="1" applyFill="1"/>
    <xf numFmtId="3" fontId="4" fillId="2" borderId="21" xfId="0" applyNumberFormat="1" applyFont="1" applyFill="1" applyBorder="1"/>
    <xf numFmtId="174" fontId="4" fillId="78" borderId="0" xfId="0" applyNumberFormat="1" applyFont="1" applyFill="1"/>
    <xf numFmtId="0" fontId="4" fillId="0" borderId="0" xfId="0" applyFont="1" applyFill="1"/>
    <xf numFmtId="0" fontId="23" fillId="0" borderId="0" xfId="0" applyFont="1" applyFill="1"/>
    <xf numFmtId="0" fontId="2" fillId="0" borderId="92" xfId="0" applyFont="1" applyBorder="1"/>
    <xf numFmtId="3" fontId="4" fillId="78" borderId="92" xfId="0" applyNumberFormat="1" applyFont="1" applyFill="1" applyBorder="1"/>
    <xf numFmtId="9" fontId="7" fillId="0" borderId="0" xfId="0" applyNumberFormat="1" applyFont="1" applyFill="1" applyBorder="1"/>
    <xf numFmtId="2" fontId="0" fillId="0" borderId="0" xfId="0" applyNumberFormat="1" applyFill="1"/>
    <xf numFmtId="10" fontId="0" fillId="0" borderId="0" xfId="0" applyNumberFormat="1" applyFill="1"/>
    <xf numFmtId="9" fontId="0" fillId="0" borderId="0" xfId="0" applyNumberFormat="1" applyFill="1"/>
    <xf numFmtId="9" fontId="17" fillId="0" borderId="0" xfId="0" applyNumberFormat="1" applyFont="1" applyFill="1"/>
    <xf numFmtId="0" fontId="4" fillId="0" borderId="0" xfId="0" applyFont="1" applyFill="1" applyAlignment="1">
      <alignment horizontal="right"/>
    </xf>
    <xf numFmtId="9" fontId="20" fillId="0" borderId="0" xfId="0" applyNumberFormat="1" applyFont="1" applyFill="1"/>
    <xf numFmtId="0" fontId="18" fillId="0" borderId="0" xfId="0" applyFont="1" applyFill="1"/>
    <xf numFmtId="9" fontId="4" fillId="78" borderId="0" xfId="0" applyNumberFormat="1" applyFont="1" applyFill="1"/>
    <xf numFmtId="0" fontId="23" fillId="0" borderId="0" xfId="0" applyFont="1" applyBorder="1"/>
    <xf numFmtId="3" fontId="0" fillId="0" borderId="0" xfId="0" applyNumberFormat="1" applyBorder="1"/>
    <xf numFmtId="0" fontId="1" fillId="0" borderId="0" xfId="0" applyFont="1"/>
    <xf numFmtId="3" fontId="9" fillId="0" borderId="92" xfId="0" applyNumberFormat="1" applyFont="1" applyBorder="1"/>
    <xf numFmtId="3" fontId="7" fillId="0" borderId="92" xfId="0" applyNumberFormat="1" applyFont="1" applyBorder="1"/>
    <xf numFmtId="0" fontId="2" fillId="0" borderId="92" xfId="0" applyFont="1" applyBorder="1" applyAlignment="1">
      <alignment horizontal="left"/>
    </xf>
    <xf numFmtId="3" fontId="26" fillId="0" borderId="92" xfId="0" applyNumberFormat="1" applyFont="1" applyBorder="1"/>
    <xf numFmtId="3" fontId="2" fillId="0" borderId="92" xfId="0" applyNumberFormat="1" applyFont="1" applyBorder="1"/>
    <xf numFmtId="174" fontId="2" fillId="0" borderId="92" xfId="0" applyNumberFormat="1" applyFont="1" applyBorder="1"/>
    <xf numFmtId="4" fontId="5" fillId="0" borderId="0" xfId="0" applyNumberFormat="1" applyFont="1" applyAlignment="1">
      <alignment horizontal="right"/>
    </xf>
    <xf numFmtId="3" fontId="7" fillId="0" borderId="0" xfId="0" applyNumberFormat="1" applyFont="1"/>
    <xf numFmtId="3" fontId="274" fillId="0" borderId="0" xfId="0" applyNumberFormat="1" applyFont="1"/>
    <xf numFmtId="0" fontId="0" fillId="0" borderId="0" xfId="0" applyFont="1" applyAlignment="1">
      <alignment horizontal="left" indent="2"/>
    </xf>
    <xf numFmtId="0" fontId="5" fillId="0" borderId="0" xfId="0" applyFont="1" applyFill="1"/>
    <xf numFmtId="0" fontId="17" fillId="0" borderId="0" xfId="0" applyFont="1" applyAlignment="1">
      <alignment horizontal="left" indent="3"/>
    </xf>
    <xf numFmtId="3" fontId="26" fillId="0" borderId="1" xfId="0" applyNumberFormat="1" applyFont="1" applyBorder="1"/>
    <xf numFmtId="0" fontId="17" fillId="0" borderId="0" xfId="0" applyFont="1" applyAlignment="1">
      <alignment horizontal="left" indent="4"/>
    </xf>
    <xf numFmtId="3" fontId="6" fillId="78" borderId="92" xfId="0" applyNumberFormat="1" applyFont="1" applyFill="1" applyBorder="1"/>
    <xf numFmtId="1" fontId="0" fillId="0" borderId="0" xfId="0" applyNumberFormat="1" applyFill="1" applyAlignment="1">
      <alignment horizontal="right"/>
    </xf>
    <xf numFmtId="0" fontId="276" fillId="0" borderId="0" xfId="0" applyFont="1" applyFill="1"/>
    <xf numFmtId="0" fontId="17" fillId="0" borderId="0" xfId="0" applyFont="1" applyFill="1" applyAlignment="1">
      <alignment horizontal="left" indent="1"/>
    </xf>
    <xf numFmtId="0" fontId="275" fillId="0" borderId="0" xfId="0" applyFont="1" applyFill="1"/>
    <xf numFmtId="3" fontId="275" fillId="0" borderId="0" xfId="0" applyNumberFormat="1" applyFont="1" applyFill="1"/>
    <xf numFmtId="9" fontId="4" fillId="0" borderId="0" xfId="0" applyNumberFormat="1" applyFont="1" applyFill="1"/>
    <xf numFmtId="0" fontId="17" fillId="0" borderId="0" xfId="0" applyFont="1" applyFill="1" applyAlignment="1">
      <alignment horizontal="left" indent="2"/>
    </xf>
    <xf numFmtId="9" fontId="17" fillId="0" borderId="0" xfId="0" applyNumberFormat="1" applyFont="1" applyFill="1" applyAlignment="1">
      <alignment horizontal="right"/>
    </xf>
    <xf numFmtId="0" fontId="24" fillId="0" borderId="0" xfId="0" applyFont="1" applyFill="1"/>
    <xf numFmtId="0" fontId="6" fillId="0" borderId="0" xfId="0" applyFont="1" applyFill="1"/>
    <xf numFmtId="3" fontId="7" fillId="0" borderId="0" xfId="0" applyNumberFormat="1" applyFont="1" applyFill="1"/>
    <xf numFmtId="0" fontId="25" fillId="0" borderId="0" xfId="0" applyFont="1" applyFill="1"/>
    <xf numFmtId="0" fontId="20" fillId="0" borderId="0" xfId="0" applyFont="1" applyFill="1"/>
    <xf numFmtId="3" fontId="20" fillId="0" borderId="0" xfId="0" applyNumberFormat="1" applyFont="1" applyFill="1"/>
    <xf numFmtId="9" fontId="274" fillId="0" borderId="0" xfId="0" applyNumberFormat="1" applyFont="1" applyFill="1" applyBorder="1"/>
    <xf numFmtId="9" fontId="278" fillId="0" borderId="0" xfId="0" applyNumberFormat="1" applyFont="1" applyFill="1" applyBorder="1"/>
    <xf numFmtId="0" fontId="0" fillId="0" borderId="92" xfId="0" applyBorder="1" applyAlignment="1">
      <alignment horizontal="left" indent="1"/>
    </xf>
    <xf numFmtId="3" fontId="0" fillId="0" borderId="92" xfId="0" applyNumberFormat="1" applyBorder="1"/>
    <xf numFmtId="10" fontId="17" fillId="0" borderId="0" xfId="0" applyNumberFormat="1" applyFont="1" applyAlignment="1">
      <alignment horizontal="right"/>
    </xf>
    <xf numFmtId="295" fontId="17" fillId="0" borderId="0" xfId="0" applyNumberFormat="1" applyFont="1" applyAlignment="1">
      <alignment horizontal="right"/>
    </xf>
    <xf numFmtId="295" fontId="275" fillId="0" borderId="0" xfId="0" applyNumberFormat="1" applyFont="1" applyAlignment="1">
      <alignment horizontal="right"/>
    </xf>
    <xf numFmtId="10" fontId="279" fillId="0" borderId="0" xfId="0" applyNumberFormat="1" applyFont="1" applyAlignment="1">
      <alignment horizontal="right"/>
    </xf>
    <xf numFmtId="174" fontId="7" fillId="0" borderId="0" xfId="0" applyNumberFormat="1" applyFont="1"/>
    <xf numFmtId="3" fontId="6" fillId="0" borderId="0" xfId="0" applyNumberFormat="1" applyFont="1"/>
    <xf numFmtId="0" fontId="2" fillId="0" borderId="0" xfId="0" applyFont="1" applyBorder="1" applyAlignment="1">
      <alignment horizontal="left"/>
    </xf>
    <xf numFmtId="296" fontId="0" fillId="0" borderId="0" xfId="0" applyNumberFormat="1"/>
    <xf numFmtId="297" fontId="0" fillId="0" borderId="0" xfId="0" applyNumberFormat="1"/>
    <xf numFmtId="0" fontId="2" fillId="0" borderId="0" xfId="0" applyFont="1" applyAlignment="1">
      <alignment horizontal="left" indent="1"/>
    </xf>
    <xf numFmtId="0" fontId="2" fillId="0" borderId="92" xfId="0" applyFont="1" applyBorder="1" applyAlignment="1">
      <alignment horizontal="left" indent="1"/>
    </xf>
    <xf numFmtId="165" fontId="0" fillId="0" borderId="0" xfId="0" applyNumberFormat="1"/>
    <xf numFmtId="165" fontId="6" fillId="0" borderId="0" xfId="0" applyNumberFormat="1" applyFont="1"/>
    <xf numFmtId="174" fontId="4" fillId="0" borderId="0" xfId="0" applyNumberFormat="1" applyFont="1" applyFill="1"/>
    <xf numFmtId="3" fontId="6" fillId="0" borderId="92" xfId="0" applyNumberFormat="1" applyFont="1" applyFill="1" applyBorder="1"/>
    <xf numFmtId="166" fontId="6" fillId="0" borderId="0" xfId="0" applyNumberFormat="1" applyFont="1"/>
    <xf numFmtId="3" fontId="4" fillId="0" borderId="92" xfId="0" applyNumberFormat="1" applyFont="1" applyFill="1" applyBorder="1"/>
    <xf numFmtId="3" fontId="7" fillId="0" borderId="0" xfId="0" applyNumberFormat="1" applyFont="1" applyFill="1" applyBorder="1"/>
    <xf numFmtId="10" fontId="2" fillId="0" borderId="92" xfId="0" applyNumberFormat="1" applyFont="1" applyBorder="1"/>
    <xf numFmtId="9" fontId="278" fillId="0" borderId="0" xfId="0" applyNumberFormat="1" applyFont="1"/>
    <xf numFmtId="4" fontId="26" fillId="0" borderId="0" xfId="0" applyNumberFormat="1" applyFont="1"/>
    <xf numFmtId="4" fontId="6" fillId="78" borderId="0" xfId="0" applyNumberFormat="1" applyFont="1" applyFill="1"/>
    <xf numFmtId="0" fontId="0" fillId="0" borderId="0" xfId="0" applyFill="1" applyBorder="1" applyAlignment="1">
      <alignment horizontal="left" indent="2"/>
    </xf>
    <xf numFmtId="0" fontId="0" fillId="0" borderId="0" xfId="0" applyFill="1" applyBorder="1" applyAlignment="1">
      <alignment horizontal="left" indent="1"/>
    </xf>
    <xf numFmtId="0" fontId="2" fillId="0" borderId="0" xfId="0" applyFont="1" applyFill="1" applyBorder="1"/>
    <xf numFmtId="0" fontId="17" fillId="0" borderId="0" xfId="0" applyFont="1" applyFill="1" applyBorder="1" applyAlignment="1">
      <alignment horizontal="left" indent="1"/>
    </xf>
    <xf numFmtId="0" fontId="17" fillId="0" borderId="0" xfId="0" applyFont="1" applyFill="1" applyBorder="1" applyAlignment="1">
      <alignment horizontal="left" indent="2"/>
    </xf>
    <xf numFmtId="0" fontId="2" fillId="0" borderId="0" xfId="0" applyFont="1" applyFill="1" applyBorder="1" applyAlignment="1">
      <alignment horizontal="left" indent="1"/>
    </xf>
    <xf numFmtId="0" fontId="17" fillId="0" borderId="0" xfId="0" applyFont="1" applyFill="1" applyBorder="1" applyAlignment="1">
      <alignment horizontal="left" indent="3"/>
    </xf>
    <xf numFmtId="0" fontId="2" fillId="6" borderId="0" xfId="0" applyFont="1" applyFill="1" applyBorder="1"/>
    <xf numFmtId="0" fontId="17" fillId="0" borderId="0" xfId="0" applyFont="1" applyBorder="1"/>
    <xf numFmtId="0" fontId="2" fillId="0" borderId="0" xfId="0" applyFont="1" applyBorder="1" applyAlignment="1">
      <alignment horizontal="left" indent="1"/>
    </xf>
    <xf numFmtId="0" fontId="0" fillId="0" borderId="0" xfId="0" applyBorder="1" applyAlignment="1">
      <alignment horizontal="left" indent="2"/>
    </xf>
    <xf numFmtId="3" fontId="2" fillId="0" borderId="0" xfId="0" applyNumberFormat="1" applyFont="1" applyFill="1"/>
    <xf numFmtId="4" fontId="277" fillId="0" borderId="0" xfId="0" applyNumberFormat="1" applyFont="1"/>
    <xf numFmtId="0" fontId="0" fillId="0" borderId="0" xfId="0" applyBorder="1" applyAlignment="1">
      <alignment horizontal="left" indent="1"/>
    </xf>
    <xf numFmtId="0" fontId="17" fillId="0" borderId="0" xfId="0" applyFont="1" applyBorder="1" applyAlignment="1">
      <alignment horizontal="left" indent="1"/>
    </xf>
    <xf numFmtId="3" fontId="4" fillId="0" borderId="0" xfId="0" applyNumberFormat="1" applyFont="1" applyFill="1" applyAlignment="1">
      <alignment horizontal="right"/>
    </xf>
    <xf numFmtId="3" fontId="7" fillId="0" borderId="92" xfId="0" applyNumberFormat="1" applyFont="1" applyFill="1" applyBorder="1"/>
    <xf numFmtId="9" fontId="278" fillId="0" borderId="0" xfId="0" applyNumberFormat="1" applyFont="1" applyFill="1"/>
    <xf numFmtId="9" fontId="275" fillId="0" borderId="0" xfId="0" applyNumberFormat="1" applyFont="1"/>
    <xf numFmtId="174" fontId="277" fillId="0" borderId="0" xfId="0" applyNumberFormat="1" applyFont="1"/>
    <xf numFmtId="9" fontId="20" fillId="0" borderId="0" xfId="0" applyNumberFormat="1" applyFont="1" applyAlignment="1">
      <alignment horizontal="right"/>
    </xf>
    <xf numFmtId="298" fontId="0" fillId="0" borderId="0" xfId="0" applyNumberFormat="1"/>
    <xf numFmtId="3" fontId="6" fillId="0" borderId="0" xfId="0" applyNumberFormat="1" applyFont="1" applyFill="1"/>
    <xf numFmtId="6" fontId="17" fillId="0" borderId="0" xfId="0" applyNumberFormat="1" applyFont="1" applyAlignment="1">
      <alignment horizontal="right"/>
    </xf>
    <xf numFmtId="0" fontId="0" fillId="0" borderId="0" xfId="0" applyFont="1" applyAlignment="1">
      <alignment horizontal="left" indent="1"/>
    </xf>
    <xf numFmtId="6" fontId="0" fillId="0" borderId="0" xfId="0" applyNumberFormat="1" applyFont="1" applyAlignment="1">
      <alignment horizontal="right"/>
    </xf>
    <xf numFmtId="2" fontId="0" fillId="0" borderId="0" xfId="0" applyNumberFormat="1" applyFill="1" applyAlignment="1">
      <alignment horizontal="right"/>
    </xf>
    <xf numFmtId="166" fontId="0" fillId="0" borderId="0" xfId="0" applyNumberFormat="1" applyFill="1" applyAlignment="1">
      <alignment horizontal="right"/>
    </xf>
    <xf numFmtId="9" fontId="4" fillId="0" borderId="0" xfId="0" applyNumberFormat="1" applyFont="1" applyFill="1" applyAlignment="1">
      <alignment horizontal="right"/>
    </xf>
    <xf numFmtId="166" fontId="0" fillId="0" borderId="0" xfId="0" applyNumberFormat="1" applyFont="1" applyAlignment="1">
      <alignment horizontal="right"/>
    </xf>
    <xf numFmtId="0" fontId="2" fillId="0" borderId="1" xfId="0" applyFont="1" applyBorder="1" applyAlignment="1">
      <alignment horizontal="left" indent="1"/>
    </xf>
    <xf numFmtId="0" fontId="0" fillId="0" borderId="0" xfId="0" applyAlignment="1">
      <alignment horizontal="left" indent="3"/>
    </xf>
    <xf numFmtId="10" fontId="2" fillId="0" borderId="0" xfId="0" applyNumberFormat="1" applyFont="1" applyAlignment="1">
      <alignment horizontal="right"/>
    </xf>
    <xf numFmtId="165" fontId="5" fillId="0" borderId="0" xfId="0" applyNumberFormat="1" applyFont="1" applyAlignment="1">
      <alignment horizontal="right"/>
    </xf>
    <xf numFmtId="3" fontId="26" fillId="0" borderId="0" xfId="0" applyNumberFormat="1" applyFont="1"/>
    <xf numFmtId="4" fontId="18" fillId="0" borderId="0" xfId="0" applyNumberFormat="1" applyFont="1"/>
    <xf numFmtId="2" fontId="5" fillId="0" borderId="0" xfId="0" applyNumberFormat="1" applyFont="1"/>
    <xf numFmtId="166" fontId="5" fillId="0" borderId="0" xfId="0" applyNumberFormat="1" applyFont="1"/>
    <xf numFmtId="168" fontId="0" fillId="0" borderId="0" xfId="0" applyNumberFormat="1"/>
    <xf numFmtId="0" fontId="2" fillId="0" borderId="93" xfId="0" applyFont="1" applyBorder="1" applyAlignment="1">
      <alignment horizontal="center"/>
    </xf>
    <xf numFmtId="165" fontId="5" fillId="0" borderId="0" xfId="0" applyNumberFormat="1" applyFont="1" applyAlignment="1">
      <alignment horizontal="center"/>
    </xf>
    <xf numFmtId="166" fontId="5" fillId="0" borderId="0" xfId="0" applyNumberFormat="1" applyFont="1" applyAlignment="1">
      <alignment horizontal="center"/>
    </xf>
    <xf numFmtId="3" fontId="0" fillId="0" borderId="0" xfId="0" applyNumberFormat="1" applyAlignment="1">
      <alignment horizontal="center"/>
    </xf>
    <xf numFmtId="170" fontId="0" fillId="0" borderId="0" xfId="0" applyNumberFormat="1" applyAlignment="1">
      <alignment horizontal="left"/>
    </xf>
    <xf numFmtId="0" fontId="2" fillId="0" borderId="0" xfId="0" applyFont="1" applyAlignment="1">
      <alignment horizontal="left" indent="2"/>
    </xf>
    <xf numFmtId="0" fontId="2" fillId="0" borderId="1" xfId="0" applyFont="1" applyBorder="1" applyAlignment="1">
      <alignment horizontal="left"/>
    </xf>
    <xf numFmtId="9" fontId="17" fillId="0" borderId="0" xfId="0" applyNumberFormat="1" applyFont="1"/>
    <xf numFmtId="0" fontId="2" fillId="0" borderId="1" xfId="0" applyFont="1" applyBorder="1" applyAlignment="1">
      <alignment horizontal="left" indent="2"/>
    </xf>
    <xf numFmtId="0" fontId="17" fillId="0" borderId="1" xfId="0" applyFont="1" applyBorder="1"/>
    <xf numFmtId="9" fontId="274" fillId="0" borderId="1" xfId="0" applyNumberFormat="1" applyFont="1" applyBorder="1"/>
    <xf numFmtId="0" fontId="24" fillId="0" borderId="0" xfId="0" applyFont="1" applyBorder="1"/>
    <xf numFmtId="166" fontId="17" fillId="0" borderId="0" xfId="0" applyNumberFormat="1" applyFont="1" applyBorder="1" applyAlignment="1">
      <alignment horizontal="right"/>
    </xf>
    <xf numFmtId="9" fontId="0" fillId="6" borderId="0" xfId="0" applyNumberFormat="1" applyFill="1"/>
    <xf numFmtId="174" fontId="5" fillId="0" borderId="0" xfId="0" applyNumberFormat="1" applyFont="1"/>
    <xf numFmtId="166" fontId="275" fillId="0" borderId="0" xfId="0" applyNumberFormat="1" applyFont="1"/>
    <xf numFmtId="0" fontId="7" fillId="0" borderId="0" xfId="0" applyFont="1" applyFill="1"/>
    <xf numFmtId="9" fontId="7" fillId="0" borderId="0" xfId="0" applyNumberFormat="1" applyFont="1" applyFill="1"/>
    <xf numFmtId="166" fontId="7" fillId="0" borderId="0" xfId="0" applyNumberFormat="1" applyFont="1" applyFill="1" applyBorder="1"/>
    <xf numFmtId="165" fontId="2" fillId="0" borderId="0" xfId="0" applyNumberFormat="1" applyFont="1" applyAlignment="1">
      <alignment horizontal="right"/>
    </xf>
    <xf numFmtId="4" fontId="4" fillId="0" borderId="0" xfId="0" applyNumberFormat="1" applyFont="1" applyAlignment="1">
      <alignment horizontal="right"/>
    </xf>
    <xf numFmtId="166" fontId="279" fillId="0" borderId="0" xfId="0" applyNumberFormat="1" applyFont="1" applyAlignment="1">
      <alignment horizontal="right"/>
    </xf>
    <xf numFmtId="166" fontId="274" fillId="0" borderId="0" xfId="0" applyNumberFormat="1" applyFont="1"/>
    <xf numFmtId="3" fontId="6" fillId="78" borderId="0" xfId="0" applyNumberFormat="1" applyFont="1" applyFill="1"/>
    <xf numFmtId="0" fontId="2" fillId="0" borderId="0" xfId="0" applyFont="1" applyFill="1" applyAlignment="1">
      <alignment horizontal="left" indent="1"/>
    </xf>
    <xf numFmtId="1" fontId="2" fillId="0" borderId="0" xfId="0" applyNumberFormat="1" applyFont="1" applyFill="1" applyAlignment="1">
      <alignment horizontal="right"/>
    </xf>
    <xf numFmtId="0" fontId="2" fillId="0" borderId="0" xfId="0" applyFont="1" applyFill="1" applyAlignment="1">
      <alignment horizontal="left"/>
    </xf>
  </cellXfs>
  <cellStyles count="4386">
    <cellStyle name="_x0004_" xfId="15" xr:uid="{00000000-0005-0000-0000-000000000000}"/>
    <cellStyle name="-" xfId="16" xr:uid="{00000000-0005-0000-0000-000001000000}"/>
    <cellStyle name=" 1" xfId="17" xr:uid="{00000000-0005-0000-0000-000002000000}"/>
    <cellStyle name=" Writer Import]_x000d__x000a_Display Dialog=No_x000d__x000a__x000d__x000a_[Horizontal Arrange]_x000d__x000a_Dimensions Interlocking=Yes_x000d__x000a_Sum Hierarchy=Yes_x000d__x000a_Generate" xfId="18" xr:uid="{00000000-0005-0000-0000-000003000000}"/>
    <cellStyle name="_x000d__x000a_JournalTemplate=C:\COMFO\CTALK\JOURSTD.TPL_x000d__x000a_LbStateAddress=3 3 0 251 1 89 2 311_x000d__x000a_LbStateJou" xfId="19" xr:uid="{00000000-0005-0000-0000-000004000000}"/>
    <cellStyle name="# ###" xfId="20" xr:uid="{00000000-0005-0000-0000-000005000000}"/>
    <cellStyle name="$" xfId="21" xr:uid="{00000000-0005-0000-0000-000006000000}"/>
    <cellStyle name="$K" xfId="22" xr:uid="{00000000-0005-0000-0000-000007000000}"/>
    <cellStyle name="%" xfId="23" xr:uid="{00000000-0005-0000-0000-000008000000}"/>
    <cellStyle name="% 2" xfId="24" xr:uid="{00000000-0005-0000-0000-000009000000}"/>
    <cellStyle name="******************************************" xfId="25" xr:uid="{00000000-0005-0000-0000-00000A000000}"/>
    <cellStyle name="??" xfId="26" xr:uid="{00000000-0005-0000-0000-00000B000000}"/>
    <cellStyle name="?? [0]_??" xfId="27" xr:uid="{00000000-0005-0000-0000-00000C000000}"/>
    <cellStyle name="???[0]_~ME0858" xfId="28" xr:uid="{00000000-0005-0000-0000-00000D000000}"/>
    <cellStyle name="???_~ME0858" xfId="29" xr:uid="{00000000-0005-0000-0000-00000E000000}"/>
    <cellStyle name="??[0]_laroux" xfId="30" xr:uid="{00000000-0005-0000-0000-00000F000000}"/>
    <cellStyle name="??_?.????" xfId="31" xr:uid="{00000000-0005-0000-0000-000010000000}"/>
    <cellStyle name="\" xfId="32" xr:uid="{00000000-0005-0000-0000-000011000000}"/>
    <cellStyle name="_%(SignOnly)" xfId="33" xr:uid="{00000000-0005-0000-0000-000012000000}"/>
    <cellStyle name="_%(SignOnly)_BLS2q_salesforce" xfId="34" xr:uid="{00000000-0005-0000-0000-000013000000}"/>
    <cellStyle name="_%(SignSpaceOnly)" xfId="35" xr:uid="{00000000-0005-0000-0000-000014000000}"/>
    <cellStyle name="_%(SignSpaceOnly)_BLS2q_salesforce" xfId="36" xr:uid="{00000000-0005-0000-0000-000015000000}"/>
    <cellStyle name="_600-7R093-0000-C00 RevH Costed BOM 20060928" xfId="37" xr:uid="{00000000-0005-0000-0000-000016000000}"/>
    <cellStyle name="_600-7R162-0000-A00 Costed BOM 20070212" xfId="38" xr:uid="{00000000-0005-0000-0000-000017000000}"/>
    <cellStyle name="_960-10093-1900-001 EVGA RevC" xfId="39" xr:uid="{00000000-0005-0000-0000-000018000000}"/>
    <cellStyle name="_960-10093-1900-001 EVGA RevC20061024" xfId="40" xr:uid="{00000000-0005-0000-0000-000019000000}"/>
    <cellStyle name="_Airquote - DELL chasis (FP)" xfId="41" xr:uid="{00000000-0005-0000-0000-00001A000000}"/>
    <cellStyle name="_Airquote - DELL chasis (FP)_Lenovo PACK  Packing Proposal" xfId="42" xr:uid="{00000000-0005-0000-0000-00001B000000}"/>
    <cellStyle name="_Airquote - DELL chasis (FP)_Lenovo Park Format_July 07 05" xfId="43" xr:uid="{00000000-0005-0000-0000-00001C000000}"/>
    <cellStyle name="_Airquote - DELL chasis (FP)_Lenovo Park Format_July 07 05V2" xfId="44" xr:uid="{00000000-0005-0000-0000-00001D000000}"/>
    <cellStyle name="_Alienware CBOM_PPV by SCM Update 070314" xfId="45" xr:uid="{00000000-0005-0000-0000-00001E000000}"/>
    <cellStyle name="_Alienware SDSS#1175 CBOM - 1214" xfId="46" xr:uid="{00000000-0005-0000-0000-00001F000000}"/>
    <cellStyle name="_Balance Sheet July 9 IFRS Sept 18" xfId="47" xr:uid="{00000000-0005-0000-0000-000020000000}"/>
    <cellStyle name="_Balvenie Package shipment info.2" xfId="48" xr:uid="{00000000-0005-0000-0000-000021000000}"/>
    <cellStyle name="_Balvenie Package shipment info.2_Lenovo PACK  Packing Proposal" xfId="49" xr:uid="{00000000-0005-0000-0000-000022000000}"/>
    <cellStyle name="_Balvenie Package shipment info.2_Lenovo Park Format_July 07 05" xfId="50" xr:uid="{00000000-0005-0000-0000-000023000000}"/>
    <cellStyle name="_Balvenie Package shipment info.2_Lenovo Park Format_July 07 05V2" xfId="51" xr:uid="{00000000-0005-0000-0000-000024000000}"/>
    <cellStyle name="_BOM update - Supplier List (Purchase) 111102" xfId="52" xr:uid="{00000000-0005-0000-0000-000025000000}"/>
    <cellStyle name="_BOM update - Supplier List (Purchase) 111102_Lenovo PACK  Packing Proposal" xfId="53" xr:uid="{00000000-0005-0000-0000-000026000000}"/>
    <cellStyle name="_BOM update - Supplier List (Purchase) 111102_Lenovo Park Format_July 07 05" xfId="54" xr:uid="{00000000-0005-0000-0000-000027000000}"/>
    <cellStyle name="_BOM update - Supplier List (Purchase) 111102_Lenovo Park Format_July 07 05V2" xfId="55" xr:uid="{00000000-0005-0000-0000-000028000000}"/>
    <cellStyle name="_bom updated on 2002-11-10" xfId="56" xr:uid="{00000000-0005-0000-0000-000029000000}"/>
    <cellStyle name="_bom updated on 2002-11-10_Lenovo PACK  Packing Proposal" xfId="57" xr:uid="{00000000-0005-0000-0000-00002A000000}"/>
    <cellStyle name="_bom updated on 2002-11-10_Lenovo Park Format_July 07 05" xfId="58" xr:uid="{00000000-0005-0000-0000-00002B000000}"/>
    <cellStyle name="_bom updated on 2002-11-10_Lenovo Park Format_July 07 05V2" xfId="59" xr:uid="{00000000-0005-0000-0000-00002C000000}"/>
    <cellStyle name="_bom updated on 2002-11-10-1" xfId="60" xr:uid="{00000000-0005-0000-0000-00002D000000}"/>
    <cellStyle name="_bom updated on 2002-11-10-1_Lenovo PACK  Packing Proposal" xfId="61" xr:uid="{00000000-0005-0000-0000-00002E000000}"/>
    <cellStyle name="_bom updated on 2002-11-10-1_Lenovo Park Format_July 07 05" xfId="62" xr:uid="{00000000-0005-0000-0000-00002F000000}"/>
    <cellStyle name="_bom updated on 2002-11-10-1_Lenovo Park Format_July 07 05V2" xfId="63" xr:uid="{00000000-0005-0000-0000-000030000000}"/>
    <cellStyle name="_Budgetary Quote for VOIP Telephones" xfId="64" xr:uid="{00000000-0005-0000-0000-000031000000}"/>
    <cellStyle name="_Budgetary Quote for VOIP Telephones_Lenovo PACK  Packing Proposal" xfId="65" xr:uid="{00000000-0005-0000-0000-000032000000}"/>
    <cellStyle name="_Budgetary Quote for VOIP Telephones_Lenovo Park Format_July 07 05" xfId="66" xr:uid="{00000000-0005-0000-0000-000033000000}"/>
    <cellStyle name="_Budgetary Quote for VOIP Telephones_Lenovo Park Format_July 07 05V2" xfId="67" xr:uid="{00000000-0005-0000-0000-000034000000}"/>
    <cellStyle name="_Comma" xfId="68" xr:uid="{00000000-0005-0000-0000-000035000000}"/>
    <cellStyle name="_Comma_03 Contribution Analysis" xfId="69" xr:uid="{00000000-0005-0000-0000-000036000000}"/>
    <cellStyle name="_Comma_BLS2q_salesforce" xfId="70" xr:uid="{00000000-0005-0000-0000-000037000000}"/>
    <cellStyle name="_Comma_Contribution of assets into USAi_02" xfId="71" xr:uid="{00000000-0005-0000-0000-000038000000}"/>
    <cellStyle name="_Comma_credit - newco_6_18" xfId="72" xr:uid="{00000000-0005-0000-0000-000039000000}"/>
    <cellStyle name="_Comma_CSC Cable makers 060502" xfId="73" xr:uid="{00000000-0005-0000-0000-00003A000000}"/>
    <cellStyle name="_Comma_Final Pages 8-20" xfId="74" xr:uid="{00000000-0005-0000-0000-00003B000000}"/>
    <cellStyle name="_Comma_Final Pages 8-20_BLS2q_salesforce" xfId="75" xr:uid="{00000000-0005-0000-0000-00003C000000}"/>
    <cellStyle name="_Comma_further analysis on comparables" xfId="76" xr:uid="{00000000-0005-0000-0000-00003D000000}"/>
    <cellStyle name="_Comma_further analysis on comparables_BLS2q_salesforce" xfId="77" xr:uid="{00000000-0005-0000-0000-00003E000000}"/>
    <cellStyle name="_Comma_NBC-5 yearDCF-Final from Vivendi modified" xfId="78" xr:uid="{00000000-0005-0000-0000-00003F000000}"/>
    <cellStyle name="_Comma_Training Model Shell" xfId="79" xr:uid="{00000000-0005-0000-0000-000040000000}"/>
    <cellStyle name="_Comma_Update 08-27-01-3" xfId="80" xr:uid="{00000000-0005-0000-0000-000041000000}"/>
    <cellStyle name="_Copy of Exhibit A QUOTE FORMAT_Rev1-0525_Jason-1 (Cost)" xfId="81" xr:uid="{00000000-0005-0000-0000-000042000000}"/>
    <cellStyle name="_cost analysis" xfId="82" xr:uid="{00000000-0005-0000-0000-000043000000}"/>
    <cellStyle name="_Cost analysis template" xfId="83" xr:uid="{00000000-0005-0000-0000-000044000000}"/>
    <cellStyle name="_Cost analysis template_Lenovo PACK  Packing Proposal" xfId="84" xr:uid="{00000000-0005-0000-0000-000045000000}"/>
    <cellStyle name="_Cost analysis template_Lenovo Park Format_July 07 05" xfId="85" xr:uid="{00000000-0005-0000-0000-000046000000}"/>
    <cellStyle name="_Cost analysis template_Lenovo Park Format_July 07 05V2" xfId="86" xr:uid="{00000000-0005-0000-0000-000047000000}"/>
    <cellStyle name="_Cost Analysis Template-1" xfId="87" xr:uid="{00000000-0005-0000-0000-000048000000}"/>
    <cellStyle name="_Cost Analysis Template-1_Lenovo PACK  Packing Proposal" xfId="88" xr:uid="{00000000-0005-0000-0000-000049000000}"/>
    <cellStyle name="_Cost Analysis Template-1_Lenovo Park Format_July 07 05" xfId="89" xr:uid="{00000000-0005-0000-0000-00004A000000}"/>
    <cellStyle name="_Cost Analysis Template-1_Lenovo Park Format_July 07 05V2" xfId="90" xr:uid="{00000000-0005-0000-0000-00004B000000}"/>
    <cellStyle name="_Cost BOM" xfId="91" xr:uid="{00000000-0005-0000-0000-00004C000000}"/>
    <cellStyle name="_Currency" xfId="92" xr:uid="{00000000-0005-0000-0000-00004D000000}"/>
    <cellStyle name="_Currency_03 Contribution Analysis" xfId="93" xr:uid="{00000000-0005-0000-0000-00004E000000}"/>
    <cellStyle name="_Currency_08 FB &amp; Milan IS" xfId="94" xr:uid="{00000000-0005-0000-0000-00004F000000}"/>
    <cellStyle name="_Currency_Basic LBO v06" xfId="95" xr:uid="{00000000-0005-0000-0000-000050000000}"/>
    <cellStyle name="_Currency_BLS2q_salesforce" xfId="96" xr:uid="{00000000-0005-0000-0000-000051000000}"/>
    <cellStyle name="_Currency_Contribution of assets into USAi_02" xfId="97" xr:uid="{00000000-0005-0000-0000-000052000000}"/>
    <cellStyle name="_Currency_credit - newco_6_18" xfId="98" xr:uid="{00000000-0005-0000-0000-000053000000}"/>
    <cellStyle name="_Currency_credit - newco_6_18_BLS2q_salesforce" xfId="99" xr:uid="{00000000-0005-0000-0000-000054000000}"/>
    <cellStyle name="_Currency_CSC Cable makers 060502" xfId="100" xr:uid="{00000000-0005-0000-0000-000055000000}"/>
    <cellStyle name="_Currency_Final Pages 8-20" xfId="101" xr:uid="{00000000-0005-0000-0000-000056000000}"/>
    <cellStyle name="_Currency_Final Pages 8-20_BLS2q_salesforce" xfId="102" xr:uid="{00000000-0005-0000-0000-000057000000}"/>
    <cellStyle name="_Currency_further analysis on comparables" xfId="103" xr:uid="{00000000-0005-0000-0000-000058000000}"/>
    <cellStyle name="_Currency_further analysis on comparables_BLS2q_salesforce" xfId="104" xr:uid="{00000000-0005-0000-0000-000059000000}"/>
    <cellStyle name="_Currency_merger_plans (Jason Cho) - solution" xfId="105" xr:uid="{00000000-0005-0000-0000-00005A000000}"/>
    <cellStyle name="_Currency_MVL 2005-2007 IS v04" xfId="106" xr:uid="{00000000-0005-0000-0000-00005B000000}"/>
    <cellStyle name="_Currency_NBC-5 yearDCF-Final from Vivendi modified" xfId="107" xr:uid="{00000000-0005-0000-0000-00005C000000}"/>
    <cellStyle name="_Currency_Oakley Model v13" xfId="108" xr:uid="{00000000-0005-0000-0000-00005D000000}"/>
    <cellStyle name="_Currency_Pirelli Valo" xfId="109" xr:uid="{00000000-0005-0000-0000-00005E000000}"/>
    <cellStyle name="_Currency_Preliminary Model 30 06 00" xfId="110" xr:uid="{00000000-0005-0000-0000-00005F000000}"/>
    <cellStyle name="_Currency_TK - Training Model" xfId="111" xr:uid="{00000000-0005-0000-0000-000060000000}"/>
    <cellStyle name="_Currency_Training Model Shell" xfId="112" xr:uid="{00000000-0005-0000-0000-000061000000}"/>
    <cellStyle name="_Currency_Training Model Shell_BLS2q_salesforce" xfId="113" xr:uid="{00000000-0005-0000-0000-000062000000}"/>
    <cellStyle name="_Currency_Update 08-27-01-3" xfId="114" xr:uid="{00000000-0005-0000-0000-000063000000}"/>
    <cellStyle name="_Currency_Update 08-27-01-3_BLS2q_salesforce" xfId="115" xr:uid="{00000000-0005-0000-0000-000064000000}"/>
    <cellStyle name="_Currency_Vison Ease v09" xfId="116" xr:uid="{00000000-0005-0000-0000-000065000000}"/>
    <cellStyle name="_Currency_Warrants Valuation Model" xfId="117" xr:uid="{00000000-0005-0000-0000-000066000000}"/>
    <cellStyle name="_CurrencySpace" xfId="118" xr:uid="{00000000-0005-0000-0000-000067000000}"/>
    <cellStyle name="_CurrencySpace_03 Contribution Analysis" xfId="119" xr:uid="{00000000-0005-0000-0000-000068000000}"/>
    <cellStyle name="_CurrencySpace_08 FB &amp; Milan IS" xfId="120" xr:uid="{00000000-0005-0000-0000-000069000000}"/>
    <cellStyle name="_CurrencySpace_BLS2q_salesforce" xfId="121" xr:uid="{00000000-0005-0000-0000-00006A000000}"/>
    <cellStyle name="_CurrencySpace_Contribution of assets into USAi_02" xfId="122" xr:uid="{00000000-0005-0000-0000-00006B000000}"/>
    <cellStyle name="_CurrencySpace_credit - newco_6_18" xfId="123" xr:uid="{00000000-0005-0000-0000-00006C000000}"/>
    <cellStyle name="_CurrencySpace_CSC Cable makers 060502" xfId="124" xr:uid="{00000000-0005-0000-0000-00006D000000}"/>
    <cellStyle name="_CurrencySpace_Final Pages 8-20" xfId="125" xr:uid="{00000000-0005-0000-0000-00006E000000}"/>
    <cellStyle name="_CurrencySpace_Final Pages 8-20_BLS2q_salesforce" xfId="126" xr:uid="{00000000-0005-0000-0000-00006F000000}"/>
    <cellStyle name="_CurrencySpace_further analysis on comparables" xfId="127" xr:uid="{00000000-0005-0000-0000-000070000000}"/>
    <cellStyle name="_CurrencySpace_further analysis on comparables_BLS2q_salesforce" xfId="128" xr:uid="{00000000-0005-0000-0000-000071000000}"/>
    <cellStyle name="_CurrencySpace_NBC-5 yearDCF-Final from Vivendi modified" xfId="129" xr:uid="{00000000-0005-0000-0000-000072000000}"/>
    <cellStyle name="_CurrencySpace_NEP Model v20" xfId="130" xr:uid="{00000000-0005-0000-0000-000073000000}"/>
    <cellStyle name="_CurrencySpace_Oakley Model v13" xfId="131" xr:uid="{00000000-0005-0000-0000-000074000000}"/>
    <cellStyle name="_CurrencySpace_TK - Training Model" xfId="132" xr:uid="{00000000-0005-0000-0000-000075000000}"/>
    <cellStyle name="_CurrencySpace_Training Model Shell" xfId="133" xr:uid="{00000000-0005-0000-0000-000076000000}"/>
    <cellStyle name="_CurrencySpace_Update 08-27-01-3" xfId="134" xr:uid="{00000000-0005-0000-0000-000077000000}"/>
    <cellStyle name="_CurrencySpace_Vison Ease v09" xfId="135" xr:uid="{00000000-0005-0000-0000-000078000000}"/>
    <cellStyle name="_DDU AFR (DM-Miami,USA) --Douglas 070315" xfId="136" xr:uid="{00000000-0005-0000-0000-000079000000}"/>
    <cellStyle name="_DDU SHA by LCL ocean&amp;air -- Tina Zang061227FYI" xfId="137" xr:uid="{00000000-0005-0000-0000-00007A000000}"/>
    <cellStyle name="_DELL Field Returns Inventory 01Mar04'2" xfId="138" xr:uid="{00000000-0005-0000-0000-00007B000000}"/>
    <cellStyle name="_DELL Field Returns Inventory 01Mar04'2_Lenovo PACK  Packing Proposal" xfId="139" xr:uid="{00000000-0005-0000-0000-00007C000000}"/>
    <cellStyle name="_DELL Field Returns Inventory 01Mar04'2_Lenovo Park Format_July 07 05" xfId="140" xr:uid="{00000000-0005-0000-0000-00007D000000}"/>
    <cellStyle name="_DELL Field Returns Inventory 01Mar04'2_Lenovo Park Format_July 07 05V2" xfId="141" xr:uid="{00000000-0005-0000-0000-00007E000000}"/>
    <cellStyle name="_Dell Fields Return Cost Estimaton - 20040308" xfId="142" xr:uid="{00000000-0005-0000-0000-00007F000000}"/>
    <cellStyle name="_Dell Fields Return Cost Estimaton - 20040308_Lenovo PACK  Packing Proposal" xfId="143" xr:uid="{00000000-0005-0000-0000-000080000000}"/>
    <cellStyle name="_Dell Fields Return Cost Estimaton - 20040308_Lenovo Park Format_July 07 05" xfId="144" xr:uid="{00000000-0005-0000-0000-000081000000}"/>
    <cellStyle name="_Dell Fields Return Cost Estimaton - 20040308_Lenovo Park Format_July 07 05V2" xfId="145" xr:uid="{00000000-0005-0000-0000-000082000000}"/>
    <cellStyle name="_Dell Kookaburra L10 Costing_Rev01 (Nov 23,2007)" xfId="146" xr:uid="{00000000-0005-0000-0000-000083000000}"/>
    <cellStyle name="_Dell MB APCC EMF Bax (Nov 25)" xfId="147" xr:uid="{00000000-0005-0000-0000-000084000000}"/>
    <cellStyle name="_Dell MB APCC EMF Bax (Nov 25)_Lenovo PACK  Packing Proposal" xfId="148" xr:uid="{00000000-0005-0000-0000-000085000000}"/>
    <cellStyle name="_Dell MB APCC EMF Bax (Nov 25)_Lenovo Park Format_July 07 05" xfId="149" xr:uid="{00000000-0005-0000-0000-000086000000}"/>
    <cellStyle name="_Dell MB APCC EMF Bax (Nov 25)_Lenovo Park Format_July 07 05V2" xfId="150" xr:uid="{00000000-0005-0000-0000-000087000000}"/>
    <cellStyle name="_Dell MB to AMF Frt Pricing - 20040309" xfId="151" xr:uid="{00000000-0005-0000-0000-000088000000}"/>
    <cellStyle name="_Dell MB to AMF Frt Pricing - 20040309_Lenovo PACK  Packing Proposal" xfId="152" xr:uid="{00000000-0005-0000-0000-000089000000}"/>
    <cellStyle name="_Dell MB to AMF Frt Pricing - 20040309_Lenovo Park Format_July 07 05" xfId="153" xr:uid="{00000000-0005-0000-0000-00008A000000}"/>
    <cellStyle name="_Dell MB to AMF Frt Pricing - 20040309_Lenovo Park Format_July 07 05V2" xfId="154" xr:uid="{00000000-0005-0000-0000-00008B000000}"/>
    <cellStyle name="_Dell MB to AMF Pricing - 20040308" xfId="155" xr:uid="{00000000-0005-0000-0000-00008C000000}"/>
    <cellStyle name="_Dell MB to AMF Pricing - 20040308_Lenovo PACK  Packing Proposal" xfId="156" xr:uid="{00000000-0005-0000-0000-00008D000000}"/>
    <cellStyle name="_Dell MB to AMF Pricing - 20040308_Lenovo Park Format_July 07 05" xfId="157" xr:uid="{00000000-0005-0000-0000-00008E000000}"/>
    <cellStyle name="_Dell MB to AMF Pricing - 20040308_Lenovo Park Format_July 07 05V2" xfId="158" xr:uid="{00000000-0005-0000-0000-00008F000000}"/>
    <cellStyle name="_Dell Sneetch EE BOM COST0406-from GP-summary-revised" xfId="159" xr:uid="{00000000-0005-0000-0000-000090000000}"/>
    <cellStyle name="_EMC Koto DDP Durham - 20040707" xfId="160" xr:uid="{00000000-0005-0000-0000-000091000000}"/>
    <cellStyle name="_EMC Koto DDP Durham - 20040707_Lenovo PACK  Packing Proposal" xfId="161" xr:uid="{00000000-0005-0000-0000-000092000000}"/>
    <cellStyle name="_EMC Koto DDP Durham - 20040707_Lenovo Park Format_July 07 05" xfId="162" xr:uid="{00000000-0005-0000-0000-000093000000}"/>
    <cellStyle name="_EMC Koto DDP Durham - 20040707_Lenovo Park Format_July 07 05V2" xfId="163" xr:uid="{00000000-0005-0000-0000-000094000000}"/>
    <cellStyle name="_Euro" xfId="164" xr:uid="{00000000-0005-0000-0000-000095000000}"/>
    <cellStyle name="_Euro_BLS2q_salesforce" xfId="165" xr:uid="{00000000-0005-0000-0000-000096000000}"/>
    <cellStyle name="_freight  hub cost-7-281" xfId="166" xr:uid="{00000000-0005-0000-0000-000097000000}"/>
    <cellStyle name="_freight  hub cost-7-281_Lenovo PACK  Packing Proposal" xfId="167" xr:uid="{00000000-0005-0000-0000-000098000000}"/>
    <cellStyle name="_freight  hub cost-7-281_Lenovo Park Format_July 07 05" xfId="168" xr:uid="{00000000-0005-0000-0000-000099000000}"/>
    <cellStyle name="_freight  hub cost-7-281_Lenovo Park Format_July 07 05V2" xfId="169" xr:uid="{00000000-0005-0000-0000-00009A000000}"/>
    <cellStyle name="_freight cost-7-12" xfId="170" xr:uid="{00000000-0005-0000-0000-00009B000000}"/>
    <cellStyle name="_freight cost-7-12_Lenovo PACK  Packing Proposal" xfId="171" xr:uid="{00000000-0005-0000-0000-00009C000000}"/>
    <cellStyle name="_freight cost-7-12_Lenovo Park Format_July 07 05" xfId="172" xr:uid="{00000000-0005-0000-0000-00009D000000}"/>
    <cellStyle name="_freight cost-7-12_Lenovo Park Format_July 07 05V2" xfId="173" xr:uid="{00000000-0005-0000-0000-00009E000000}"/>
    <cellStyle name="_GH4 360 Cost BOM-Apr-23-2008" xfId="174" xr:uid="{00000000-0005-0000-0000-00009F000000}"/>
    <cellStyle name="_HDD Quote Doumen Summary v2_0703013-billy add packing size" xfId="175" xr:uid="{00000000-0005-0000-0000-0000A0000000}"/>
    <cellStyle name="_Heading" xfId="176" xr:uid="{00000000-0005-0000-0000-0000A1000000}"/>
    <cellStyle name="_Heading_01 VU Liquidity 171202" xfId="177" xr:uid="{00000000-0005-0000-0000-0000A2000000}"/>
    <cellStyle name="_Heading_18 Management Projections" xfId="178" xr:uid="{00000000-0005-0000-0000-0000A3000000}"/>
    <cellStyle name="_Heading_20080616_Ownership Structure Walk-Up" xfId="179" xr:uid="{00000000-0005-0000-0000-0000A4000000}"/>
    <cellStyle name="_Heading_210302 VU Liquidity new figures" xfId="180" xr:uid="{00000000-0005-0000-0000-0000A5000000}"/>
    <cellStyle name="_Heading_prestemp" xfId="181" xr:uid="{00000000-0005-0000-0000-0000A6000000}"/>
    <cellStyle name="_Heading_Tribune Consolidated Model v578" xfId="182" xr:uid="{00000000-0005-0000-0000-0000A7000000}"/>
    <cellStyle name="_Headline" xfId="183" xr:uid="{00000000-0005-0000-0000-0000A8000000}"/>
    <cellStyle name="_Highlight" xfId="184" xr:uid="{00000000-0005-0000-0000-0000A9000000}"/>
    <cellStyle name="_Highlight 10" xfId="185" xr:uid="{00000000-0005-0000-0000-0000AA000000}"/>
    <cellStyle name="_Highlight 11" xfId="186" xr:uid="{00000000-0005-0000-0000-0000AB000000}"/>
    <cellStyle name="_Highlight 12" xfId="187" xr:uid="{00000000-0005-0000-0000-0000AC000000}"/>
    <cellStyle name="_Highlight 2" xfId="188" xr:uid="{00000000-0005-0000-0000-0000AD000000}"/>
    <cellStyle name="_Highlight 3" xfId="189" xr:uid="{00000000-0005-0000-0000-0000AE000000}"/>
    <cellStyle name="_Highlight 4" xfId="190" xr:uid="{00000000-0005-0000-0000-0000AF000000}"/>
    <cellStyle name="_Highlight 5" xfId="191" xr:uid="{00000000-0005-0000-0000-0000B0000000}"/>
    <cellStyle name="_Highlight 6" xfId="192" xr:uid="{00000000-0005-0000-0000-0000B1000000}"/>
    <cellStyle name="_Highlight 7" xfId="193" xr:uid="{00000000-0005-0000-0000-0000B2000000}"/>
    <cellStyle name="_Highlight 8" xfId="194" xr:uid="{00000000-0005-0000-0000-0000B3000000}"/>
    <cellStyle name="_Highlight 9" xfId="195" xr:uid="{00000000-0005-0000-0000-0000B4000000}"/>
    <cellStyle name="_HJF-6C0066" xfId="196" xr:uid="{00000000-0005-0000-0000-0000B5000000}"/>
    <cellStyle name="_HP bPC OFR (050912)" xfId="197" xr:uid="{00000000-0005-0000-0000-0000B6000000}"/>
    <cellStyle name="_Hub and Truck and  Ocean rate to Shanghai (Dazhong hub) 060920 revised- to Steven" xfId="198" xr:uid="{00000000-0005-0000-0000-0000B7000000}"/>
    <cellStyle name="_IBM ex DM (ORF_TFR)040719" xfId="199" xr:uid="{00000000-0005-0000-0000-0000B8000000}"/>
    <cellStyle name="_IBM ex DM (ORF_TFR)040719_Lenovo PACK  Packing Proposal" xfId="200" xr:uid="{00000000-0005-0000-0000-0000B9000000}"/>
    <cellStyle name="_IBM ex DM (ORF_TFR)040719_Lenovo Park Format_July 07 05" xfId="201" xr:uid="{00000000-0005-0000-0000-0000BA000000}"/>
    <cellStyle name="_IBM ex DM (ORF_TFR)040719_Lenovo Park Format_July 07 05V2" xfId="202" xr:uid="{00000000-0005-0000-0000-0000BB000000}"/>
    <cellStyle name="_IBM ex DM (ORF_TFR)040818" xfId="203" xr:uid="{00000000-0005-0000-0000-0000BC000000}"/>
    <cellStyle name="_IBM ex DM (ORF_TFR)040818_Lenovo PACK  Packing Proposal" xfId="204" xr:uid="{00000000-0005-0000-0000-0000BD000000}"/>
    <cellStyle name="_IBM ex DM (ORF_TFR)040818_Lenovo Park Format_July 07 05" xfId="205" xr:uid="{00000000-0005-0000-0000-0000BE000000}"/>
    <cellStyle name="_IBM ex DM (ORF_TFR)040818_Lenovo Park Format_July 07 05V2" xfId="206" xr:uid="{00000000-0005-0000-0000-0000BF000000}"/>
    <cellStyle name="_IBM Ocean Freight quoting - 20040714" xfId="207" xr:uid="{00000000-0005-0000-0000-0000C0000000}"/>
    <cellStyle name="_IBM Ocean Freight quoting - 20040714_Lenovo PACK  Packing Proposal" xfId="208" xr:uid="{00000000-0005-0000-0000-0000C1000000}"/>
    <cellStyle name="_IBM Ocean Freight quoting - 20040714_Lenovo Park Format_July 07 05" xfId="209" xr:uid="{00000000-0005-0000-0000-0000C2000000}"/>
    <cellStyle name="_IBM Ocean Freight quoting - 20040714_Lenovo Park Format_July 07 05V2" xfId="210" xr:uid="{00000000-0005-0000-0000-0000C3000000}"/>
    <cellStyle name="_IBM Ocean Freight quoting - 20040719" xfId="211" xr:uid="{00000000-0005-0000-0000-0000C4000000}"/>
    <cellStyle name="_IBM Ocean Freight quoting - 20040719_Lenovo PACK  Packing Proposal" xfId="212" xr:uid="{00000000-0005-0000-0000-0000C5000000}"/>
    <cellStyle name="_IBM Ocean Freight quoting - 20040719_Lenovo Park Format_July 07 05" xfId="213" xr:uid="{00000000-0005-0000-0000-0000C6000000}"/>
    <cellStyle name="_IBM Ocean Freight quoting - 20040719_Lenovo Park Format_July 07 05V2" xfId="214" xr:uid="{00000000-0005-0000-0000-0000C7000000}"/>
    <cellStyle name="_IBM Ocean Freight quoting - 20040728-40'HC" xfId="215" xr:uid="{00000000-0005-0000-0000-0000C8000000}"/>
    <cellStyle name="_IBM Ocean Freight quoting - 20040728-40'HC_Lenovo PACK  Packing Proposal" xfId="216" xr:uid="{00000000-0005-0000-0000-0000C9000000}"/>
    <cellStyle name="_IBM Ocean Freight quoting - 20040728-40'HC_Lenovo Park Format_July 07 05" xfId="217" xr:uid="{00000000-0005-0000-0000-0000CA000000}"/>
    <cellStyle name="_IBM Ocean Freight quoting - 20040728-40'HC_Lenovo Park Format_July 07 05V2" xfId="218" xr:uid="{00000000-0005-0000-0000-0000CB000000}"/>
    <cellStyle name="_IE Model -- Connector Male WS (3.25.2008)" xfId="219" xr:uid="{00000000-0005-0000-0000-0000CC000000}"/>
    <cellStyle name="_IE Model -- -Control-V1 WS(5.8.2008)" xfId="220" xr:uid="{00000000-0005-0000-0000-0000CD000000}"/>
    <cellStyle name="_IE Model - Dell Sneeth MB 550K for 8Q (2508 components)" xfId="221" xr:uid="{00000000-0005-0000-0000-0000CE000000}"/>
    <cellStyle name="_IE Model -- D-Pad PCBA (3.25.2008)" xfId="222" xr:uid="{00000000-0005-0000-0000-0000CF000000}"/>
    <cellStyle name="_IE Model -- GH4 BoxBuild (Mar.25.2008)" xfId="223" xr:uid="{00000000-0005-0000-0000-0000D0000000}"/>
    <cellStyle name="_IE Model -- MB PCBA (3.25.2008)" xfId="224" xr:uid="{00000000-0005-0000-0000-0000D1000000}"/>
    <cellStyle name="_IE Model -- MB SMT(5.8.2008)" xfId="225" xr:uid="{00000000-0005-0000-0000-0000D2000000}"/>
    <cellStyle name="_IE Model -- MB WS (3.25.2008)" xfId="226" xr:uid="{00000000-0005-0000-0000-0000D3000000}"/>
    <cellStyle name="_IE Model -- MB WS(5.8.2008)" xfId="227" xr:uid="{00000000-0005-0000-0000-0000D4000000}"/>
    <cellStyle name="_IE Model -- Neck Connector Female WS (3.25.2008)" xfId="228" xr:uid="{00000000-0005-0000-0000-0000D5000000}"/>
    <cellStyle name="_IE Model -- PMD WS (3.25.2008)" xfId="229" xr:uid="{00000000-0005-0000-0000-0000D6000000}"/>
    <cellStyle name="_IE Model -- RJ-11 WS (3.25.2008)" xfId="230" xr:uid="{00000000-0005-0000-0000-0000D7000000}"/>
    <cellStyle name="_IE Model -- Slider PCBA (3.25.2008)" xfId="231" xr:uid="{00000000-0005-0000-0000-0000D8000000}"/>
    <cellStyle name="_IE Model -- Strum WS (3.25.2008)" xfId="232" xr:uid="{00000000-0005-0000-0000-0000D9000000}"/>
    <cellStyle name="_IE Model -- Synth PCBA(5.8.2008)" xfId="233" xr:uid="{00000000-0005-0000-0000-0000DA000000}"/>
    <cellStyle name="_IE Model -- Synth WS(5.8.2008)" xfId="234" xr:uid="{00000000-0005-0000-0000-0000DB000000}"/>
    <cellStyle name="_IE Model --Alienware 051101" xfId="235" xr:uid="{00000000-0005-0000-0000-0000DC000000}"/>
    <cellStyle name="_IE Model --Alienware 051102" xfId="236" xr:uid="{00000000-0005-0000-0000-0000DD000000}"/>
    <cellStyle name="_IE Model --Alienware 051103" xfId="237" xr:uid="{00000000-0005-0000-0000-0000DE000000}"/>
    <cellStyle name="_IE Model --Alienware 051104" xfId="238" xr:uid="{00000000-0005-0000-0000-0000DF000000}"/>
    <cellStyle name="_IE Model --AMD UVC project" xfId="239" xr:uid="{00000000-0005-0000-0000-0000E0000000}"/>
    <cellStyle name="_IE Model --Backplane 012907-001(Aug.21.07)" xfId="240" xr:uid="{00000000-0005-0000-0000-0000E1000000}"/>
    <cellStyle name="_IE Model --BB(5.8.2008)" xfId="241" xr:uid="{00000000-0005-0000-0000-0000E2000000}"/>
    <cellStyle name="_IE Model --Beibei SAS Backplane (July.25.07)" xfId="242" xr:uid="{00000000-0005-0000-0000-0000E3000000}"/>
    <cellStyle name="_IE Model --Control-V1 SMT(5.8.2008)" xfId="243" xr:uid="{00000000-0005-0000-0000-0000E4000000}"/>
    <cellStyle name="_IE Model --Cymbal WS(5.8.2008)" xfId="244" xr:uid="{00000000-0005-0000-0000-0000E5000000}"/>
    <cellStyle name="_IE Model --Dell heiden Mar. 1(150K per month)" xfId="245" xr:uid="{00000000-0005-0000-0000-0000E6000000}"/>
    <cellStyle name="_IE Model --Dell heiden(150K)" xfId="246" xr:uid="{00000000-0005-0000-0000-0000E7000000}"/>
    <cellStyle name="_IE Model --Dell Klammer motherboard (Jul 10, 07) Doug Edit" xfId="247" xr:uid="{00000000-0005-0000-0000-0000E8000000}"/>
    <cellStyle name="_IE Model --Dell Klammer motherboard (Jul 17, 07) Doug Edit" xfId="248" xr:uid="{00000000-0005-0000-0000-0000E9000000}"/>
    <cellStyle name="_IE Model --Dell Klammer motherboard(Apr.23,07)" xfId="249" xr:uid="{00000000-0005-0000-0000-0000EA000000}"/>
    <cellStyle name="_IE Model --Dell Kookaburra Backplane RevA (Nov 22, 2007)" xfId="250" xr:uid="{00000000-0005-0000-0000-0000EB000000}"/>
    <cellStyle name="_IE Model --Dell Kookaburra MB PCBA RevA (Nov 22,2007)" xfId="251" xr:uid="{00000000-0005-0000-0000-0000EC000000}"/>
    <cellStyle name="_IE Model --Dell Kookaburra Riser card RevA (Nov 22, 2007)" xfId="252" xr:uid="{00000000-0005-0000-0000-0000ED000000}"/>
    <cellStyle name="_IE Model --Dell Kookaburra SI RevA (Nov 22,2007)" xfId="253" xr:uid="{00000000-0005-0000-0000-0000EE000000}"/>
    <cellStyle name="_IE Model --Fan interface PCA  012513-501(Aug.22.07)" xfId="254" xr:uid="{00000000-0005-0000-0000-0000EF000000}"/>
    <cellStyle name="_IE Model --HP 7Seg (Apr.27,07)_Updated 070507" xfId="255" xr:uid="{00000000-0005-0000-0000-0000F0000000}"/>
    <cellStyle name="_IE Model --HP MB Performance(Aug.06.07)" xfId="256" xr:uid="{00000000-0005-0000-0000-0000F1000000}"/>
    <cellStyle name="_IE Model --HP MB Value(Aug.06.07)" xfId="257" xr:uid="{00000000-0005-0000-0000-0000F2000000}"/>
    <cellStyle name="_IE Model --HP ML150-G4" xfId="258" xr:uid="{00000000-0005-0000-0000-0000F3000000}"/>
    <cellStyle name="_IE Model --HP River Gunnison (Jun 21 07)" xfId="259" xr:uid="{00000000-0005-0000-0000-0000F4000000}"/>
    <cellStyle name="_IE Model --HP River MB Low (May.28.07)" xfId="260" xr:uid="{00000000-0005-0000-0000-0000F5000000}"/>
    <cellStyle name="_IE Model --HP River MB Mid-range (May.29.07)" xfId="261" xr:uid="{00000000-0005-0000-0000-0000F6000000}"/>
    <cellStyle name="_IE Model --IBM Backplane RevA (Nov 26, 2007)" xfId="262" xr:uid="{00000000-0005-0000-0000-0000F7000000}"/>
    <cellStyle name="_IE Model --IBM BeiBei MB PCBA RevA (Nov 26,2007)" xfId="263" xr:uid="{00000000-0005-0000-0000-0000F8000000}"/>
    <cellStyle name="_IE Model --IO Board 012404-501(Aug.21.07)" xfId="264" xr:uid="{00000000-0005-0000-0000-0000F9000000}"/>
    <cellStyle name="_IE Model --IO(Apr.27,07)_Updated 070507" xfId="265" xr:uid="{00000000-0005-0000-0000-0000FA000000}"/>
    <cellStyle name="_IE Model --Lenovo Beibei Plan A(July.25.07)" xfId="266" xr:uid="{00000000-0005-0000-0000-0000FB000000}"/>
    <cellStyle name="_IE Model --Lenovo Beibei Plan B(July.25.07)" xfId="267" xr:uid="{00000000-0005-0000-0000-0000FC000000}"/>
    <cellStyle name="_IE Model --Levono Jingjing(July.25.07)" xfId="268" xr:uid="{00000000-0005-0000-0000-0000FD000000}"/>
    <cellStyle name="_IE Model --Midi WS(5.8.2008)" xfId="269" xr:uid="{00000000-0005-0000-0000-0000FE000000}"/>
    <cellStyle name="_IE Model --Midplane012903-001(Aug.21.07)" xfId="270" xr:uid="{00000000-0005-0000-0000-0000FF000000}"/>
    <cellStyle name="_IE Model --NVD C55" xfId="271" xr:uid="{00000000-0005-0000-0000-000000010000}"/>
    <cellStyle name="_IE Model --NVD p162" xfId="272" xr:uid="{00000000-0005-0000-0000-000001010000}"/>
    <cellStyle name="_IE Model --NVD P280 (4)" xfId="273" xr:uid="{00000000-0005-0000-0000-000002010000}"/>
    <cellStyle name="_IE Model --NVD P492(20K per Month)" xfId="274" xr:uid="{00000000-0005-0000-0000-000003010000}"/>
    <cellStyle name="_IE Model --PMD WS(5.8.2008)" xfId="275" xr:uid="{00000000-0005-0000-0000-000004010000}"/>
    <cellStyle name="_IE Model --Power UID PCA1  012438-502(Aug.21.07)" xfId="276" xr:uid="{00000000-0005-0000-0000-000005010000}"/>
    <cellStyle name="_IE Model --Power UID PCA2  012438-501(Aug.22.07)" xfId="277" xr:uid="{00000000-0005-0000-0000-000006010000}"/>
    <cellStyle name="_IE Model --RFQ-P355" xfId="278" xr:uid="{00000000-0005-0000-0000-000007010000}"/>
    <cellStyle name="_IE Model --RFQ-P355 (3)" xfId="279" xr:uid="{00000000-0005-0000-0000-000008010000}"/>
    <cellStyle name="_IE Model --Wacom BB Rev A" xfId="280" xr:uid="{00000000-0005-0000-0000-000009010000}"/>
    <cellStyle name="_IE Model --Wacom Inverter Board Rev A" xfId="281" xr:uid="{00000000-0005-0000-0000-00000A010000}"/>
    <cellStyle name="_IE Model --Wacom Main PCBA Rev A" xfId="282" xr:uid="{00000000-0005-0000-0000-00000B010000}"/>
    <cellStyle name="_IE Model --Wacom OSD SW board Rev A" xfId="283" xr:uid="{00000000-0005-0000-0000-00000C010000}"/>
    <cellStyle name="_IE Model --Wacom Power SW board Rev A" xfId="284" xr:uid="{00000000-0005-0000-0000-00000D010000}"/>
    <cellStyle name="_IE Model --Wacom Sensor control Board Rev A" xfId="285" xr:uid="{00000000-0005-0000-0000-00000E010000}"/>
    <cellStyle name="_IE Model --Wacom USB Connector Board Rev A" xfId="286" xr:uid="{00000000-0005-0000-0000-00000F010000}"/>
    <cellStyle name="_Katana Freight count" xfId="287" xr:uid="{00000000-0005-0000-0000-000010010000}"/>
    <cellStyle name="_Katana Freight count_Lenovo PACK  Packing Proposal" xfId="288" xr:uid="{00000000-0005-0000-0000-000011010000}"/>
    <cellStyle name="_Katana Freight count_Lenovo Park Format_July 07 05" xfId="289" xr:uid="{00000000-0005-0000-0000-000012010000}"/>
    <cellStyle name="_Katana Freight count_Lenovo Park Format_July 07 05V2" xfId="290" xr:uid="{00000000-0005-0000-0000-000013010000}"/>
    <cellStyle name="_KN-Flex Quotes Database 030306" xfId="291" xr:uid="{00000000-0005-0000-0000-000014010000}"/>
    <cellStyle name="_Lenovo PACK  Packing Proposal" xfId="292" xr:uid="{00000000-0005-0000-0000-000015010000}"/>
    <cellStyle name="_Lenovo Park Format_July 07 05" xfId="293" xr:uid="{00000000-0005-0000-0000-000016010000}"/>
    <cellStyle name="_Lenovo Park Format_July 07 05V2" xfId="294" xr:uid="{00000000-0005-0000-0000-000017010000}"/>
    <cellStyle name="_Logistic Cost analysis (DM-SHA for Quanta) -- Stig 061018" xfId="295" xr:uid="{00000000-0005-0000-0000-000018010000}"/>
    <cellStyle name="_Logistic Cost analysis (FOB HK) -- Hill 061023" xfId="296" xr:uid="{00000000-0005-0000-0000-000019010000}"/>
    <cellStyle name="_Logistic Cost analysis (FOB HK) -- Hill 061023 (3)" xfId="297" xr:uid="{00000000-0005-0000-0000-00001A010000}"/>
    <cellStyle name="_Logistic cost analysis 1221_DM" xfId="298" xr:uid="{00000000-0005-0000-0000-00001B010000}"/>
    <cellStyle name="_Logistic Cost analysis template - updated" xfId="299" xr:uid="{00000000-0005-0000-0000-00001C010000}"/>
    <cellStyle name="_Motherboard Pricing 20030722" xfId="300" xr:uid="{00000000-0005-0000-0000-00001D010000}"/>
    <cellStyle name="_Motherboard Pricing 20030722_Lenovo PACK  Packing Proposal" xfId="301" xr:uid="{00000000-0005-0000-0000-00001E010000}"/>
    <cellStyle name="_Motherboard Pricing 20030722_Lenovo Park Format_July 07 05" xfId="302" xr:uid="{00000000-0005-0000-0000-00001F010000}"/>
    <cellStyle name="_Motherboard Pricing 20030722_Lenovo Park Format_July 07 05V2" xfId="303" xr:uid="{00000000-0005-0000-0000-000020010000}"/>
    <cellStyle name="_MOTO SLIC300MP FOB HK Transport Pricing Targe Vol (R2)" xfId="304" xr:uid="{00000000-0005-0000-0000-000021010000}"/>
    <cellStyle name="_MOTO SLIC300MP FOB HK Transport Pricing Targe Vol (R2)_Lenovo PACK  Packing Proposal" xfId="305" xr:uid="{00000000-0005-0000-0000-000022010000}"/>
    <cellStyle name="_MOTO SLIC300MP FOB HK Transport Pricing Targe Vol (R2)_Lenovo Park Format_July 07 05" xfId="306" xr:uid="{00000000-0005-0000-0000-000023010000}"/>
    <cellStyle name="_MOTO SLIC300MP FOB HK Transport Pricing Targe Vol (R2)_Lenovo Park Format_July 07 05V2" xfId="307" xr:uid="{00000000-0005-0000-0000-000024010000}"/>
    <cellStyle name="_MOTO SLIC300MP FOB HK Transport Pricing Targe Vol (R2)_Salcomp FCA HK Transport Pricing Dec11" xfId="308" xr:uid="{00000000-0005-0000-0000-000025010000}"/>
    <cellStyle name="_MOTO SLIC300MP FOB HK Transport Pricing Targe Vol (R2)_Salcomp FCA HK Transport Pricing Dec11_Lenovo PACK  Packing Proposal" xfId="309" xr:uid="{00000000-0005-0000-0000-000026010000}"/>
    <cellStyle name="_MOTO SLIC300MP FOB HK Transport Pricing Targe Vol (R2)_Salcomp FCA HK Transport Pricing Dec11_Lenovo Park Format_July 07 05" xfId="310" xr:uid="{00000000-0005-0000-0000-000027010000}"/>
    <cellStyle name="_MOTO SLIC300MP FOB HK Transport Pricing Targe Vol (R2)_Salcomp FCA HK Transport Pricing Dec11_Lenovo Park Format_July 07 05V2" xfId="311" xr:uid="{00000000-0005-0000-0000-000028010000}"/>
    <cellStyle name="_MOTO SLIC300MP FOB HK Transport Pricing(Target Volume)" xfId="312" xr:uid="{00000000-0005-0000-0000-000029010000}"/>
    <cellStyle name="_MOTO SLIC300MP FOB HK Transport Pricing(Target Volume)_Lenovo PACK  Packing Proposal" xfId="313" xr:uid="{00000000-0005-0000-0000-00002A010000}"/>
    <cellStyle name="_MOTO SLIC300MP FOB HK Transport Pricing(Target Volume)_Lenovo Park Format_July 07 05" xfId="314" xr:uid="{00000000-0005-0000-0000-00002B010000}"/>
    <cellStyle name="_MOTO SLIC300MP FOB HK Transport Pricing(Target Volume)_Lenovo Park Format_July 07 05V2" xfId="315" xr:uid="{00000000-0005-0000-0000-00002C010000}"/>
    <cellStyle name="_MOTO SLIC300MP FOB HK Transport Pricing(Target Volume)_Salcomp FCA HK Transport Pricing Dec11" xfId="316" xr:uid="{00000000-0005-0000-0000-00002D010000}"/>
    <cellStyle name="_MOTO SLIC300MP FOB HK Transport Pricing(Target Volume)_Salcomp FCA HK Transport Pricing Dec11_Lenovo PACK  Packing Proposal" xfId="317" xr:uid="{00000000-0005-0000-0000-00002E010000}"/>
    <cellStyle name="_MOTO SLIC300MP FOB HK Transport Pricing(Target Volume)_Salcomp FCA HK Transport Pricing Dec11_Lenovo Park Format_July 07 05" xfId="318" xr:uid="{00000000-0005-0000-0000-00002F010000}"/>
    <cellStyle name="_MOTO SLIC300MP FOB HK Transport Pricing(Target Volume)_Salcomp FCA HK Transport Pricing Dec11_Lenovo Park Format_July 07 05V2" xfId="319" xr:uid="{00000000-0005-0000-0000-000030010000}"/>
    <cellStyle name="_Mozart BOM-Cost_06Apr05" xfId="320" xr:uid="{00000000-0005-0000-0000-000031010000}"/>
    <cellStyle name="_Mozart BOM-Cost_06Apr05_Lenovo PARK BOM Zero cost 705_05V2" xfId="321" xr:uid="{00000000-0005-0000-0000-000032010000}"/>
    <cellStyle name="_Mozart BOM-Cost_06Apr05_Lenovo PARK BOM Zero cost 705_05V2_Lenovo Park Format_July 07 05" xfId="322" xr:uid="{00000000-0005-0000-0000-000033010000}"/>
    <cellStyle name="_Mozart BOM-Cost_06Apr05_Lenovo PARK BOM Zero cost 705_05V2_Lenovo Park Format_July 07 05V2" xfId="323" xr:uid="{00000000-0005-0000-0000-000034010000}"/>
    <cellStyle name="_Mozart BOM-Cost_06Apr05_Lenovo Park Format (proposed Evans)" xfId="324" xr:uid="{00000000-0005-0000-0000-000035010000}"/>
    <cellStyle name="_Mozart BOM-Cost_06Apr05_Lenovo Park Format (proposed Evans)_Lenovo Park Format_July 07 05" xfId="325" xr:uid="{00000000-0005-0000-0000-000036010000}"/>
    <cellStyle name="_Mozart BOM-Cost_06Apr05_Lenovo Park Format (proposed Evans)_Lenovo Park Format_July 07 05V2" xfId="326" xr:uid="{00000000-0005-0000-0000-000037010000}"/>
    <cellStyle name="_Mozart BOM-Cost_06Apr05_Lenovo Park Format_July 07 05" xfId="327" xr:uid="{00000000-0005-0000-0000-000038010000}"/>
    <cellStyle name="_Mozart BOM-Cost_06Apr05_Lenovo Park Format_July 07 05V2" xfId="328" xr:uid="{00000000-0005-0000-0000-000039010000}"/>
    <cellStyle name="_Multiple" xfId="329" xr:uid="{00000000-0005-0000-0000-00003A010000}"/>
    <cellStyle name="_Multiple_02 Pfd Valuation" xfId="330" xr:uid="{00000000-0005-0000-0000-00003B010000}"/>
    <cellStyle name="_Multiple_03 Contribution Analysis" xfId="331" xr:uid="{00000000-0005-0000-0000-00003C010000}"/>
    <cellStyle name="_Multiple_20080605_182 NewCo Agreement Model_v36" xfId="332" xr:uid="{00000000-0005-0000-0000-00003D010000}"/>
    <cellStyle name="_Multiple_20080616_Ownership Structure Walk-Up" xfId="333" xr:uid="{00000000-0005-0000-0000-00003E010000}"/>
    <cellStyle name="_Multiple_Basic LBO v06" xfId="334" xr:uid="{00000000-0005-0000-0000-00003F010000}"/>
    <cellStyle name="_Multiple_Contribution of assets into USAi_02" xfId="335" xr:uid="{00000000-0005-0000-0000-000040010000}"/>
    <cellStyle name="_Multiple_credit - newco_6_18" xfId="336" xr:uid="{00000000-0005-0000-0000-000041010000}"/>
    <cellStyle name="_Multiple_credit - newco_6_18_BLS2q_salesforce" xfId="337" xr:uid="{00000000-0005-0000-0000-000042010000}"/>
    <cellStyle name="_Multiple_CSC Cable makers 060502" xfId="338" xr:uid="{00000000-0005-0000-0000-000043010000}"/>
    <cellStyle name="_Multiple_Final Pages 8-20" xfId="339" xr:uid="{00000000-0005-0000-0000-000044010000}"/>
    <cellStyle name="_Multiple_further analysis on comparables" xfId="340" xr:uid="{00000000-0005-0000-0000-000045010000}"/>
    <cellStyle name="_Multiple_NBC-5 yearDCF-Final from Vivendi modified" xfId="341" xr:uid="{00000000-0005-0000-0000-000046010000}"/>
    <cellStyle name="_Multiple_Oakley Model v13" xfId="342" xr:uid="{00000000-0005-0000-0000-000047010000}"/>
    <cellStyle name="_Multiple_Training Model Shell" xfId="343" xr:uid="{00000000-0005-0000-0000-000048010000}"/>
    <cellStyle name="_Multiple_Training Model Shell_BLS2q_salesforce" xfId="344" xr:uid="{00000000-0005-0000-0000-000049010000}"/>
    <cellStyle name="_Multiple_Update 08-27-01-3" xfId="345" xr:uid="{00000000-0005-0000-0000-00004A010000}"/>
    <cellStyle name="_Multiple_Update 08-27-01-3_BLS2q_salesforce" xfId="346" xr:uid="{00000000-0005-0000-0000-00004B010000}"/>
    <cellStyle name="_Multiple_USA Ownership" xfId="347" xr:uid="{00000000-0005-0000-0000-00004C010000}"/>
    <cellStyle name="_MultipleSpace" xfId="348" xr:uid="{00000000-0005-0000-0000-00004D010000}"/>
    <cellStyle name="_MultipleSpace_02 Pfd Valuation" xfId="349" xr:uid="{00000000-0005-0000-0000-00004E010000}"/>
    <cellStyle name="_MultipleSpace_03 Contribution Analysis" xfId="350" xr:uid="{00000000-0005-0000-0000-00004F010000}"/>
    <cellStyle name="_MultipleSpace_20080605_182 NewCo Agreement Model_v36" xfId="351" xr:uid="{00000000-0005-0000-0000-000050010000}"/>
    <cellStyle name="_MultipleSpace_20080616_Ownership Structure Walk-Up" xfId="352" xr:uid="{00000000-0005-0000-0000-000051010000}"/>
    <cellStyle name="_MultipleSpace_BLS2q_salesforce" xfId="353" xr:uid="{00000000-0005-0000-0000-000052010000}"/>
    <cellStyle name="_MultipleSpace_Contribution of assets into USAi_02" xfId="354" xr:uid="{00000000-0005-0000-0000-000053010000}"/>
    <cellStyle name="_MultipleSpace_credit - newco_6_18" xfId="355" xr:uid="{00000000-0005-0000-0000-000054010000}"/>
    <cellStyle name="_MultipleSpace_credit - newco_6_18_BLS2q_salesforce" xfId="356" xr:uid="{00000000-0005-0000-0000-000055010000}"/>
    <cellStyle name="_MultipleSpace_CSC Cable makers 060502" xfId="357" xr:uid="{00000000-0005-0000-0000-000056010000}"/>
    <cellStyle name="_MultipleSpace_EBITDA Multiple_3" xfId="358" xr:uid="{00000000-0005-0000-0000-000057010000}"/>
    <cellStyle name="_MultipleSpace_Final Pages 8-20" xfId="359" xr:uid="{00000000-0005-0000-0000-000058010000}"/>
    <cellStyle name="_MultipleSpace_Final Pages 8-20_BLS2q_salesforce" xfId="360" xr:uid="{00000000-0005-0000-0000-000059010000}"/>
    <cellStyle name="_MultipleSpace_further analysis on comparables" xfId="361" xr:uid="{00000000-0005-0000-0000-00005A010000}"/>
    <cellStyle name="_MultipleSpace_further analysis on comparables_BLS2q_salesforce" xfId="362" xr:uid="{00000000-0005-0000-0000-00005B010000}"/>
    <cellStyle name="_MultipleSpace_NBC-5 yearDCF-Final from Vivendi modified" xfId="363" xr:uid="{00000000-0005-0000-0000-00005C010000}"/>
    <cellStyle name="_MultipleSpace_Training Model Shell" xfId="364" xr:uid="{00000000-0005-0000-0000-00005D010000}"/>
    <cellStyle name="_MultipleSpace_Training Model Shell_BLS2q_salesforce" xfId="365" xr:uid="{00000000-0005-0000-0000-00005E010000}"/>
    <cellStyle name="_MultipleSpace_Update 08-27-01-3" xfId="366" xr:uid="{00000000-0005-0000-0000-00005F010000}"/>
    <cellStyle name="_MultipleSpace_Update 08-27-01-3_BLS2q_salesforce" xfId="367" xr:uid="{00000000-0005-0000-0000-000060010000}"/>
    <cellStyle name="_MultipleSpace_USA Ownership" xfId="368" xr:uid="{00000000-0005-0000-0000-000061010000}"/>
    <cellStyle name="_MultipleSpace_VU Valuation-top down approach 02" xfId="369" xr:uid="{00000000-0005-0000-0000-000062010000}"/>
    <cellStyle name="_Ocean Freight Request - HKG to Touyuan" xfId="370" xr:uid="{00000000-0005-0000-0000-000063010000}"/>
    <cellStyle name="_Ocean Freight RFQ - New Format" xfId="371" xr:uid="{00000000-0005-0000-0000-000064010000}"/>
    <cellStyle name="_Ocean Freight RFQ - New Lane Pair EX DGN 20050419" xfId="372" xr:uid="{00000000-0005-0000-0000-000065010000}"/>
    <cellStyle name="_ONL Considerations PR CY09 AOP 01-21-09 FINAL" xfId="373" xr:uid="{00000000-0005-0000-0000-000066010000}"/>
    <cellStyle name="_P456 COST BOM_Sep29th" xfId="374" xr:uid="{00000000-0005-0000-0000-000067010000}"/>
    <cellStyle name="_P50455 Costed BOM 20050922" xfId="375" xr:uid="{00000000-0005-0000-0000-000068010000}"/>
    <cellStyle name="_PACKAGE COST Lenovo Speyburn IV " xfId="376" xr:uid="{00000000-0005-0000-0000-000069010000}"/>
    <cellStyle name="_PACKAGE COST-Andes Lenovo 17L" xfId="377" xr:uid="{00000000-0005-0000-0000-00006A010000}"/>
    <cellStyle name="_PACKAGE COST-HP Malibu DL580 G5" xfId="378" xr:uid="{00000000-0005-0000-0000-00006B010000}"/>
    <cellStyle name="_PACKAGE COST-Lenovo 13LS" xfId="379" xr:uid="{00000000-0005-0000-0000-00006C010000}"/>
    <cellStyle name="_PACKAGE COST-Lenovo 25LM" xfId="380" xr:uid="{00000000-0005-0000-0000-00006D010000}"/>
    <cellStyle name="_PACKAGE COST-Martel- W-Handle" xfId="381" xr:uid="{00000000-0005-0000-0000-00006E010000}"/>
    <cellStyle name="_PACKAGE COST-Martel- WO_Handle" xfId="382" xr:uid="{00000000-0005-0000-0000-00006F010000}"/>
    <cellStyle name="_PACKAGE-ASSY COST Apollo" xfId="383" xr:uid="{00000000-0005-0000-0000-000070010000}"/>
    <cellStyle name="_PACKAGE-ASSY COST-Lenova Bluesky (2)" xfId="384" xr:uid="{00000000-0005-0000-0000-000071010000}"/>
    <cellStyle name="_Percent" xfId="385" xr:uid="{00000000-0005-0000-0000-000072010000}"/>
    <cellStyle name="_Percent_02 Pfd Valuation" xfId="386" xr:uid="{00000000-0005-0000-0000-000073010000}"/>
    <cellStyle name="_Percent_20080616_Ownership Structure Walk-Up" xfId="387" xr:uid="{00000000-0005-0000-0000-000074010000}"/>
    <cellStyle name="_Percent_BLS2q_salesforce" xfId="388" xr:uid="{00000000-0005-0000-0000-000075010000}"/>
    <cellStyle name="_Percent_USA Ownership" xfId="389" xr:uid="{00000000-0005-0000-0000-000076010000}"/>
    <cellStyle name="_PercentSpace" xfId="390" xr:uid="{00000000-0005-0000-0000-000077010000}"/>
    <cellStyle name="_PercentSpace_02 Pfd Valuation" xfId="391" xr:uid="{00000000-0005-0000-0000-000078010000}"/>
    <cellStyle name="_PercentSpace_20080616_Ownership Structure Walk-Up" xfId="392" xr:uid="{00000000-0005-0000-0000-000079010000}"/>
    <cellStyle name="_PercentSpace_BLS2q_salesforce" xfId="393" xr:uid="{00000000-0005-0000-0000-00007A010000}"/>
    <cellStyle name="_PercentSpace_USA Ownership" xfId="394" xr:uid="{00000000-0005-0000-0000-00007B010000}"/>
    <cellStyle name="_PL VG au 9 juillet 2008" xfId="395" xr:uid="{00000000-0005-0000-0000-00007C010000}"/>
    <cellStyle name="_PM93 Quote Summary Update 061024" xfId="396" xr:uid="{00000000-0005-0000-0000-00007D010000}"/>
    <cellStyle name="_PPA 9Cegetel 30 juin (040808)" xfId="397" xr:uid="{00000000-0005-0000-0000-00007E010000}"/>
    <cellStyle name="_Presentation ATVI" xfId="398" xr:uid="{00000000-0005-0000-0000-00007F010000}"/>
    <cellStyle name="_quotation(IBM) to david new" xfId="399" xr:uid="{00000000-0005-0000-0000-000080010000}"/>
    <cellStyle name="_quotation(IBM) to david new_Lenovo PACK  Packing Proposal" xfId="400" xr:uid="{00000000-0005-0000-0000-000081010000}"/>
    <cellStyle name="_quotation(IBM) to david new_Lenovo Park Format_July 07 05" xfId="401" xr:uid="{00000000-0005-0000-0000-000082010000}"/>
    <cellStyle name="_quotation(IBM) to david new_Lenovo Park Format_July 07 05V2" xfId="402" xr:uid="{00000000-0005-0000-0000-000083010000}"/>
    <cellStyle name="_RFQ required by Makkah 1101 (3)" xfId="403" xr:uid="{00000000-0005-0000-0000-000084010000}"/>
    <cellStyle name="_RollDG Template 605" xfId="404" xr:uid="{00000000-0005-0000-0000-000085010000}"/>
    <cellStyle name="_RollDM Alienware PCBA only business_ELC DIP Cards 070314" xfId="405" xr:uid="{00000000-0005-0000-0000-000086010000}"/>
    <cellStyle name="_RollDM Dell MB Heiden $70 BOM_Revised with Roberto 070318_$4TC Goal Seek" xfId="406" xr:uid="{00000000-0005-0000-0000-000087010000}"/>
    <cellStyle name="_RollDM Dell Sneeth MB_Rev01 070405" xfId="407" xr:uid="{00000000-0005-0000-0000-000088010000}"/>
    <cellStyle name="_RollDM HP MSA50 PCBA Cost Model_Quote 500K Monthly Rev01 (Aug 29, 2007)" xfId="408" xr:uid="{00000000-0005-0000-0000-000089010000}"/>
    <cellStyle name="_RollDM HP Rivers MB Gunnison_9K-13K monthly 070622" xfId="409" xr:uid="{00000000-0005-0000-0000-00008A010000}"/>
    <cellStyle name="_RollDM L10 Cost Model_Template 070712 Rev 1.2" xfId="410" xr:uid="{00000000-0005-0000-0000-00008B010000}"/>
    <cellStyle name="_RollDM Nvidia Add-in Card-50329" xfId="411" xr:uid="{00000000-0005-0000-0000-00008C010000}"/>
    <cellStyle name="_RollDM Nvidia Add-in Card-50330 rev b" xfId="412" xr:uid="{00000000-0005-0000-0000-00008D010000}"/>
    <cellStyle name="_RollDM Nvidia P381" xfId="413" xr:uid="{00000000-0005-0000-0000-00008E010000}"/>
    <cellStyle name="_RollDM Nvidia P492 Rev 1" xfId="414" xr:uid="{00000000-0005-0000-0000-00008F010000}"/>
    <cellStyle name="_RollDM nVidia PM132 060929" xfId="415" xr:uid="{00000000-0005-0000-0000-000090010000}"/>
    <cellStyle name="_RollDM Nvidia PM93 960" xfId="416" xr:uid="{00000000-0005-0000-0000-000091010000}"/>
    <cellStyle name="_RollDM Nvidia PM93 960 EVGA ON OFF 061024 Revised 1.2" xfId="417" xr:uid="{00000000-0005-0000-0000-000092010000}"/>
    <cellStyle name="_RollDM PCBA Cost Model_Template 070802 Rev C_Single High Volume Model" xfId="418" xr:uid="{00000000-0005-0000-0000-000093010000}"/>
    <cellStyle name="_RollDM Template 605" xfId="419" xr:uid="{00000000-0005-0000-0000-000094010000}"/>
    <cellStyle name="_Salcomp FCA HK Transport Pricing Dec11" xfId="420" xr:uid="{00000000-0005-0000-0000-000095010000}"/>
    <cellStyle name="_Salcomp FCA HK Transport Pricing Dec11_Lenovo PACK  Packing Proposal" xfId="421" xr:uid="{00000000-0005-0000-0000-000096010000}"/>
    <cellStyle name="_Salcomp FCA HK Transport Pricing Dec11_Lenovo Park Format_July 07 05" xfId="422" xr:uid="{00000000-0005-0000-0000-000097010000}"/>
    <cellStyle name="_Salcomp FCA HK Transport Pricing Dec11_Lenovo Park Format_July 07 05V2" xfId="423" xr:uid="{00000000-0005-0000-0000-000098010000}"/>
    <cellStyle name="_Sheet2" xfId="424" xr:uid="{00000000-0005-0000-0000-000099010000}"/>
    <cellStyle name="_Sheet2_Kuehne+Nagel Ocean Freight Rate Table 2005" xfId="425" xr:uid="{00000000-0005-0000-0000-00009A010000}"/>
    <cellStyle name="_Sheet2_Kuehne+Nagel Ocean Freight Rate Table1" xfId="426" xr:uid="{00000000-0005-0000-0000-00009B010000}"/>
    <cellStyle name="_SubHeading" xfId="427" xr:uid="{00000000-0005-0000-0000-00009C010000}"/>
    <cellStyle name="_SubHeading_01 VU Liquidity 171202" xfId="428" xr:uid="{00000000-0005-0000-0000-00009D010000}"/>
    <cellStyle name="_SubHeading_20080616_Ownership Structure Walk-Up" xfId="429" xr:uid="{00000000-0005-0000-0000-00009E010000}"/>
    <cellStyle name="_SubHeading_210302 VU Liquidity new figures" xfId="430" xr:uid="{00000000-0005-0000-0000-00009F010000}"/>
    <cellStyle name="_SubHeading_Contribution of assets into USAi_02" xfId="431" xr:uid="{00000000-0005-0000-0000-0000A0010000}"/>
    <cellStyle name="_SubHeading_NBC-5 yearDCF-Final from Vivendi modified" xfId="432" xr:uid="{00000000-0005-0000-0000-0000A1010000}"/>
    <cellStyle name="_SubHeading_prestemp" xfId="433" xr:uid="{00000000-0005-0000-0000-0000A2010000}"/>
    <cellStyle name="_SubHeading_prestemp_USAi Warrants Valuation 1" xfId="434" xr:uid="{00000000-0005-0000-0000-0000A3010000}"/>
    <cellStyle name="_SubHeading_Tribune Consolidated Model v578" xfId="435" xr:uid="{00000000-0005-0000-0000-0000A4010000}"/>
    <cellStyle name="_Table" xfId="436" xr:uid="{00000000-0005-0000-0000-0000A5010000}"/>
    <cellStyle name="_Table_02 Pfd Valuation" xfId="437" xr:uid="{00000000-0005-0000-0000-0000A6010000}"/>
    <cellStyle name="_Table_03 Contribution Analysis" xfId="438" xr:uid="{00000000-0005-0000-0000-0000A7010000}"/>
    <cellStyle name="_Table_20080616_Ownership Structure Walk-Up" xfId="439" xr:uid="{00000000-0005-0000-0000-0000A8010000}"/>
    <cellStyle name="_Table_Contribution of assets into USAi_02" xfId="440" xr:uid="{00000000-0005-0000-0000-0000A9010000}"/>
    <cellStyle name="_Table_NBC-5 yearDCF-Final from Vivendi modified" xfId="441" xr:uid="{00000000-0005-0000-0000-0000AA010000}"/>
    <cellStyle name="_Table_USA Ownership" xfId="442" xr:uid="{00000000-0005-0000-0000-0000AB010000}"/>
    <cellStyle name="_TableHead" xfId="443" xr:uid="{00000000-0005-0000-0000-0000AC010000}"/>
    <cellStyle name="_TableHead_03 Contribution Analysis" xfId="444" xr:uid="{00000000-0005-0000-0000-0000AD010000}"/>
    <cellStyle name="_TableHead_20080616_Ownership Structure Walk-Up" xfId="445" xr:uid="{00000000-0005-0000-0000-0000AE010000}"/>
    <cellStyle name="_TableHead_Basic LBO v06" xfId="446" xr:uid="{00000000-0005-0000-0000-0000AF010000}"/>
    <cellStyle name="_TableHead_Black Scholes Model" xfId="447" xr:uid="{00000000-0005-0000-0000-0000B0010000}"/>
    <cellStyle name="_TableHeading" xfId="448" xr:uid="{00000000-0005-0000-0000-0000B1010000}"/>
    <cellStyle name="_TableRowBorder" xfId="449" xr:uid="{00000000-0005-0000-0000-0000B2010000}"/>
    <cellStyle name="_TableRowHead" xfId="450" xr:uid="{00000000-0005-0000-0000-0000B3010000}"/>
    <cellStyle name="_TableRowHead_03 Contribution Analysis" xfId="451" xr:uid="{00000000-0005-0000-0000-0000B4010000}"/>
    <cellStyle name="_TableRowHead_20080616_Ownership Structure Walk-Up" xfId="452" xr:uid="{00000000-0005-0000-0000-0000B5010000}"/>
    <cellStyle name="_TableRowHead_Basic LBO v06" xfId="453" xr:uid="{00000000-0005-0000-0000-0000B6010000}"/>
    <cellStyle name="_TableRowHeading" xfId="454" xr:uid="{00000000-0005-0000-0000-0000B7010000}"/>
    <cellStyle name="_TableSuperHead" xfId="455" xr:uid="{00000000-0005-0000-0000-0000B8010000}"/>
    <cellStyle name="_TableSuperHead_02 Pfd Valuation" xfId="456" xr:uid="{00000000-0005-0000-0000-0000B9010000}"/>
    <cellStyle name="_TableSuperHead_03 Contribution Analysis" xfId="457" xr:uid="{00000000-0005-0000-0000-0000BA010000}"/>
    <cellStyle name="_TableSuperHead_20080616_Ownership Structure Walk-Up" xfId="458" xr:uid="{00000000-0005-0000-0000-0000BB010000}"/>
    <cellStyle name="_TableSuperHead_As the Market has Lower Implied Growth Expectations v2" xfId="459" xr:uid="{00000000-0005-0000-0000-0000BC010000}"/>
    <cellStyle name="_TableSuperHead_Basic LBO v06" xfId="460" xr:uid="{00000000-0005-0000-0000-0000BD010000}"/>
    <cellStyle name="_TableSuperHead_USA Ownership" xfId="461" xr:uid="{00000000-0005-0000-0000-0000BE010000}"/>
    <cellStyle name="_TableSuperHeading" xfId="462" xr:uid="{00000000-0005-0000-0000-0000BF010000}"/>
    <cellStyle name="_TableText" xfId="463" xr:uid="{00000000-0005-0000-0000-0000C0010000}"/>
    <cellStyle name="_Transportation Charges from DM to Huizhou" xfId="464" xr:uid="{00000000-0005-0000-0000-0000C1010000}"/>
    <cellStyle name="_Transportation Charges from DM to Huizhou_Lenovo PACK  Packing Proposal" xfId="465" xr:uid="{00000000-0005-0000-0000-0000C2010000}"/>
    <cellStyle name="_Transportation Charges from DM to Huizhou_Lenovo Park Format_July 07 05" xfId="466" xr:uid="{00000000-0005-0000-0000-0000C3010000}"/>
    <cellStyle name="_Transportation Charges from DM to Huizhou_Lenovo Park Format_July 07 05V2" xfId="467" xr:uid="{00000000-0005-0000-0000-0000C4010000}"/>
    <cellStyle name="_Trt-KX864-CDC-DM-HK-Futian" xfId="468" xr:uid="{00000000-0005-0000-0000-0000C5010000}"/>
    <cellStyle name="_Trt-KX864-CDC-DM-HK-Futian_Lenovo PACK  Packing Proposal" xfId="469" xr:uid="{00000000-0005-0000-0000-0000C6010000}"/>
    <cellStyle name="_Trt-KX864-CDC-DM-HK-Futian_Lenovo Park Format_July 07 05" xfId="470" xr:uid="{00000000-0005-0000-0000-0000C7010000}"/>
    <cellStyle name="_Trt-KX864-CDC-DM-HK-Futian_Lenovo Park Format_July 07 05V2" xfId="471" xr:uid="{00000000-0005-0000-0000-0000C8010000}"/>
    <cellStyle name="_WaterfrontRequote0525_DN_(JS)" xfId="472" xr:uid="{00000000-0005-0000-0000-0000C9010000}"/>
    <cellStyle name="_XBOX 360 Drum BOM" xfId="473" xr:uid="{00000000-0005-0000-0000-0000CA010000}"/>
    <cellStyle name="_XBOX MB repair &amp; refurbish freight cost" xfId="474" xr:uid="{00000000-0005-0000-0000-0000CB010000}"/>
    <cellStyle name="_XBOX MB repair &amp; refurbish freight cost_Lenovo PACK  Packing Proposal" xfId="475" xr:uid="{00000000-0005-0000-0000-0000CC010000}"/>
    <cellStyle name="_XBOX MB repair &amp; refurbish freight cost_Lenovo Park Format_July 07 05" xfId="476" xr:uid="{00000000-0005-0000-0000-0000CD010000}"/>
    <cellStyle name="_XBOX MB repair &amp; refurbish freight cost_Lenovo Park Format_July 07 05V2" xfId="477" xr:uid="{00000000-0005-0000-0000-0000CE010000}"/>
    <cellStyle name="_XBOX MB RR Transport Cost - Air  Express 040506R1" xfId="478" xr:uid="{00000000-0005-0000-0000-0000CF010000}"/>
    <cellStyle name="_XBOX MB RR Transport Cost - Air  Express 040506R1_Lenovo PACK  Packing Proposal" xfId="479" xr:uid="{00000000-0005-0000-0000-0000D0010000}"/>
    <cellStyle name="_XBOX MB RR Transport Cost - Air  Express 040506R1_Lenovo Park Format_July 07 05" xfId="480" xr:uid="{00000000-0005-0000-0000-0000D1010000}"/>
    <cellStyle name="_XBOX MB RR Transport Cost - Air  Express 040506R1_Lenovo Park Format_July 07 05V2" xfId="481" xr:uid="{00000000-0005-0000-0000-0000D2010000}"/>
    <cellStyle name="_XBOX MB RR Transport Cost - Air &amp; Express 040506R1" xfId="482" xr:uid="{00000000-0005-0000-0000-0000D3010000}"/>
    <cellStyle name="_XBOX MB RR Transport Cost - Air &amp; Express 040506R1_Lenovo PACK  Packing Proposal" xfId="483" xr:uid="{00000000-0005-0000-0000-0000D4010000}"/>
    <cellStyle name="_XBOX MB RR Transport Cost - Air &amp; Express 040506R1_Lenovo Park Format_July 07 05" xfId="484" xr:uid="{00000000-0005-0000-0000-0000D5010000}"/>
    <cellStyle name="_XBOX MB RR Transport Cost - Air &amp; Express 040506R1_Lenovo Park Format_July 07 05V2" xfId="485" xr:uid="{00000000-0005-0000-0000-0000D6010000}"/>
    <cellStyle name="_XBOX Total BI Q1'08 0310" xfId="486" xr:uid="{00000000-0005-0000-0000-0000D7010000}"/>
    <cellStyle name="’Ê‰Ý [0.00]_Region Orders (2)" xfId="487" xr:uid="{00000000-0005-0000-0000-0000D8010000}"/>
    <cellStyle name="’Ê‰Ý_Region Orders (2)" xfId="488" xr:uid="{00000000-0005-0000-0000-0000D9010000}"/>
    <cellStyle name="¤@¯ë_pldt" xfId="489" xr:uid="{00000000-0005-0000-0000-0000DA010000}"/>
    <cellStyle name="•W_Pacific Region P&amp;L" xfId="490" xr:uid="{00000000-0005-0000-0000-0000DB010000}"/>
    <cellStyle name="0,0_x000d__x000a_NA_x000d__x000a_" xfId="491" xr:uid="{00000000-0005-0000-0000-0000DC010000}"/>
    <cellStyle name="0dp" xfId="492" xr:uid="{00000000-0005-0000-0000-0000DD010000}"/>
    <cellStyle name="20% - Accent1 10" xfId="493" xr:uid="{00000000-0005-0000-0000-0000DE010000}"/>
    <cellStyle name="20% - Accent1 10 2" xfId="494" xr:uid="{00000000-0005-0000-0000-0000DF010000}"/>
    <cellStyle name="20% - Accent1 10 3" xfId="495" xr:uid="{00000000-0005-0000-0000-0000E0010000}"/>
    <cellStyle name="20% - Accent1 11" xfId="496" xr:uid="{00000000-0005-0000-0000-0000E1010000}"/>
    <cellStyle name="20% - Accent1 11 2" xfId="497" xr:uid="{00000000-0005-0000-0000-0000E2010000}"/>
    <cellStyle name="20% - Accent1 11 3" xfId="498" xr:uid="{00000000-0005-0000-0000-0000E3010000}"/>
    <cellStyle name="20% - Accent1 12" xfId="499" xr:uid="{00000000-0005-0000-0000-0000E4010000}"/>
    <cellStyle name="20% - Accent1 12 2" xfId="500" xr:uid="{00000000-0005-0000-0000-0000E5010000}"/>
    <cellStyle name="20% - Accent1 12 3" xfId="501" xr:uid="{00000000-0005-0000-0000-0000E6010000}"/>
    <cellStyle name="20% - Accent1 13" xfId="502" xr:uid="{00000000-0005-0000-0000-0000E7010000}"/>
    <cellStyle name="20% - Accent1 13 2" xfId="503" xr:uid="{00000000-0005-0000-0000-0000E8010000}"/>
    <cellStyle name="20% - Accent1 13 3" xfId="504" xr:uid="{00000000-0005-0000-0000-0000E9010000}"/>
    <cellStyle name="20% - Accent1 14" xfId="505" xr:uid="{00000000-0005-0000-0000-0000EA010000}"/>
    <cellStyle name="20% - Accent1 14 2" xfId="506" xr:uid="{00000000-0005-0000-0000-0000EB010000}"/>
    <cellStyle name="20% - Accent1 14 3" xfId="507" xr:uid="{00000000-0005-0000-0000-0000EC010000}"/>
    <cellStyle name="20% - Accent1 15" xfId="508" xr:uid="{00000000-0005-0000-0000-0000ED010000}"/>
    <cellStyle name="20% - Accent1 15 2" xfId="509" xr:uid="{00000000-0005-0000-0000-0000EE010000}"/>
    <cellStyle name="20% - Accent1 15 3" xfId="510" xr:uid="{00000000-0005-0000-0000-0000EF010000}"/>
    <cellStyle name="20% - Accent1 16" xfId="511" xr:uid="{00000000-0005-0000-0000-0000F0010000}"/>
    <cellStyle name="20% - Accent1 17" xfId="512" xr:uid="{00000000-0005-0000-0000-0000F1010000}"/>
    <cellStyle name="20% - Accent1 18" xfId="513" xr:uid="{00000000-0005-0000-0000-0000F2010000}"/>
    <cellStyle name="20% - Accent1 19" xfId="514" xr:uid="{00000000-0005-0000-0000-0000F3010000}"/>
    <cellStyle name="20% - Accent1 2" xfId="515" xr:uid="{00000000-0005-0000-0000-0000F4010000}"/>
    <cellStyle name="20% - Accent1 2 10" xfId="516" xr:uid="{00000000-0005-0000-0000-0000F5010000}"/>
    <cellStyle name="20% - Accent1 2 11" xfId="517" xr:uid="{00000000-0005-0000-0000-0000F6010000}"/>
    <cellStyle name="20% - Accent1 2 12" xfId="518" xr:uid="{00000000-0005-0000-0000-0000F7010000}"/>
    <cellStyle name="20% - Accent1 2 13" xfId="519" xr:uid="{00000000-0005-0000-0000-0000F8010000}"/>
    <cellStyle name="20% - Accent1 2 14" xfId="520" xr:uid="{00000000-0005-0000-0000-0000F9010000}"/>
    <cellStyle name="20% - Accent1 2 15" xfId="521" xr:uid="{00000000-0005-0000-0000-0000FA010000}"/>
    <cellStyle name="20% - Accent1 2 2" xfId="522" xr:uid="{00000000-0005-0000-0000-0000FB010000}"/>
    <cellStyle name="20% - Accent1 2 3" xfId="523" xr:uid="{00000000-0005-0000-0000-0000FC010000}"/>
    <cellStyle name="20% - Accent1 2 4" xfId="524" xr:uid="{00000000-0005-0000-0000-0000FD010000}"/>
    <cellStyle name="20% - Accent1 2 5" xfId="525" xr:uid="{00000000-0005-0000-0000-0000FE010000}"/>
    <cellStyle name="20% - Accent1 2 6" xfId="526" xr:uid="{00000000-0005-0000-0000-0000FF010000}"/>
    <cellStyle name="20% - Accent1 2 7" xfId="527" xr:uid="{00000000-0005-0000-0000-000000020000}"/>
    <cellStyle name="20% - Accent1 2 8" xfId="528" xr:uid="{00000000-0005-0000-0000-000001020000}"/>
    <cellStyle name="20% - Accent1 2 9" xfId="529" xr:uid="{00000000-0005-0000-0000-000002020000}"/>
    <cellStyle name="20% - Accent1 2_Display" xfId="530" xr:uid="{00000000-0005-0000-0000-000003020000}"/>
    <cellStyle name="20% - Accent1 20" xfId="4317" xr:uid="{00000000-0005-0000-0000-000004020000}"/>
    <cellStyle name="20% - Accent1 3" xfId="531" xr:uid="{00000000-0005-0000-0000-000005020000}"/>
    <cellStyle name="20% - Accent1 3 2" xfId="532" xr:uid="{00000000-0005-0000-0000-000006020000}"/>
    <cellStyle name="20% - Accent1 3 3" xfId="533" xr:uid="{00000000-0005-0000-0000-000007020000}"/>
    <cellStyle name="20% - Accent1 3 4" xfId="534" xr:uid="{00000000-0005-0000-0000-000008020000}"/>
    <cellStyle name="20% - Accent1 3 5" xfId="535" xr:uid="{00000000-0005-0000-0000-000009020000}"/>
    <cellStyle name="20% - Accent1 3 6" xfId="536" xr:uid="{00000000-0005-0000-0000-00000A020000}"/>
    <cellStyle name="20% - Accent1 3 7" xfId="537" xr:uid="{00000000-0005-0000-0000-00000B020000}"/>
    <cellStyle name="20% - Accent1 3 8" xfId="538" xr:uid="{00000000-0005-0000-0000-00000C020000}"/>
    <cellStyle name="20% - Accent1 3_Display" xfId="539" xr:uid="{00000000-0005-0000-0000-00000D020000}"/>
    <cellStyle name="20% - Accent1 4" xfId="540" xr:uid="{00000000-0005-0000-0000-00000E020000}"/>
    <cellStyle name="20% - Accent1 4 2" xfId="541" xr:uid="{00000000-0005-0000-0000-00000F020000}"/>
    <cellStyle name="20% - Accent1 4_Display" xfId="542" xr:uid="{00000000-0005-0000-0000-000010020000}"/>
    <cellStyle name="20% - Accent1 5" xfId="543" xr:uid="{00000000-0005-0000-0000-000011020000}"/>
    <cellStyle name="20% - Accent1 5 2" xfId="544" xr:uid="{00000000-0005-0000-0000-000012020000}"/>
    <cellStyle name="20% - Accent1 5_Display" xfId="545" xr:uid="{00000000-0005-0000-0000-000013020000}"/>
    <cellStyle name="20% - Accent1 6" xfId="546" xr:uid="{00000000-0005-0000-0000-000014020000}"/>
    <cellStyle name="20% - Accent1 6 2" xfId="547" xr:uid="{00000000-0005-0000-0000-000015020000}"/>
    <cellStyle name="20% - Accent1 6_Display" xfId="548" xr:uid="{00000000-0005-0000-0000-000016020000}"/>
    <cellStyle name="20% - Accent1 7" xfId="549" xr:uid="{00000000-0005-0000-0000-000017020000}"/>
    <cellStyle name="20% - Accent1 8" xfId="550" xr:uid="{00000000-0005-0000-0000-000018020000}"/>
    <cellStyle name="20% - Accent1 9" xfId="551" xr:uid="{00000000-0005-0000-0000-000019020000}"/>
    <cellStyle name="20% - Accent1 9 2" xfId="552" xr:uid="{00000000-0005-0000-0000-00001A020000}"/>
    <cellStyle name="20% - Accent1 9 3" xfId="553" xr:uid="{00000000-0005-0000-0000-00001B020000}"/>
    <cellStyle name="20% - Accent1 9 4" xfId="554" xr:uid="{00000000-0005-0000-0000-00001C020000}"/>
    <cellStyle name="20% - Accent2 10" xfId="555" xr:uid="{00000000-0005-0000-0000-00001D020000}"/>
    <cellStyle name="20% - Accent2 10 2" xfId="556" xr:uid="{00000000-0005-0000-0000-00001E020000}"/>
    <cellStyle name="20% - Accent2 10 3" xfId="557" xr:uid="{00000000-0005-0000-0000-00001F020000}"/>
    <cellStyle name="20% - Accent2 11" xfId="558" xr:uid="{00000000-0005-0000-0000-000020020000}"/>
    <cellStyle name="20% - Accent2 11 2" xfId="559" xr:uid="{00000000-0005-0000-0000-000021020000}"/>
    <cellStyle name="20% - Accent2 11 3" xfId="560" xr:uid="{00000000-0005-0000-0000-000022020000}"/>
    <cellStyle name="20% - Accent2 12" xfId="561" xr:uid="{00000000-0005-0000-0000-000023020000}"/>
    <cellStyle name="20% - Accent2 12 2" xfId="562" xr:uid="{00000000-0005-0000-0000-000024020000}"/>
    <cellStyle name="20% - Accent2 12 3" xfId="563" xr:uid="{00000000-0005-0000-0000-000025020000}"/>
    <cellStyle name="20% - Accent2 13" xfId="564" xr:uid="{00000000-0005-0000-0000-000026020000}"/>
    <cellStyle name="20% - Accent2 13 2" xfId="565" xr:uid="{00000000-0005-0000-0000-000027020000}"/>
    <cellStyle name="20% - Accent2 13 3" xfId="566" xr:uid="{00000000-0005-0000-0000-000028020000}"/>
    <cellStyle name="20% - Accent2 14" xfId="567" xr:uid="{00000000-0005-0000-0000-000029020000}"/>
    <cellStyle name="20% - Accent2 14 2" xfId="568" xr:uid="{00000000-0005-0000-0000-00002A020000}"/>
    <cellStyle name="20% - Accent2 14 3" xfId="569" xr:uid="{00000000-0005-0000-0000-00002B020000}"/>
    <cellStyle name="20% - Accent2 15" xfId="570" xr:uid="{00000000-0005-0000-0000-00002C020000}"/>
    <cellStyle name="20% - Accent2 15 2" xfId="571" xr:uid="{00000000-0005-0000-0000-00002D020000}"/>
    <cellStyle name="20% - Accent2 15 3" xfId="572" xr:uid="{00000000-0005-0000-0000-00002E020000}"/>
    <cellStyle name="20% - Accent2 16" xfId="573" xr:uid="{00000000-0005-0000-0000-00002F020000}"/>
    <cellStyle name="20% - Accent2 17" xfId="574" xr:uid="{00000000-0005-0000-0000-000030020000}"/>
    <cellStyle name="20% - Accent2 18" xfId="575" xr:uid="{00000000-0005-0000-0000-000031020000}"/>
    <cellStyle name="20% - Accent2 19" xfId="576" xr:uid="{00000000-0005-0000-0000-000032020000}"/>
    <cellStyle name="20% - Accent2 2" xfId="577" xr:uid="{00000000-0005-0000-0000-000033020000}"/>
    <cellStyle name="20% - Accent2 2 10" xfId="578" xr:uid="{00000000-0005-0000-0000-000034020000}"/>
    <cellStyle name="20% - Accent2 2 11" xfId="579" xr:uid="{00000000-0005-0000-0000-000035020000}"/>
    <cellStyle name="20% - Accent2 2 12" xfId="580" xr:uid="{00000000-0005-0000-0000-000036020000}"/>
    <cellStyle name="20% - Accent2 2 13" xfId="581" xr:uid="{00000000-0005-0000-0000-000037020000}"/>
    <cellStyle name="20% - Accent2 2 14" xfId="582" xr:uid="{00000000-0005-0000-0000-000038020000}"/>
    <cellStyle name="20% - Accent2 2 15" xfId="583" xr:uid="{00000000-0005-0000-0000-000039020000}"/>
    <cellStyle name="20% - Accent2 2 2" xfId="584" xr:uid="{00000000-0005-0000-0000-00003A020000}"/>
    <cellStyle name="20% - Accent2 2 3" xfId="585" xr:uid="{00000000-0005-0000-0000-00003B020000}"/>
    <cellStyle name="20% - Accent2 2 4" xfId="586" xr:uid="{00000000-0005-0000-0000-00003C020000}"/>
    <cellStyle name="20% - Accent2 2 5" xfId="587" xr:uid="{00000000-0005-0000-0000-00003D020000}"/>
    <cellStyle name="20% - Accent2 2 6" xfId="588" xr:uid="{00000000-0005-0000-0000-00003E020000}"/>
    <cellStyle name="20% - Accent2 2 7" xfId="589" xr:uid="{00000000-0005-0000-0000-00003F020000}"/>
    <cellStyle name="20% - Accent2 2 8" xfId="590" xr:uid="{00000000-0005-0000-0000-000040020000}"/>
    <cellStyle name="20% - Accent2 2 9" xfId="591" xr:uid="{00000000-0005-0000-0000-000041020000}"/>
    <cellStyle name="20% - Accent2 2_Display" xfId="592" xr:uid="{00000000-0005-0000-0000-000042020000}"/>
    <cellStyle name="20% - Accent2 20" xfId="4318" xr:uid="{00000000-0005-0000-0000-000043020000}"/>
    <cellStyle name="20% - Accent2 3" xfId="593" xr:uid="{00000000-0005-0000-0000-000044020000}"/>
    <cellStyle name="20% - Accent2 3 2" xfId="594" xr:uid="{00000000-0005-0000-0000-000045020000}"/>
    <cellStyle name="20% - Accent2 3 3" xfId="595" xr:uid="{00000000-0005-0000-0000-000046020000}"/>
    <cellStyle name="20% - Accent2 3 4" xfId="596" xr:uid="{00000000-0005-0000-0000-000047020000}"/>
    <cellStyle name="20% - Accent2 3 5" xfId="597" xr:uid="{00000000-0005-0000-0000-000048020000}"/>
    <cellStyle name="20% - Accent2 3 5 2" xfId="598" xr:uid="{00000000-0005-0000-0000-000049020000}"/>
    <cellStyle name="20% - Accent2 3 6" xfId="599" xr:uid="{00000000-0005-0000-0000-00004A020000}"/>
    <cellStyle name="20% - Accent2 3 7" xfId="600" xr:uid="{00000000-0005-0000-0000-00004B020000}"/>
    <cellStyle name="20% - Accent2 3 8" xfId="601" xr:uid="{00000000-0005-0000-0000-00004C020000}"/>
    <cellStyle name="20% - Accent2 3 9" xfId="602" xr:uid="{00000000-0005-0000-0000-00004D020000}"/>
    <cellStyle name="20% - Accent2 3_Display" xfId="603" xr:uid="{00000000-0005-0000-0000-00004E020000}"/>
    <cellStyle name="20% - Accent2 4" xfId="604" xr:uid="{00000000-0005-0000-0000-00004F020000}"/>
    <cellStyle name="20% - Accent2 4 2" xfId="605" xr:uid="{00000000-0005-0000-0000-000050020000}"/>
    <cellStyle name="20% - Accent2 4_Display" xfId="606" xr:uid="{00000000-0005-0000-0000-000051020000}"/>
    <cellStyle name="20% - Accent2 5" xfId="607" xr:uid="{00000000-0005-0000-0000-000052020000}"/>
    <cellStyle name="20% - Accent2 5 2" xfId="608" xr:uid="{00000000-0005-0000-0000-000053020000}"/>
    <cellStyle name="20% - Accent2 5_Display" xfId="609" xr:uid="{00000000-0005-0000-0000-000054020000}"/>
    <cellStyle name="20% - Accent2 6" xfId="610" xr:uid="{00000000-0005-0000-0000-000055020000}"/>
    <cellStyle name="20% - Accent2 6 2" xfId="611" xr:uid="{00000000-0005-0000-0000-000056020000}"/>
    <cellStyle name="20% - Accent2 6_Display" xfId="612" xr:uid="{00000000-0005-0000-0000-000057020000}"/>
    <cellStyle name="20% - Accent2 7" xfId="613" xr:uid="{00000000-0005-0000-0000-000058020000}"/>
    <cellStyle name="20% - Accent2 8" xfId="614" xr:uid="{00000000-0005-0000-0000-000059020000}"/>
    <cellStyle name="20% - Accent2 9" xfId="615" xr:uid="{00000000-0005-0000-0000-00005A020000}"/>
    <cellStyle name="20% - Accent2 9 2" xfId="616" xr:uid="{00000000-0005-0000-0000-00005B020000}"/>
    <cellStyle name="20% - Accent2 9 2 2" xfId="617" xr:uid="{00000000-0005-0000-0000-00005C020000}"/>
    <cellStyle name="20% - Accent2 9 3" xfId="618" xr:uid="{00000000-0005-0000-0000-00005D020000}"/>
    <cellStyle name="20% - Accent2 9 4" xfId="619" xr:uid="{00000000-0005-0000-0000-00005E020000}"/>
    <cellStyle name="20% - Accent2 9 5" xfId="620" xr:uid="{00000000-0005-0000-0000-00005F020000}"/>
    <cellStyle name="20% - Accent3 10" xfId="621" xr:uid="{00000000-0005-0000-0000-000060020000}"/>
    <cellStyle name="20% - Accent3 10 2" xfId="622" xr:uid="{00000000-0005-0000-0000-000061020000}"/>
    <cellStyle name="20% - Accent3 10 3" xfId="623" xr:uid="{00000000-0005-0000-0000-000062020000}"/>
    <cellStyle name="20% - Accent3 11" xfId="624" xr:uid="{00000000-0005-0000-0000-000063020000}"/>
    <cellStyle name="20% - Accent3 11 2" xfId="625" xr:uid="{00000000-0005-0000-0000-000064020000}"/>
    <cellStyle name="20% - Accent3 11 3" xfId="626" xr:uid="{00000000-0005-0000-0000-000065020000}"/>
    <cellStyle name="20% - Accent3 12" xfId="627" xr:uid="{00000000-0005-0000-0000-000066020000}"/>
    <cellStyle name="20% - Accent3 12 2" xfId="628" xr:uid="{00000000-0005-0000-0000-000067020000}"/>
    <cellStyle name="20% - Accent3 12 3" xfId="629" xr:uid="{00000000-0005-0000-0000-000068020000}"/>
    <cellStyle name="20% - Accent3 13" xfId="630" xr:uid="{00000000-0005-0000-0000-000069020000}"/>
    <cellStyle name="20% - Accent3 13 2" xfId="631" xr:uid="{00000000-0005-0000-0000-00006A020000}"/>
    <cellStyle name="20% - Accent3 13 3" xfId="632" xr:uid="{00000000-0005-0000-0000-00006B020000}"/>
    <cellStyle name="20% - Accent3 14" xfId="633" xr:uid="{00000000-0005-0000-0000-00006C020000}"/>
    <cellStyle name="20% - Accent3 14 2" xfId="634" xr:uid="{00000000-0005-0000-0000-00006D020000}"/>
    <cellStyle name="20% - Accent3 14 3" xfId="635" xr:uid="{00000000-0005-0000-0000-00006E020000}"/>
    <cellStyle name="20% - Accent3 15" xfId="636" xr:uid="{00000000-0005-0000-0000-00006F020000}"/>
    <cellStyle name="20% - Accent3 15 2" xfId="637" xr:uid="{00000000-0005-0000-0000-000070020000}"/>
    <cellStyle name="20% - Accent3 15 3" xfId="638" xr:uid="{00000000-0005-0000-0000-000071020000}"/>
    <cellStyle name="20% - Accent3 16" xfId="639" xr:uid="{00000000-0005-0000-0000-000072020000}"/>
    <cellStyle name="20% - Accent3 17" xfId="640" xr:uid="{00000000-0005-0000-0000-000073020000}"/>
    <cellStyle name="20% - Accent3 18" xfId="641" xr:uid="{00000000-0005-0000-0000-000074020000}"/>
    <cellStyle name="20% - Accent3 19" xfId="642" xr:uid="{00000000-0005-0000-0000-000075020000}"/>
    <cellStyle name="20% - Accent3 2" xfId="643" xr:uid="{00000000-0005-0000-0000-000076020000}"/>
    <cellStyle name="20% - Accent3 2 10" xfId="644" xr:uid="{00000000-0005-0000-0000-000077020000}"/>
    <cellStyle name="20% - Accent3 2 11" xfId="645" xr:uid="{00000000-0005-0000-0000-000078020000}"/>
    <cellStyle name="20% - Accent3 2 12" xfId="646" xr:uid="{00000000-0005-0000-0000-000079020000}"/>
    <cellStyle name="20% - Accent3 2 13" xfId="647" xr:uid="{00000000-0005-0000-0000-00007A020000}"/>
    <cellStyle name="20% - Accent3 2 14" xfId="648" xr:uid="{00000000-0005-0000-0000-00007B020000}"/>
    <cellStyle name="20% - Accent3 2 15" xfId="649" xr:uid="{00000000-0005-0000-0000-00007C020000}"/>
    <cellStyle name="20% - Accent3 2 2" xfId="650" xr:uid="{00000000-0005-0000-0000-00007D020000}"/>
    <cellStyle name="20% - Accent3 2 3" xfId="651" xr:uid="{00000000-0005-0000-0000-00007E020000}"/>
    <cellStyle name="20% - Accent3 2 4" xfId="652" xr:uid="{00000000-0005-0000-0000-00007F020000}"/>
    <cellStyle name="20% - Accent3 2 5" xfId="653" xr:uid="{00000000-0005-0000-0000-000080020000}"/>
    <cellStyle name="20% - Accent3 2 6" xfId="654" xr:uid="{00000000-0005-0000-0000-000081020000}"/>
    <cellStyle name="20% - Accent3 2 7" xfId="655" xr:uid="{00000000-0005-0000-0000-000082020000}"/>
    <cellStyle name="20% - Accent3 2 8" xfId="656" xr:uid="{00000000-0005-0000-0000-000083020000}"/>
    <cellStyle name="20% - Accent3 2 9" xfId="657" xr:uid="{00000000-0005-0000-0000-000084020000}"/>
    <cellStyle name="20% - Accent3 2_Display" xfId="658" xr:uid="{00000000-0005-0000-0000-000085020000}"/>
    <cellStyle name="20% - Accent3 20" xfId="4319" xr:uid="{00000000-0005-0000-0000-000086020000}"/>
    <cellStyle name="20% - Accent3 3" xfId="659" xr:uid="{00000000-0005-0000-0000-000087020000}"/>
    <cellStyle name="20% - Accent3 3 2" xfId="660" xr:uid="{00000000-0005-0000-0000-000088020000}"/>
    <cellStyle name="20% - Accent3 3 3" xfId="661" xr:uid="{00000000-0005-0000-0000-000089020000}"/>
    <cellStyle name="20% - Accent3 3 4" xfId="662" xr:uid="{00000000-0005-0000-0000-00008A020000}"/>
    <cellStyle name="20% - Accent3 3 5" xfId="663" xr:uid="{00000000-0005-0000-0000-00008B020000}"/>
    <cellStyle name="20% - Accent3 3 5 2" xfId="664" xr:uid="{00000000-0005-0000-0000-00008C020000}"/>
    <cellStyle name="20% - Accent3 3 6" xfId="665" xr:uid="{00000000-0005-0000-0000-00008D020000}"/>
    <cellStyle name="20% - Accent3 3 7" xfId="666" xr:uid="{00000000-0005-0000-0000-00008E020000}"/>
    <cellStyle name="20% - Accent3 3 8" xfId="667" xr:uid="{00000000-0005-0000-0000-00008F020000}"/>
    <cellStyle name="20% - Accent3 3 9" xfId="668" xr:uid="{00000000-0005-0000-0000-000090020000}"/>
    <cellStyle name="20% - Accent3 3_Display" xfId="669" xr:uid="{00000000-0005-0000-0000-000091020000}"/>
    <cellStyle name="20% - Accent3 4" xfId="670" xr:uid="{00000000-0005-0000-0000-000092020000}"/>
    <cellStyle name="20% - Accent3 4 2" xfId="671" xr:uid="{00000000-0005-0000-0000-000093020000}"/>
    <cellStyle name="20% - Accent3 4_Display" xfId="672" xr:uid="{00000000-0005-0000-0000-000094020000}"/>
    <cellStyle name="20% - Accent3 5" xfId="673" xr:uid="{00000000-0005-0000-0000-000095020000}"/>
    <cellStyle name="20% - Accent3 5 2" xfId="674" xr:uid="{00000000-0005-0000-0000-000096020000}"/>
    <cellStyle name="20% - Accent3 5_Display" xfId="675" xr:uid="{00000000-0005-0000-0000-000097020000}"/>
    <cellStyle name="20% - Accent3 6" xfId="676" xr:uid="{00000000-0005-0000-0000-000098020000}"/>
    <cellStyle name="20% - Accent3 6 2" xfId="677" xr:uid="{00000000-0005-0000-0000-000099020000}"/>
    <cellStyle name="20% - Accent3 6_Display" xfId="678" xr:uid="{00000000-0005-0000-0000-00009A020000}"/>
    <cellStyle name="20% - Accent3 7" xfId="679" xr:uid="{00000000-0005-0000-0000-00009B020000}"/>
    <cellStyle name="20% - Accent3 8" xfId="680" xr:uid="{00000000-0005-0000-0000-00009C020000}"/>
    <cellStyle name="20% - Accent3 9" xfId="681" xr:uid="{00000000-0005-0000-0000-00009D020000}"/>
    <cellStyle name="20% - Accent3 9 2" xfId="682" xr:uid="{00000000-0005-0000-0000-00009E020000}"/>
    <cellStyle name="20% - Accent3 9 2 2" xfId="683" xr:uid="{00000000-0005-0000-0000-00009F020000}"/>
    <cellStyle name="20% - Accent3 9 3" xfId="684" xr:uid="{00000000-0005-0000-0000-0000A0020000}"/>
    <cellStyle name="20% - Accent3 9 4" xfId="685" xr:uid="{00000000-0005-0000-0000-0000A1020000}"/>
    <cellStyle name="20% - Accent3 9 5" xfId="686" xr:uid="{00000000-0005-0000-0000-0000A2020000}"/>
    <cellStyle name="20% - Accent4 10" xfId="687" xr:uid="{00000000-0005-0000-0000-0000A3020000}"/>
    <cellStyle name="20% - Accent4 10 2" xfId="688" xr:uid="{00000000-0005-0000-0000-0000A4020000}"/>
    <cellStyle name="20% - Accent4 10 3" xfId="689" xr:uid="{00000000-0005-0000-0000-0000A5020000}"/>
    <cellStyle name="20% - Accent4 11" xfId="690" xr:uid="{00000000-0005-0000-0000-0000A6020000}"/>
    <cellStyle name="20% - Accent4 11 2" xfId="691" xr:uid="{00000000-0005-0000-0000-0000A7020000}"/>
    <cellStyle name="20% - Accent4 11 3" xfId="692" xr:uid="{00000000-0005-0000-0000-0000A8020000}"/>
    <cellStyle name="20% - Accent4 12" xfId="693" xr:uid="{00000000-0005-0000-0000-0000A9020000}"/>
    <cellStyle name="20% - Accent4 12 2" xfId="694" xr:uid="{00000000-0005-0000-0000-0000AA020000}"/>
    <cellStyle name="20% - Accent4 12 3" xfId="695" xr:uid="{00000000-0005-0000-0000-0000AB020000}"/>
    <cellStyle name="20% - Accent4 13" xfId="696" xr:uid="{00000000-0005-0000-0000-0000AC020000}"/>
    <cellStyle name="20% - Accent4 13 2" xfId="697" xr:uid="{00000000-0005-0000-0000-0000AD020000}"/>
    <cellStyle name="20% - Accent4 13 3" xfId="698" xr:uid="{00000000-0005-0000-0000-0000AE020000}"/>
    <cellStyle name="20% - Accent4 14" xfId="699" xr:uid="{00000000-0005-0000-0000-0000AF020000}"/>
    <cellStyle name="20% - Accent4 14 2" xfId="700" xr:uid="{00000000-0005-0000-0000-0000B0020000}"/>
    <cellStyle name="20% - Accent4 14 3" xfId="701" xr:uid="{00000000-0005-0000-0000-0000B1020000}"/>
    <cellStyle name="20% - Accent4 15" xfId="702" xr:uid="{00000000-0005-0000-0000-0000B2020000}"/>
    <cellStyle name="20% - Accent4 15 2" xfId="703" xr:uid="{00000000-0005-0000-0000-0000B3020000}"/>
    <cellStyle name="20% - Accent4 15 3" xfId="704" xr:uid="{00000000-0005-0000-0000-0000B4020000}"/>
    <cellStyle name="20% - Accent4 16" xfId="705" xr:uid="{00000000-0005-0000-0000-0000B5020000}"/>
    <cellStyle name="20% - Accent4 17" xfId="706" xr:uid="{00000000-0005-0000-0000-0000B6020000}"/>
    <cellStyle name="20% - Accent4 18" xfId="707" xr:uid="{00000000-0005-0000-0000-0000B7020000}"/>
    <cellStyle name="20% - Accent4 19" xfId="708" xr:uid="{00000000-0005-0000-0000-0000B8020000}"/>
    <cellStyle name="20% - Accent4 2" xfId="709" xr:uid="{00000000-0005-0000-0000-0000B9020000}"/>
    <cellStyle name="20% - Accent4 2 10" xfId="710" xr:uid="{00000000-0005-0000-0000-0000BA020000}"/>
    <cellStyle name="20% - Accent4 2 11" xfId="711" xr:uid="{00000000-0005-0000-0000-0000BB020000}"/>
    <cellStyle name="20% - Accent4 2 12" xfId="712" xr:uid="{00000000-0005-0000-0000-0000BC020000}"/>
    <cellStyle name="20% - Accent4 2 13" xfId="713" xr:uid="{00000000-0005-0000-0000-0000BD020000}"/>
    <cellStyle name="20% - Accent4 2 14" xfId="714" xr:uid="{00000000-0005-0000-0000-0000BE020000}"/>
    <cellStyle name="20% - Accent4 2 15" xfId="715" xr:uid="{00000000-0005-0000-0000-0000BF020000}"/>
    <cellStyle name="20% - Accent4 2 2" xfId="716" xr:uid="{00000000-0005-0000-0000-0000C0020000}"/>
    <cellStyle name="20% - Accent4 2 3" xfId="717" xr:uid="{00000000-0005-0000-0000-0000C1020000}"/>
    <cellStyle name="20% - Accent4 2 4" xfId="718" xr:uid="{00000000-0005-0000-0000-0000C2020000}"/>
    <cellStyle name="20% - Accent4 2 5" xfId="719" xr:uid="{00000000-0005-0000-0000-0000C3020000}"/>
    <cellStyle name="20% - Accent4 2 6" xfId="720" xr:uid="{00000000-0005-0000-0000-0000C4020000}"/>
    <cellStyle name="20% - Accent4 2 7" xfId="721" xr:uid="{00000000-0005-0000-0000-0000C5020000}"/>
    <cellStyle name="20% - Accent4 2 8" xfId="722" xr:uid="{00000000-0005-0000-0000-0000C6020000}"/>
    <cellStyle name="20% - Accent4 2 9" xfId="723" xr:uid="{00000000-0005-0000-0000-0000C7020000}"/>
    <cellStyle name="20% - Accent4 2_Display" xfId="724" xr:uid="{00000000-0005-0000-0000-0000C8020000}"/>
    <cellStyle name="20% - Accent4 20" xfId="4320" xr:uid="{00000000-0005-0000-0000-0000C9020000}"/>
    <cellStyle name="20% - Accent4 3" xfId="725" xr:uid="{00000000-0005-0000-0000-0000CA020000}"/>
    <cellStyle name="20% - Accent4 3 2" xfId="726" xr:uid="{00000000-0005-0000-0000-0000CB020000}"/>
    <cellStyle name="20% - Accent4 3 3" xfId="727" xr:uid="{00000000-0005-0000-0000-0000CC020000}"/>
    <cellStyle name="20% - Accent4 3 4" xfId="728" xr:uid="{00000000-0005-0000-0000-0000CD020000}"/>
    <cellStyle name="20% - Accent4 3 5" xfId="729" xr:uid="{00000000-0005-0000-0000-0000CE020000}"/>
    <cellStyle name="20% - Accent4 3 5 2" xfId="730" xr:uid="{00000000-0005-0000-0000-0000CF020000}"/>
    <cellStyle name="20% - Accent4 3 6" xfId="731" xr:uid="{00000000-0005-0000-0000-0000D0020000}"/>
    <cellStyle name="20% - Accent4 3 7" xfId="732" xr:uid="{00000000-0005-0000-0000-0000D1020000}"/>
    <cellStyle name="20% - Accent4 3 8" xfId="733" xr:uid="{00000000-0005-0000-0000-0000D2020000}"/>
    <cellStyle name="20% - Accent4 3 9" xfId="734" xr:uid="{00000000-0005-0000-0000-0000D3020000}"/>
    <cellStyle name="20% - Accent4 3_Display" xfId="735" xr:uid="{00000000-0005-0000-0000-0000D4020000}"/>
    <cellStyle name="20% - Accent4 4" xfId="736" xr:uid="{00000000-0005-0000-0000-0000D5020000}"/>
    <cellStyle name="20% - Accent4 4 2" xfId="737" xr:uid="{00000000-0005-0000-0000-0000D6020000}"/>
    <cellStyle name="20% - Accent4 4_Display" xfId="738" xr:uid="{00000000-0005-0000-0000-0000D7020000}"/>
    <cellStyle name="20% - Accent4 5" xfId="739" xr:uid="{00000000-0005-0000-0000-0000D8020000}"/>
    <cellStyle name="20% - Accent4 5 2" xfId="740" xr:uid="{00000000-0005-0000-0000-0000D9020000}"/>
    <cellStyle name="20% - Accent4 5_Display" xfId="741" xr:uid="{00000000-0005-0000-0000-0000DA020000}"/>
    <cellStyle name="20% - Accent4 6" xfId="742" xr:uid="{00000000-0005-0000-0000-0000DB020000}"/>
    <cellStyle name="20% - Accent4 6 2" xfId="743" xr:uid="{00000000-0005-0000-0000-0000DC020000}"/>
    <cellStyle name="20% - Accent4 6_Display" xfId="744" xr:uid="{00000000-0005-0000-0000-0000DD020000}"/>
    <cellStyle name="20% - Accent4 7" xfId="745" xr:uid="{00000000-0005-0000-0000-0000DE020000}"/>
    <cellStyle name="20% - Accent4 8" xfId="746" xr:uid="{00000000-0005-0000-0000-0000DF020000}"/>
    <cellStyle name="20% - Accent4 9" xfId="747" xr:uid="{00000000-0005-0000-0000-0000E0020000}"/>
    <cellStyle name="20% - Accent4 9 2" xfId="748" xr:uid="{00000000-0005-0000-0000-0000E1020000}"/>
    <cellStyle name="20% - Accent4 9 2 2" xfId="749" xr:uid="{00000000-0005-0000-0000-0000E2020000}"/>
    <cellStyle name="20% - Accent4 9 3" xfId="750" xr:uid="{00000000-0005-0000-0000-0000E3020000}"/>
    <cellStyle name="20% - Accent4 9 4" xfId="751" xr:uid="{00000000-0005-0000-0000-0000E4020000}"/>
    <cellStyle name="20% - Accent4 9 5" xfId="752" xr:uid="{00000000-0005-0000-0000-0000E5020000}"/>
    <cellStyle name="20% - Accent5 10" xfId="753" xr:uid="{00000000-0005-0000-0000-0000E6020000}"/>
    <cellStyle name="20% - Accent5 10 2" xfId="754" xr:uid="{00000000-0005-0000-0000-0000E7020000}"/>
    <cellStyle name="20% - Accent5 10 3" xfId="755" xr:uid="{00000000-0005-0000-0000-0000E8020000}"/>
    <cellStyle name="20% - Accent5 11" xfId="756" xr:uid="{00000000-0005-0000-0000-0000E9020000}"/>
    <cellStyle name="20% - Accent5 11 2" xfId="757" xr:uid="{00000000-0005-0000-0000-0000EA020000}"/>
    <cellStyle name="20% - Accent5 11 3" xfId="758" xr:uid="{00000000-0005-0000-0000-0000EB020000}"/>
    <cellStyle name="20% - Accent5 12" xfId="759" xr:uid="{00000000-0005-0000-0000-0000EC020000}"/>
    <cellStyle name="20% - Accent5 12 2" xfId="760" xr:uid="{00000000-0005-0000-0000-0000ED020000}"/>
    <cellStyle name="20% - Accent5 12 3" xfId="761" xr:uid="{00000000-0005-0000-0000-0000EE020000}"/>
    <cellStyle name="20% - Accent5 13" xfId="762" xr:uid="{00000000-0005-0000-0000-0000EF020000}"/>
    <cellStyle name="20% - Accent5 13 2" xfId="763" xr:uid="{00000000-0005-0000-0000-0000F0020000}"/>
    <cellStyle name="20% - Accent5 13 3" xfId="764" xr:uid="{00000000-0005-0000-0000-0000F1020000}"/>
    <cellStyle name="20% - Accent5 14" xfId="765" xr:uid="{00000000-0005-0000-0000-0000F2020000}"/>
    <cellStyle name="20% - Accent5 14 2" xfId="766" xr:uid="{00000000-0005-0000-0000-0000F3020000}"/>
    <cellStyle name="20% - Accent5 14 3" xfId="767" xr:uid="{00000000-0005-0000-0000-0000F4020000}"/>
    <cellStyle name="20% - Accent5 15" xfId="768" xr:uid="{00000000-0005-0000-0000-0000F5020000}"/>
    <cellStyle name="20% - Accent5 15 2" xfId="769" xr:uid="{00000000-0005-0000-0000-0000F6020000}"/>
    <cellStyle name="20% - Accent5 15 3" xfId="770" xr:uid="{00000000-0005-0000-0000-0000F7020000}"/>
    <cellStyle name="20% - Accent5 16" xfId="771" xr:uid="{00000000-0005-0000-0000-0000F8020000}"/>
    <cellStyle name="20% - Accent5 17" xfId="772" xr:uid="{00000000-0005-0000-0000-0000F9020000}"/>
    <cellStyle name="20% - Accent5 18" xfId="773" xr:uid="{00000000-0005-0000-0000-0000FA020000}"/>
    <cellStyle name="20% - Accent5 19" xfId="774" xr:uid="{00000000-0005-0000-0000-0000FB020000}"/>
    <cellStyle name="20% - Accent5 2" xfId="775" xr:uid="{00000000-0005-0000-0000-0000FC020000}"/>
    <cellStyle name="20% - Accent5 2 10" xfId="776" xr:uid="{00000000-0005-0000-0000-0000FD020000}"/>
    <cellStyle name="20% - Accent5 2 11" xfId="777" xr:uid="{00000000-0005-0000-0000-0000FE020000}"/>
    <cellStyle name="20% - Accent5 2 12" xfId="778" xr:uid="{00000000-0005-0000-0000-0000FF020000}"/>
    <cellStyle name="20% - Accent5 2 13" xfId="779" xr:uid="{00000000-0005-0000-0000-000000030000}"/>
    <cellStyle name="20% - Accent5 2 14" xfId="780" xr:uid="{00000000-0005-0000-0000-000001030000}"/>
    <cellStyle name="20% - Accent5 2 15" xfId="781" xr:uid="{00000000-0005-0000-0000-000002030000}"/>
    <cellStyle name="20% - Accent5 2 2" xfId="782" xr:uid="{00000000-0005-0000-0000-000003030000}"/>
    <cellStyle name="20% - Accent5 2 3" xfId="783" xr:uid="{00000000-0005-0000-0000-000004030000}"/>
    <cellStyle name="20% - Accent5 2 4" xfId="784" xr:uid="{00000000-0005-0000-0000-000005030000}"/>
    <cellStyle name="20% - Accent5 2 5" xfId="785" xr:uid="{00000000-0005-0000-0000-000006030000}"/>
    <cellStyle name="20% - Accent5 2 6" xfId="786" xr:uid="{00000000-0005-0000-0000-000007030000}"/>
    <cellStyle name="20% - Accent5 2 7" xfId="787" xr:uid="{00000000-0005-0000-0000-000008030000}"/>
    <cellStyle name="20% - Accent5 2 8" xfId="788" xr:uid="{00000000-0005-0000-0000-000009030000}"/>
    <cellStyle name="20% - Accent5 2 9" xfId="789" xr:uid="{00000000-0005-0000-0000-00000A030000}"/>
    <cellStyle name="20% - Accent5 2_Display" xfId="790" xr:uid="{00000000-0005-0000-0000-00000B030000}"/>
    <cellStyle name="20% - Accent5 20" xfId="4321" xr:uid="{00000000-0005-0000-0000-00000C030000}"/>
    <cellStyle name="20% - Accent5 3" xfId="791" xr:uid="{00000000-0005-0000-0000-00000D030000}"/>
    <cellStyle name="20% - Accent5 3 2" xfId="792" xr:uid="{00000000-0005-0000-0000-00000E030000}"/>
    <cellStyle name="20% - Accent5 3 3" xfId="793" xr:uid="{00000000-0005-0000-0000-00000F030000}"/>
    <cellStyle name="20% - Accent5 3 4" xfId="794" xr:uid="{00000000-0005-0000-0000-000010030000}"/>
    <cellStyle name="20% - Accent5 3 5" xfId="795" xr:uid="{00000000-0005-0000-0000-000011030000}"/>
    <cellStyle name="20% - Accent5 3 6" xfId="796" xr:uid="{00000000-0005-0000-0000-000012030000}"/>
    <cellStyle name="20% - Accent5 3 7" xfId="797" xr:uid="{00000000-0005-0000-0000-000013030000}"/>
    <cellStyle name="20% - Accent5 3 8" xfId="798" xr:uid="{00000000-0005-0000-0000-000014030000}"/>
    <cellStyle name="20% - Accent5 3_Display" xfId="799" xr:uid="{00000000-0005-0000-0000-000015030000}"/>
    <cellStyle name="20% - Accent5 4" xfId="800" xr:uid="{00000000-0005-0000-0000-000016030000}"/>
    <cellStyle name="20% - Accent5 4 2" xfId="801" xr:uid="{00000000-0005-0000-0000-000017030000}"/>
    <cellStyle name="20% - Accent5 4_Display" xfId="802" xr:uid="{00000000-0005-0000-0000-000018030000}"/>
    <cellStyle name="20% - Accent5 5" xfId="803" xr:uid="{00000000-0005-0000-0000-000019030000}"/>
    <cellStyle name="20% - Accent5 5 2" xfId="804" xr:uid="{00000000-0005-0000-0000-00001A030000}"/>
    <cellStyle name="20% - Accent5 5_Display" xfId="805" xr:uid="{00000000-0005-0000-0000-00001B030000}"/>
    <cellStyle name="20% - Accent5 6" xfId="806" xr:uid="{00000000-0005-0000-0000-00001C030000}"/>
    <cellStyle name="20% - Accent5 6 2" xfId="807" xr:uid="{00000000-0005-0000-0000-00001D030000}"/>
    <cellStyle name="20% - Accent5 6_Display" xfId="808" xr:uid="{00000000-0005-0000-0000-00001E030000}"/>
    <cellStyle name="20% - Accent5 7" xfId="809" xr:uid="{00000000-0005-0000-0000-00001F030000}"/>
    <cellStyle name="20% - Accent5 8" xfId="810" xr:uid="{00000000-0005-0000-0000-000020030000}"/>
    <cellStyle name="20% - Accent5 9" xfId="811" xr:uid="{00000000-0005-0000-0000-000021030000}"/>
    <cellStyle name="20% - Accent5 9 2" xfId="812" xr:uid="{00000000-0005-0000-0000-000022030000}"/>
    <cellStyle name="20% - Accent5 9 3" xfId="813" xr:uid="{00000000-0005-0000-0000-000023030000}"/>
    <cellStyle name="20% - Accent5 9 4" xfId="814" xr:uid="{00000000-0005-0000-0000-000024030000}"/>
    <cellStyle name="20% - Accent6 10" xfId="815" xr:uid="{00000000-0005-0000-0000-000025030000}"/>
    <cellStyle name="20% - Accent6 10 2" xfId="816" xr:uid="{00000000-0005-0000-0000-000026030000}"/>
    <cellStyle name="20% - Accent6 10 3" xfId="817" xr:uid="{00000000-0005-0000-0000-000027030000}"/>
    <cellStyle name="20% - Accent6 11" xfId="818" xr:uid="{00000000-0005-0000-0000-000028030000}"/>
    <cellStyle name="20% - Accent6 11 2" xfId="819" xr:uid="{00000000-0005-0000-0000-000029030000}"/>
    <cellStyle name="20% - Accent6 11 3" xfId="820" xr:uid="{00000000-0005-0000-0000-00002A030000}"/>
    <cellStyle name="20% - Accent6 12" xfId="821" xr:uid="{00000000-0005-0000-0000-00002B030000}"/>
    <cellStyle name="20% - Accent6 12 2" xfId="822" xr:uid="{00000000-0005-0000-0000-00002C030000}"/>
    <cellStyle name="20% - Accent6 12 3" xfId="823" xr:uid="{00000000-0005-0000-0000-00002D030000}"/>
    <cellStyle name="20% - Accent6 13" xfId="824" xr:uid="{00000000-0005-0000-0000-00002E030000}"/>
    <cellStyle name="20% - Accent6 13 2" xfId="825" xr:uid="{00000000-0005-0000-0000-00002F030000}"/>
    <cellStyle name="20% - Accent6 13 3" xfId="826" xr:uid="{00000000-0005-0000-0000-000030030000}"/>
    <cellStyle name="20% - Accent6 14" xfId="827" xr:uid="{00000000-0005-0000-0000-000031030000}"/>
    <cellStyle name="20% - Accent6 14 2" xfId="828" xr:uid="{00000000-0005-0000-0000-000032030000}"/>
    <cellStyle name="20% - Accent6 14 3" xfId="829" xr:uid="{00000000-0005-0000-0000-000033030000}"/>
    <cellStyle name="20% - Accent6 15" xfId="830" xr:uid="{00000000-0005-0000-0000-000034030000}"/>
    <cellStyle name="20% - Accent6 15 2" xfId="831" xr:uid="{00000000-0005-0000-0000-000035030000}"/>
    <cellStyle name="20% - Accent6 15 3" xfId="832" xr:uid="{00000000-0005-0000-0000-000036030000}"/>
    <cellStyle name="20% - Accent6 16" xfId="833" xr:uid="{00000000-0005-0000-0000-000037030000}"/>
    <cellStyle name="20% - Accent6 17" xfId="834" xr:uid="{00000000-0005-0000-0000-000038030000}"/>
    <cellStyle name="20% - Accent6 18" xfId="835" xr:uid="{00000000-0005-0000-0000-000039030000}"/>
    <cellStyle name="20% - Accent6 19" xfId="836" xr:uid="{00000000-0005-0000-0000-00003A030000}"/>
    <cellStyle name="20% - Accent6 2" xfId="837" xr:uid="{00000000-0005-0000-0000-00003B030000}"/>
    <cellStyle name="20% - Accent6 2 10" xfId="838" xr:uid="{00000000-0005-0000-0000-00003C030000}"/>
    <cellStyle name="20% - Accent6 2 11" xfId="839" xr:uid="{00000000-0005-0000-0000-00003D030000}"/>
    <cellStyle name="20% - Accent6 2 12" xfId="840" xr:uid="{00000000-0005-0000-0000-00003E030000}"/>
    <cellStyle name="20% - Accent6 2 13" xfId="841" xr:uid="{00000000-0005-0000-0000-00003F030000}"/>
    <cellStyle name="20% - Accent6 2 14" xfId="842" xr:uid="{00000000-0005-0000-0000-000040030000}"/>
    <cellStyle name="20% - Accent6 2 15" xfId="843" xr:uid="{00000000-0005-0000-0000-000041030000}"/>
    <cellStyle name="20% - Accent6 2 2" xfId="844" xr:uid="{00000000-0005-0000-0000-000042030000}"/>
    <cellStyle name="20% - Accent6 2 3" xfId="845" xr:uid="{00000000-0005-0000-0000-000043030000}"/>
    <cellStyle name="20% - Accent6 2 4" xfId="846" xr:uid="{00000000-0005-0000-0000-000044030000}"/>
    <cellStyle name="20% - Accent6 2 5" xfId="847" xr:uid="{00000000-0005-0000-0000-000045030000}"/>
    <cellStyle name="20% - Accent6 2 6" xfId="848" xr:uid="{00000000-0005-0000-0000-000046030000}"/>
    <cellStyle name="20% - Accent6 2 7" xfId="849" xr:uid="{00000000-0005-0000-0000-000047030000}"/>
    <cellStyle name="20% - Accent6 2 8" xfId="850" xr:uid="{00000000-0005-0000-0000-000048030000}"/>
    <cellStyle name="20% - Accent6 2 9" xfId="851" xr:uid="{00000000-0005-0000-0000-000049030000}"/>
    <cellStyle name="20% - Accent6 2_Display" xfId="852" xr:uid="{00000000-0005-0000-0000-00004A030000}"/>
    <cellStyle name="20% - Accent6 20" xfId="4322" xr:uid="{00000000-0005-0000-0000-00004B030000}"/>
    <cellStyle name="20% - Accent6 3" xfId="853" xr:uid="{00000000-0005-0000-0000-00004C030000}"/>
    <cellStyle name="20% - Accent6 3 2" xfId="854" xr:uid="{00000000-0005-0000-0000-00004D030000}"/>
    <cellStyle name="20% - Accent6 3 3" xfId="855" xr:uid="{00000000-0005-0000-0000-00004E030000}"/>
    <cellStyle name="20% - Accent6 3 4" xfId="856" xr:uid="{00000000-0005-0000-0000-00004F030000}"/>
    <cellStyle name="20% - Accent6 3 5" xfId="857" xr:uid="{00000000-0005-0000-0000-000050030000}"/>
    <cellStyle name="20% - Accent6 3 5 2" xfId="858" xr:uid="{00000000-0005-0000-0000-000051030000}"/>
    <cellStyle name="20% - Accent6 3 6" xfId="859" xr:uid="{00000000-0005-0000-0000-000052030000}"/>
    <cellStyle name="20% - Accent6 3 7" xfId="860" xr:uid="{00000000-0005-0000-0000-000053030000}"/>
    <cellStyle name="20% - Accent6 3 8" xfId="861" xr:uid="{00000000-0005-0000-0000-000054030000}"/>
    <cellStyle name="20% - Accent6 3 9" xfId="862" xr:uid="{00000000-0005-0000-0000-000055030000}"/>
    <cellStyle name="20% - Accent6 3_Display" xfId="863" xr:uid="{00000000-0005-0000-0000-000056030000}"/>
    <cellStyle name="20% - Accent6 4" xfId="864" xr:uid="{00000000-0005-0000-0000-000057030000}"/>
    <cellStyle name="20% - Accent6 4 2" xfId="865" xr:uid="{00000000-0005-0000-0000-000058030000}"/>
    <cellStyle name="20% - Accent6 4_Display" xfId="866" xr:uid="{00000000-0005-0000-0000-000059030000}"/>
    <cellStyle name="20% - Accent6 5" xfId="867" xr:uid="{00000000-0005-0000-0000-00005A030000}"/>
    <cellStyle name="20% - Accent6 5 2" xfId="868" xr:uid="{00000000-0005-0000-0000-00005B030000}"/>
    <cellStyle name="20% - Accent6 5_Display" xfId="869" xr:uid="{00000000-0005-0000-0000-00005C030000}"/>
    <cellStyle name="20% - Accent6 6" xfId="870" xr:uid="{00000000-0005-0000-0000-00005D030000}"/>
    <cellStyle name="20% - Accent6 6 2" xfId="871" xr:uid="{00000000-0005-0000-0000-00005E030000}"/>
    <cellStyle name="20% - Accent6 6_Display" xfId="872" xr:uid="{00000000-0005-0000-0000-00005F030000}"/>
    <cellStyle name="20% - Accent6 7" xfId="873" xr:uid="{00000000-0005-0000-0000-000060030000}"/>
    <cellStyle name="20% - Accent6 8" xfId="874" xr:uid="{00000000-0005-0000-0000-000061030000}"/>
    <cellStyle name="20% - Accent6 9" xfId="875" xr:uid="{00000000-0005-0000-0000-000062030000}"/>
    <cellStyle name="20% - Accent6 9 2" xfId="876" xr:uid="{00000000-0005-0000-0000-000063030000}"/>
    <cellStyle name="20% - Accent6 9 2 2" xfId="877" xr:uid="{00000000-0005-0000-0000-000064030000}"/>
    <cellStyle name="20% - Accent6 9 3" xfId="878" xr:uid="{00000000-0005-0000-0000-000065030000}"/>
    <cellStyle name="20% - Accent6 9 4" xfId="879" xr:uid="{00000000-0005-0000-0000-000066030000}"/>
    <cellStyle name="20% - Accent6 9 5" xfId="880" xr:uid="{00000000-0005-0000-0000-000067030000}"/>
    <cellStyle name="20% - 强调文字颜色 1" xfId="881" xr:uid="{00000000-0005-0000-0000-000068030000}"/>
    <cellStyle name="20% - 强调文字颜色 2" xfId="882" xr:uid="{00000000-0005-0000-0000-000069030000}"/>
    <cellStyle name="20% - 强调文字颜色 3" xfId="883" xr:uid="{00000000-0005-0000-0000-00006A030000}"/>
    <cellStyle name="20% - 强调文字颜色 4" xfId="884" xr:uid="{00000000-0005-0000-0000-00006B030000}"/>
    <cellStyle name="20% - 强调文字颜色 5" xfId="885" xr:uid="{00000000-0005-0000-0000-00006C030000}"/>
    <cellStyle name="20% - 强调文字颜色 6" xfId="886" xr:uid="{00000000-0005-0000-0000-00006D030000}"/>
    <cellStyle name="20% - 輔色1" xfId="887" xr:uid="{00000000-0005-0000-0000-00006E030000}"/>
    <cellStyle name="20% - 輔色2" xfId="888" xr:uid="{00000000-0005-0000-0000-00006F030000}"/>
    <cellStyle name="20% - 輔色3" xfId="889" xr:uid="{00000000-0005-0000-0000-000070030000}"/>
    <cellStyle name="20% - 輔色4" xfId="890" xr:uid="{00000000-0005-0000-0000-000071030000}"/>
    <cellStyle name="20% - 輔色5" xfId="891" xr:uid="{00000000-0005-0000-0000-000072030000}"/>
    <cellStyle name="20% - 輔色6" xfId="892" xr:uid="{00000000-0005-0000-0000-000073030000}"/>
    <cellStyle name="3232" xfId="893" xr:uid="{00000000-0005-0000-0000-000074030000}"/>
    <cellStyle name="³f¹ô[0]_pldt" xfId="894" xr:uid="{00000000-0005-0000-0000-000075030000}"/>
    <cellStyle name="³f¹ô_pldt" xfId="895" xr:uid="{00000000-0005-0000-0000-000076030000}"/>
    <cellStyle name="40% - Accent1 10" xfId="896" xr:uid="{00000000-0005-0000-0000-000077030000}"/>
    <cellStyle name="40% - Accent1 10 2" xfId="897" xr:uid="{00000000-0005-0000-0000-000078030000}"/>
    <cellStyle name="40% - Accent1 10 3" xfId="898" xr:uid="{00000000-0005-0000-0000-000079030000}"/>
    <cellStyle name="40% - Accent1 11" xfId="899" xr:uid="{00000000-0005-0000-0000-00007A030000}"/>
    <cellStyle name="40% - Accent1 11 2" xfId="900" xr:uid="{00000000-0005-0000-0000-00007B030000}"/>
    <cellStyle name="40% - Accent1 11 3" xfId="901" xr:uid="{00000000-0005-0000-0000-00007C030000}"/>
    <cellStyle name="40% - Accent1 12" xfId="902" xr:uid="{00000000-0005-0000-0000-00007D030000}"/>
    <cellStyle name="40% - Accent1 12 2" xfId="903" xr:uid="{00000000-0005-0000-0000-00007E030000}"/>
    <cellStyle name="40% - Accent1 12 3" xfId="904" xr:uid="{00000000-0005-0000-0000-00007F030000}"/>
    <cellStyle name="40% - Accent1 13" xfId="905" xr:uid="{00000000-0005-0000-0000-000080030000}"/>
    <cellStyle name="40% - Accent1 13 2" xfId="906" xr:uid="{00000000-0005-0000-0000-000081030000}"/>
    <cellStyle name="40% - Accent1 13 3" xfId="907" xr:uid="{00000000-0005-0000-0000-000082030000}"/>
    <cellStyle name="40% - Accent1 14" xfId="908" xr:uid="{00000000-0005-0000-0000-000083030000}"/>
    <cellStyle name="40% - Accent1 14 2" xfId="909" xr:uid="{00000000-0005-0000-0000-000084030000}"/>
    <cellStyle name="40% - Accent1 14 3" xfId="910" xr:uid="{00000000-0005-0000-0000-000085030000}"/>
    <cellStyle name="40% - Accent1 15" xfId="911" xr:uid="{00000000-0005-0000-0000-000086030000}"/>
    <cellStyle name="40% - Accent1 15 2" xfId="912" xr:uid="{00000000-0005-0000-0000-000087030000}"/>
    <cellStyle name="40% - Accent1 15 3" xfId="913" xr:uid="{00000000-0005-0000-0000-000088030000}"/>
    <cellStyle name="40% - Accent1 16" xfId="914" xr:uid="{00000000-0005-0000-0000-000089030000}"/>
    <cellStyle name="40% - Accent1 17" xfId="915" xr:uid="{00000000-0005-0000-0000-00008A030000}"/>
    <cellStyle name="40% - Accent1 18" xfId="916" xr:uid="{00000000-0005-0000-0000-00008B030000}"/>
    <cellStyle name="40% - Accent1 19" xfId="917" xr:uid="{00000000-0005-0000-0000-00008C030000}"/>
    <cellStyle name="40% - Accent1 2" xfId="918" xr:uid="{00000000-0005-0000-0000-00008D030000}"/>
    <cellStyle name="40% - Accent1 2 10" xfId="919" xr:uid="{00000000-0005-0000-0000-00008E030000}"/>
    <cellStyle name="40% - Accent1 2 11" xfId="920" xr:uid="{00000000-0005-0000-0000-00008F030000}"/>
    <cellStyle name="40% - Accent1 2 12" xfId="921" xr:uid="{00000000-0005-0000-0000-000090030000}"/>
    <cellStyle name="40% - Accent1 2 13" xfId="922" xr:uid="{00000000-0005-0000-0000-000091030000}"/>
    <cellStyle name="40% - Accent1 2 14" xfId="923" xr:uid="{00000000-0005-0000-0000-000092030000}"/>
    <cellStyle name="40% - Accent1 2 15" xfId="924" xr:uid="{00000000-0005-0000-0000-000093030000}"/>
    <cellStyle name="40% - Accent1 2 2" xfId="925" xr:uid="{00000000-0005-0000-0000-000094030000}"/>
    <cellStyle name="40% - Accent1 2 3" xfId="926" xr:uid="{00000000-0005-0000-0000-000095030000}"/>
    <cellStyle name="40% - Accent1 2 4" xfId="927" xr:uid="{00000000-0005-0000-0000-000096030000}"/>
    <cellStyle name="40% - Accent1 2 5" xfId="928" xr:uid="{00000000-0005-0000-0000-000097030000}"/>
    <cellStyle name="40% - Accent1 2 6" xfId="929" xr:uid="{00000000-0005-0000-0000-000098030000}"/>
    <cellStyle name="40% - Accent1 2 7" xfId="930" xr:uid="{00000000-0005-0000-0000-000099030000}"/>
    <cellStyle name="40% - Accent1 2 8" xfId="931" xr:uid="{00000000-0005-0000-0000-00009A030000}"/>
    <cellStyle name="40% - Accent1 2 9" xfId="932" xr:uid="{00000000-0005-0000-0000-00009B030000}"/>
    <cellStyle name="40% - Accent1 2_Display" xfId="933" xr:uid="{00000000-0005-0000-0000-00009C030000}"/>
    <cellStyle name="40% - Accent1 20" xfId="4323" xr:uid="{00000000-0005-0000-0000-00009D030000}"/>
    <cellStyle name="40% - Accent1 3" xfId="934" xr:uid="{00000000-0005-0000-0000-00009E030000}"/>
    <cellStyle name="40% - Accent1 3 2" xfId="935" xr:uid="{00000000-0005-0000-0000-00009F030000}"/>
    <cellStyle name="40% - Accent1 3 3" xfId="936" xr:uid="{00000000-0005-0000-0000-0000A0030000}"/>
    <cellStyle name="40% - Accent1 3 4" xfId="937" xr:uid="{00000000-0005-0000-0000-0000A1030000}"/>
    <cellStyle name="40% - Accent1 3 5" xfId="938" xr:uid="{00000000-0005-0000-0000-0000A2030000}"/>
    <cellStyle name="40% - Accent1 3 5 2" xfId="939" xr:uid="{00000000-0005-0000-0000-0000A3030000}"/>
    <cellStyle name="40% - Accent1 3 6" xfId="940" xr:uid="{00000000-0005-0000-0000-0000A4030000}"/>
    <cellStyle name="40% - Accent1 3 7" xfId="941" xr:uid="{00000000-0005-0000-0000-0000A5030000}"/>
    <cellStyle name="40% - Accent1 3 8" xfId="942" xr:uid="{00000000-0005-0000-0000-0000A6030000}"/>
    <cellStyle name="40% - Accent1 3 9" xfId="943" xr:uid="{00000000-0005-0000-0000-0000A7030000}"/>
    <cellStyle name="40% - Accent1 3_Display" xfId="944" xr:uid="{00000000-0005-0000-0000-0000A8030000}"/>
    <cellStyle name="40% - Accent1 4" xfId="945" xr:uid="{00000000-0005-0000-0000-0000A9030000}"/>
    <cellStyle name="40% - Accent1 4 2" xfId="946" xr:uid="{00000000-0005-0000-0000-0000AA030000}"/>
    <cellStyle name="40% - Accent1 4_Display" xfId="947" xr:uid="{00000000-0005-0000-0000-0000AB030000}"/>
    <cellStyle name="40% - Accent1 5" xfId="948" xr:uid="{00000000-0005-0000-0000-0000AC030000}"/>
    <cellStyle name="40% - Accent1 5 2" xfId="949" xr:uid="{00000000-0005-0000-0000-0000AD030000}"/>
    <cellStyle name="40% - Accent1 5_Display" xfId="950" xr:uid="{00000000-0005-0000-0000-0000AE030000}"/>
    <cellStyle name="40% - Accent1 6" xfId="951" xr:uid="{00000000-0005-0000-0000-0000AF030000}"/>
    <cellStyle name="40% - Accent1 6 2" xfId="952" xr:uid="{00000000-0005-0000-0000-0000B0030000}"/>
    <cellStyle name="40% - Accent1 6_Display" xfId="953" xr:uid="{00000000-0005-0000-0000-0000B1030000}"/>
    <cellStyle name="40% - Accent1 7" xfId="954" xr:uid="{00000000-0005-0000-0000-0000B2030000}"/>
    <cellStyle name="40% - Accent1 8" xfId="955" xr:uid="{00000000-0005-0000-0000-0000B3030000}"/>
    <cellStyle name="40% - Accent1 9" xfId="956" xr:uid="{00000000-0005-0000-0000-0000B4030000}"/>
    <cellStyle name="40% - Accent1 9 2" xfId="957" xr:uid="{00000000-0005-0000-0000-0000B5030000}"/>
    <cellStyle name="40% - Accent1 9 2 2" xfId="958" xr:uid="{00000000-0005-0000-0000-0000B6030000}"/>
    <cellStyle name="40% - Accent1 9 3" xfId="959" xr:uid="{00000000-0005-0000-0000-0000B7030000}"/>
    <cellStyle name="40% - Accent1 9 4" xfId="960" xr:uid="{00000000-0005-0000-0000-0000B8030000}"/>
    <cellStyle name="40% - Accent1 9 5" xfId="961" xr:uid="{00000000-0005-0000-0000-0000B9030000}"/>
    <cellStyle name="40% - Accent2 10" xfId="962" xr:uid="{00000000-0005-0000-0000-0000BA030000}"/>
    <cellStyle name="40% - Accent2 10 2" xfId="963" xr:uid="{00000000-0005-0000-0000-0000BB030000}"/>
    <cellStyle name="40% - Accent2 10 3" xfId="964" xr:uid="{00000000-0005-0000-0000-0000BC030000}"/>
    <cellStyle name="40% - Accent2 11" xfId="965" xr:uid="{00000000-0005-0000-0000-0000BD030000}"/>
    <cellStyle name="40% - Accent2 11 2" xfId="966" xr:uid="{00000000-0005-0000-0000-0000BE030000}"/>
    <cellStyle name="40% - Accent2 11 3" xfId="967" xr:uid="{00000000-0005-0000-0000-0000BF030000}"/>
    <cellStyle name="40% - Accent2 12" xfId="968" xr:uid="{00000000-0005-0000-0000-0000C0030000}"/>
    <cellStyle name="40% - Accent2 12 2" xfId="969" xr:uid="{00000000-0005-0000-0000-0000C1030000}"/>
    <cellStyle name="40% - Accent2 12 3" xfId="970" xr:uid="{00000000-0005-0000-0000-0000C2030000}"/>
    <cellStyle name="40% - Accent2 13" xfId="971" xr:uid="{00000000-0005-0000-0000-0000C3030000}"/>
    <cellStyle name="40% - Accent2 13 2" xfId="972" xr:uid="{00000000-0005-0000-0000-0000C4030000}"/>
    <cellStyle name="40% - Accent2 13 3" xfId="973" xr:uid="{00000000-0005-0000-0000-0000C5030000}"/>
    <cellStyle name="40% - Accent2 14" xfId="974" xr:uid="{00000000-0005-0000-0000-0000C6030000}"/>
    <cellStyle name="40% - Accent2 14 2" xfId="975" xr:uid="{00000000-0005-0000-0000-0000C7030000}"/>
    <cellStyle name="40% - Accent2 14 3" xfId="976" xr:uid="{00000000-0005-0000-0000-0000C8030000}"/>
    <cellStyle name="40% - Accent2 15" xfId="977" xr:uid="{00000000-0005-0000-0000-0000C9030000}"/>
    <cellStyle name="40% - Accent2 15 2" xfId="978" xr:uid="{00000000-0005-0000-0000-0000CA030000}"/>
    <cellStyle name="40% - Accent2 15 3" xfId="979" xr:uid="{00000000-0005-0000-0000-0000CB030000}"/>
    <cellStyle name="40% - Accent2 16" xfId="980" xr:uid="{00000000-0005-0000-0000-0000CC030000}"/>
    <cellStyle name="40% - Accent2 17" xfId="981" xr:uid="{00000000-0005-0000-0000-0000CD030000}"/>
    <cellStyle name="40% - Accent2 18" xfId="982" xr:uid="{00000000-0005-0000-0000-0000CE030000}"/>
    <cellStyle name="40% - Accent2 19" xfId="983" xr:uid="{00000000-0005-0000-0000-0000CF030000}"/>
    <cellStyle name="40% - Accent2 2" xfId="984" xr:uid="{00000000-0005-0000-0000-0000D0030000}"/>
    <cellStyle name="40% - Accent2 2 10" xfId="985" xr:uid="{00000000-0005-0000-0000-0000D1030000}"/>
    <cellStyle name="40% - Accent2 2 11" xfId="986" xr:uid="{00000000-0005-0000-0000-0000D2030000}"/>
    <cellStyle name="40% - Accent2 2 12" xfId="987" xr:uid="{00000000-0005-0000-0000-0000D3030000}"/>
    <cellStyle name="40% - Accent2 2 13" xfId="988" xr:uid="{00000000-0005-0000-0000-0000D4030000}"/>
    <cellStyle name="40% - Accent2 2 14" xfId="989" xr:uid="{00000000-0005-0000-0000-0000D5030000}"/>
    <cellStyle name="40% - Accent2 2 15" xfId="990" xr:uid="{00000000-0005-0000-0000-0000D6030000}"/>
    <cellStyle name="40% - Accent2 2 2" xfId="991" xr:uid="{00000000-0005-0000-0000-0000D7030000}"/>
    <cellStyle name="40% - Accent2 2 3" xfId="992" xr:uid="{00000000-0005-0000-0000-0000D8030000}"/>
    <cellStyle name="40% - Accent2 2 4" xfId="993" xr:uid="{00000000-0005-0000-0000-0000D9030000}"/>
    <cellStyle name="40% - Accent2 2 5" xfId="994" xr:uid="{00000000-0005-0000-0000-0000DA030000}"/>
    <cellStyle name="40% - Accent2 2 6" xfId="995" xr:uid="{00000000-0005-0000-0000-0000DB030000}"/>
    <cellStyle name="40% - Accent2 2 7" xfId="996" xr:uid="{00000000-0005-0000-0000-0000DC030000}"/>
    <cellStyle name="40% - Accent2 2 8" xfId="997" xr:uid="{00000000-0005-0000-0000-0000DD030000}"/>
    <cellStyle name="40% - Accent2 2 9" xfId="998" xr:uid="{00000000-0005-0000-0000-0000DE030000}"/>
    <cellStyle name="40% - Accent2 2_Display" xfId="999" xr:uid="{00000000-0005-0000-0000-0000DF030000}"/>
    <cellStyle name="40% - Accent2 20" xfId="4324" xr:uid="{00000000-0005-0000-0000-0000E0030000}"/>
    <cellStyle name="40% - Accent2 3" xfId="1000" xr:uid="{00000000-0005-0000-0000-0000E1030000}"/>
    <cellStyle name="40% - Accent2 3 2" xfId="1001" xr:uid="{00000000-0005-0000-0000-0000E2030000}"/>
    <cellStyle name="40% - Accent2 3 3" xfId="1002" xr:uid="{00000000-0005-0000-0000-0000E3030000}"/>
    <cellStyle name="40% - Accent2 3 4" xfId="1003" xr:uid="{00000000-0005-0000-0000-0000E4030000}"/>
    <cellStyle name="40% - Accent2 3 5" xfId="1004" xr:uid="{00000000-0005-0000-0000-0000E5030000}"/>
    <cellStyle name="40% - Accent2 3 5 2" xfId="1005" xr:uid="{00000000-0005-0000-0000-0000E6030000}"/>
    <cellStyle name="40% - Accent2 3 6" xfId="1006" xr:uid="{00000000-0005-0000-0000-0000E7030000}"/>
    <cellStyle name="40% - Accent2 3 7" xfId="1007" xr:uid="{00000000-0005-0000-0000-0000E8030000}"/>
    <cellStyle name="40% - Accent2 3 8" xfId="1008" xr:uid="{00000000-0005-0000-0000-0000E9030000}"/>
    <cellStyle name="40% - Accent2 3 9" xfId="1009" xr:uid="{00000000-0005-0000-0000-0000EA030000}"/>
    <cellStyle name="40% - Accent2 3_Display" xfId="1010" xr:uid="{00000000-0005-0000-0000-0000EB030000}"/>
    <cellStyle name="40% - Accent2 4" xfId="1011" xr:uid="{00000000-0005-0000-0000-0000EC030000}"/>
    <cellStyle name="40% - Accent2 4 2" xfId="1012" xr:uid="{00000000-0005-0000-0000-0000ED030000}"/>
    <cellStyle name="40% - Accent2 4_Display" xfId="1013" xr:uid="{00000000-0005-0000-0000-0000EE030000}"/>
    <cellStyle name="40% - Accent2 5" xfId="1014" xr:uid="{00000000-0005-0000-0000-0000EF030000}"/>
    <cellStyle name="40% - Accent2 5 2" xfId="1015" xr:uid="{00000000-0005-0000-0000-0000F0030000}"/>
    <cellStyle name="40% - Accent2 5_Display" xfId="1016" xr:uid="{00000000-0005-0000-0000-0000F1030000}"/>
    <cellStyle name="40% - Accent2 6" xfId="1017" xr:uid="{00000000-0005-0000-0000-0000F2030000}"/>
    <cellStyle name="40% - Accent2 6 2" xfId="1018" xr:uid="{00000000-0005-0000-0000-0000F3030000}"/>
    <cellStyle name="40% - Accent2 6_Display" xfId="1019" xr:uid="{00000000-0005-0000-0000-0000F4030000}"/>
    <cellStyle name="40% - Accent2 7" xfId="1020" xr:uid="{00000000-0005-0000-0000-0000F5030000}"/>
    <cellStyle name="40% - Accent2 8" xfId="1021" xr:uid="{00000000-0005-0000-0000-0000F6030000}"/>
    <cellStyle name="40% - Accent2 9" xfId="1022" xr:uid="{00000000-0005-0000-0000-0000F7030000}"/>
    <cellStyle name="40% - Accent2 9 2" xfId="1023" xr:uid="{00000000-0005-0000-0000-0000F8030000}"/>
    <cellStyle name="40% - Accent2 9 2 2" xfId="1024" xr:uid="{00000000-0005-0000-0000-0000F9030000}"/>
    <cellStyle name="40% - Accent2 9 3" xfId="1025" xr:uid="{00000000-0005-0000-0000-0000FA030000}"/>
    <cellStyle name="40% - Accent2 9 4" xfId="1026" xr:uid="{00000000-0005-0000-0000-0000FB030000}"/>
    <cellStyle name="40% - Accent2 9 5" xfId="1027" xr:uid="{00000000-0005-0000-0000-0000FC030000}"/>
    <cellStyle name="40% - Accent3 10" xfId="1028" xr:uid="{00000000-0005-0000-0000-0000FD030000}"/>
    <cellStyle name="40% - Accent3 10 2" xfId="1029" xr:uid="{00000000-0005-0000-0000-0000FE030000}"/>
    <cellStyle name="40% - Accent3 10 3" xfId="1030" xr:uid="{00000000-0005-0000-0000-0000FF030000}"/>
    <cellStyle name="40% - Accent3 11" xfId="1031" xr:uid="{00000000-0005-0000-0000-000000040000}"/>
    <cellStyle name="40% - Accent3 11 2" xfId="1032" xr:uid="{00000000-0005-0000-0000-000001040000}"/>
    <cellStyle name="40% - Accent3 11 3" xfId="1033" xr:uid="{00000000-0005-0000-0000-000002040000}"/>
    <cellStyle name="40% - Accent3 12" xfId="1034" xr:uid="{00000000-0005-0000-0000-000003040000}"/>
    <cellStyle name="40% - Accent3 12 2" xfId="1035" xr:uid="{00000000-0005-0000-0000-000004040000}"/>
    <cellStyle name="40% - Accent3 12 3" xfId="1036" xr:uid="{00000000-0005-0000-0000-000005040000}"/>
    <cellStyle name="40% - Accent3 13" xfId="1037" xr:uid="{00000000-0005-0000-0000-000006040000}"/>
    <cellStyle name="40% - Accent3 13 2" xfId="1038" xr:uid="{00000000-0005-0000-0000-000007040000}"/>
    <cellStyle name="40% - Accent3 13 3" xfId="1039" xr:uid="{00000000-0005-0000-0000-000008040000}"/>
    <cellStyle name="40% - Accent3 14" xfId="1040" xr:uid="{00000000-0005-0000-0000-000009040000}"/>
    <cellStyle name="40% - Accent3 14 2" xfId="1041" xr:uid="{00000000-0005-0000-0000-00000A040000}"/>
    <cellStyle name="40% - Accent3 14 3" xfId="1042" xr:uid="{00000000-0005-0000-0000-00000B040000}"/>
    <cellStyle name="40% - Accent3 15" xfId="1043" xr:uid="{00000000-0005-0000-0000-00000C040000}"/>
    <cellStyle name="40% - Accent3 15 2" xfId="1044" xr:uid="{00000000-0005-0000-0000-00000D040000}"/>
    <cellStyle name="40% - Accent3 15 3" xfId="1045" xr:uid="{00000000-0005-0000-0000-00000E040000}"/>
    <cellStyle name="40% - Accent3 16" xfId="1046" xr:uid="{00000000-0005-0000-0000-00000F040000}"/>
    <cellStyle name="40% - Accent3 17" xfId="1047" xr:uid="{00000000-0005-0000-0000-000010040000}"/>
    <cellStyle name="40% - Accent3 18" xfId="1048" xr:uid="{00000000-0005-0000-0000-000011040000}"/>
    <cellStyle name="40% - Accent3 19" xfId="1049" xr:uid="{00000000-0005-0000-0000-000012040000}"/>
    <cellStyle name="40% - Accent3 2" xfId="1050" xr:uid="{00000000-0005-0000-0000-000013040000}"/>
    <cellStyle name="40% - Accent3 2 10" xfId="1051" xr:uid="{00000000-0005-0000-0000-000014040000}"/>
    <cellStyle name="40% - Accent3 2 11" xfId="1052" xr:uid="{00000000-0005-0000-0000-000015040000}"/>
    <cellStyle name="40% - Accent3 2 12" xfId="1053" xr:uid="{00000000-0005-0000-0000-000016040000}"/>
    <cellStyle name="40% - Accent3 2 13" xfId="1054" xr:uid="{00000000-0005-0000-0000-000017040000}"/>
    <cellStyle name="40% - Accent3 2 14" xfId="1055" xr:uid="{00000000-0005-0000-0000-000018040000}"/>
    <cellStyle name="40% - Accent3 2 15" xfId="1056" xr:uid="{00000000-0005-0000-0000-000019040000}"/>
    <cellStyle name="40% - Accent3 2 2" xfId="1057" xr:uid="{00000000-0005-0000-0000-00001A040000}"/>
    <cellStyle name="40% - Accent3 2 3" xfId="1058" xr:uid="{00000000-0005-0000-0000-00001B040000}"/>
    <cellStyle name="40% - Accent3 2 4" xfId="1059" xr:uid="{00000000-0005-0000-0000-00001C040000}"/>
    <cellStyle name="40% - Accent3 2 5" xfId="1060" xr:uid="{00000000-0005-0000-0000-00001D040000}"/>
    <cellStyle name="40% - Accent3 2 6" xfId="1061" xr:uid="{00000000-0005-0000-0000-00001E040000}"/>
    <cellStyle name="40% - Accent3 2 7" xfId="1062" xr:uid="{00000000-0005-0000-0000-00001F040000}"/>
    <cellStyle name="40% - Accent3 2 8" xfId="1063" xr:uid="{00000000-0005-0000-0000-000020040000}"/>
    <cellStyle name="40% - Accent3 2 9" xfId="1064" xr:uid="{00000000-0005-0000-0000-000021040000}"/>
    <cellStyle name="40% - Accent3 2_Display" xfId="1065" xr:uid="{00000000-0005-0000-0000-000022040000}"/>
    <cellStyle name="40% - Accent3 20" xfId="4325" xr:uid="{00000000-0005-0000-0000-000023040000}"/>
    <cellStyle name="40% - Accent3 3" xfId="1066" xr:uid="{00000000-0005-0000-0000-000024040000}"/>
    <cellStyle name="40% - Accent3 3 2" xfId="1067" xr:uid="{00000000-0005-0000-0000-000025040000}"/>
    <cellStyle name="40% - Accent3 3 3" xfId="1068" xr:uid="{00000000-0005-0000-0000-000026040000}"/>
    <cellStyle name="40% - Accent3 3 4" xfId="1069" xr:uid="{00000000-0005-0000-0000-000027040000}"/>
    <cellStyle name="40% - Accent3 3 5" xfId="1070" xr:uid="{00000000-0005-0000-0000-000028040000}"/>
    <cellStyle name="40% - Accent3 3 5 2" xfId="1071" xr:uid="{00000000-0005-0000-0000-000029040000}"/>
    <cellStyle name="40% - Accent3 3 6" xfId="1072" xr:uid="{00000000-0005-0000-0000-00002A040000}"/>
    <cellStyle name="40% - Accent3 3 7" xfId="1073" xr:uid="{00000000-0005-0000-0000-00002B040000}"/>
    <cellStyle name="40% - Accent3 3 8" xfId="1074" xr:uid="{00000000-0005-0000-0000-00002C040000}"/>
    <cellStyle name="40% - Accent3 3 9" xfId="1075" xr:uid="{00000000-0005-0000-0000-00002D040000}"/>
    <cellStyle name="40% - Accent3 3_Display" xfId="1076" xr:uid="{00000000-0005-0000-0000-00002E040000}"/>
    <cellStyle name="40% - Accent3 4" xfId="1077" xr:uid="{00000000-0005-0000-0000-00002F040000}"/>
    <cellStyle name="40% - Accent3 4 2" xfId="1078" xr:uid="{00000000-0005-0000-0000-000030040000}"/>
    <cellStyle name="40% - Accent3 4_Display" xfId="1079" xr:uid="{00000000-0005-0000-0000-000031040000}"/>
    <cellStyle name="40% - Accent3 5" xfId="1080" xr:uid="{00000000-0005-0000-0000-000032040000}"/>
    <cellStyle name="40% - Accent3 5 2" xfId="1081" xr:uid="{00000000-0005-0000-0000-000033040000}"/>
    <cellStyle name="40% - Accent3 5_Display" xfId="1082" xr:uid="{00000000-0005-0000-0000-000034040000}"/>
    <cellStyle name="40% - Accent3 6" xfId="1083" xr:uid="{00000000-0005-0000-0000-000035040000}"/>
    <cellStyle name="40% - Accent3 6 2" xfId="1084" xr:uid="{00000000-0005-0000-0000-000036040000}"/>
    <cellStyle name="40% - Accent3 6_Display" xfId="1085" xr:uid="{00000000-0005-0000-0000-000037040000}"/>
    <cellStyle name="40% - Accent3 7" xfId="1086" xr:uid="{00000000-0005-0000-0000-000038040000}"/>
    <cellStyle name="40% - Accent3 8" xfId="1087" xr:uid="{00000000-0005-0000-0000-000039040000}"/>
    <cellStyle name="40% - Accent3 9" xfId="1088" xr:uid="{00000000-0005-0000-0000-00003A040000}"/>
    <cellStyle name="40% - Accent3 9 2" xfId="1089" xr:uid="{00000000-0005-0000-0000-00003B040000}"/>
    <cellStyle name="40% - Accent3 9 2 2" xfId="1090" xr:uid="{00000000-0005-0000-0000-00003C040000}"/>
    <cellStyle name="40% - Accent3 9 3" xfId="1091" xr:uid="{00000000-0005-0000-0000-00003D040000}"/>
    <cellStyle name="40% - Accent3 9 4" xfId="1092" xr:uid="{00000000-0005-0000-0000-00003E040000}"/>
    <cellStyle name="40% - Accent3 9 5" xfId="1093" xr:uid="{00000000-0005-0000-0000-00003F040000}"/>
    <cellStyle name="40% - Accent4 10" xfId="1094" xr:uid="{00000000-0005-0000-0000-000040040000}"/>
    <cellStyle name="40% - Accent4 10 2" xfId="1095" xr:uid="{00000000-0005-0000-0000-000041040000}"/>
    <cellStyle name="40% - Accent4 10 3" xfId="1096" xr:uid="{00000000-0005-0000-0000-000042040000}"/>
    <cellStyle name="40% - Accent4 11" xfId="1097" xr:uid="{00000000-0005-0000-0000-000043040000}"/>
    <cellStyle name="40% - Accent4 11 2" xfId="1098" xr:uid="{00000000-0005-0000-0000-000044040000}"/>
    <cellStyle name="40% - Accent4 11 3" xfId="1099" xr:uid="{00000000-0005-0000-0000-000045040000}"/>
    <cellStyle name="40% - Accent4 12" xfId="1100" xr:uid="{00000000-0005-0000-0000-000046040000}"/>
    <cellStyle name="40% - Accent4 12 2" xfId="1101" xr:uid="{00000000-0005-0000-0000-000047040000}"/>
    <cellStyle name="40% - Accent4 12 3" xfId="1102" xr:uid="{00000000-0005-0000-0000-000048040000}"/>
    <cellStyle name="40% - Accent4 13" xfId="1103" xr:uid="{00000000-0005-0000-0000-000049040000}"/>
    <cellStyle name="40% - Accent4 13 2" xfId="1104" xr:uid="{00000000-0005-0000-0000-00004A040000}"/>
    <cellStyle name="40% - Accent4 13 3" xfId="1105" xr:uid="{00000000-0005-0000-0000-00004B040000}"/>
    <cellStyle name="40% - Accent4 14" xfId="1106" xr:uid="{00000000-0005-0000-0000-00004C040000}"/>
    <cellStyle name="40% - Accent4 14 2" xfId="1107" xr:uid="{00000000-0005-0000-0000-00004D040000}"/>
    <cellStyle name="40% - Accent4 14 3" xfId="1108" xr:uid="{00000000-0005-0000-0000-00004E040000}"/>
    <cellStyle name="40% - Accent4 15" xfId="1109" xr:uid="{00000000-0005-0000-0000-00004F040000}"/>
    <cellStyle name="40% - Accent4 15 2" xfId="1110" xr:uid="{00000000-0005-0000-0000-000050040000}"/>
    <cellStyle name="40% - Accent4 15 3" xfId="1111" xr:uid="{00000000-0005-0000-0000-000051040000}"/>
    <cellStyle name="40% - Accent4 16" xfId="1112" xr:uid="{00000000-0005-0000-0000-000052040000}"/>
    <cellStyle name="40% - Accent4 17" xfId="1113" xr:uid="{00000000-0005-0000-0000-000053040000}"/>
    <cellStyle name="40% - Accent4 18" xfId="1114" xr:uid="{00000000-0005-0000-0000-000054040000}"/>
    <cellStyle name="40% - Accent4 19" xfId="1115" xr:uid="{00000000-0005-0000-0000-000055040000}"/>
    <cellStyle name="40% - Accent4 2" xfId="1116" xr:uid="{00000000-0005-0000-0000-000056040000}"/>
    <cellStyle name="40% - Accent4 2 10" xfId="1117" xr:uid="{00000000-0005-0000-0000-000057040000}"/>
    <cellStyle name="40% - Accent4 2 11" xfId="1118" xr:uid="{00000000-0005-0000-0000-000058040000}"/>
    <cellStyle name="40% - Accent4 2 12" xfId="1119" xr:uid="{00000000-0005-0000-0000-000059040000}"/>
    <cellStyle name="40% - Accent4 2 13" xfId="1120" xr:uid="{00000000-0005-0000-0000-00005A040000}"/>
    <cellStyle name="40% - Accent4 2 14" xfId="1121" xr:uid="{00000000-0005-0000-0000-00005B040000}"/>
    <cellStyle name="40% - Accent4 2 15" xfId="1122" xr:uid="{00000000-0005-0000-0000-00005C040000}"/>
    <cellStyle name="40% - Accent4 2 2" xfId="1123" xr:uid="{00000000-0005-0000-0000-00005D040000}"/>
    <cellStyle name="40% - Accent4 2 3" xfId="1124" xr:uid="{00000000-0005-0000-0000-00005E040000}"/>
    <cellStyle name="40% - Accent4 2 4" xfId="1125" xr:uid="{00000000-0005-0000-0000-00005F040000}"/>
    <cellStyle name="40% - Accent4 2 5" xfId="1126" xr:uid="{00000000-0005-0000-0000-000060040000}"/>
    <cellStyle name="40% - Accent4 2 6" xfId="1127" xr:uid="{00000000-0005-0000-0000-000061040000}"/>
    <cellStyle name="40% - Accent4 2 7" xfId="1128" xr:uid="{00000000-0005-0000-0000-000062040000}"/>
    <cellStyle name="40% - Accent4 2 8" xfId="1129" xr:uid="{00000000-0005-0000-0000-000063040000}"/>
    <cellStyle name="40% - Accent4 2 9" xfId="1130" xr:uid="{00000000-0005-0000-0000-000064040000}"/>
    <cellStyle name="40% - Accent4 2_Display" xfId="1131" xr:uid="{00000000-0005-0000-0000-000065040000}"/>
    <cellStyle name="40% - Accent4 20" xfId="4326" xr:uid="{00000000-0005-0000-0000-000066040000}"/>
    <cellStyle name="40% - Accent4 3" xfId="1132" xr:uid="{00000000-0005-0000-0000-000067040000}"/>
    <cellStyle name="40% - Accent4 3 2" xfId="1133" xr:uid="{00000000-0005-0000-0000-000068040000}"/>
    <cellStyle name="40% - Accent4 3 3" xfId="1134" xr:uid="{00000000-0005-0000-0000-000069040000}"/>
    <cellStyle name="40% - Accent4 3 4" xfId="1135" xr:uid="{00000000-0005-0000-0000-00006A040000}"/>
    <cellStyle name="40% - Accent4 3 5" xfId="1136" xr:uid="{00000000-0005-0000-0000-00006B040000}"/>
    <cellStyle name="40% - Accent4 3 5 2" xfId="1137" xr:uid="{00000000-0005-0000-0000-00006C040000}"/>
    <cellStyle name="40% - Accent4 3 6" xfId="1138" xr:uid="{00000000-0005-0000-0000-00006D040000}"/>
    <cellStyle name="40% - Accent4 3 7" xfId="1139" xr:uid="{00000000-0005-0000-0000-00006E040000}"/>
    <cellStyle name="40% - Accent4 3 8" xfId="1140" xr:uid="{00000000-0005-0000-0000-00006F040000}"/>
    <cellStyle name="40% - Accent4 3 9" xfId="1141" xr:uid="{00000000-0005-0000-0000-000070040000}"/>
    <cellStyle name="40% - Accent4 3_Display" xfId="1142" xr:uid="{00000000-0005-0000-0000-000071040000}"/>
    <cellStyle name="40% - Accent4 4" xfId="1143" xr:uid="{00000000-0005-0000-0000-000072040000}"/>
    <cellStyle name="40% - Accent4 4 2" xfId="1144" xr:uid="{00000000-0005-0000-0000-000073040000}"/>
    <cellStyle name="40% - Accent4 4_Display" xfId="1145" xr:uid="{00000000-0005-0000-0000-000074040000}"/>
    <cellStyle name="40% - Accent4 5" xfId="1146" xr:uid="{00000000-0005-0000-0000-000075040000}"/>
    <cellStyle name="40% - Accent4 5 2" xfId="1147" xr:uid="{00000000-0005-0000-0000-000076040000}"/>
    <cellStyle name="40% - Accent4 5_Display" xfId="1148" xr:uid="{00000000-0005-0000-0000-000077040000}"/>
    <cellStyle name="40% - Accent4 6" xfId="1149" xr:uid="{00000000-0005-0000-0000-000078040000}"/>
    <cellStyle name="40% - Accent4 6 2" xfId="1150" xr:uid="{00000000-0005-0000-0000-000079040000}"/>
    <cellStyle name="40% - Accent4 6_Display" xfId="1151" xr:uid="{00000000-0005-0000-0000-00007A040000}"/>
    <cellStyle name="40% - Accent4 7" xfId="1152" xr:uid="{00000000-0005-0000-0000-00007B040000}"/>
    <cellStyle name="40% - Accent4 8" xfId="1153" xr:uid="{00000000-0005-0000-0000-00007C040000}"/>
    <cellStyle name="40% - Accent4 9" xfId="1154" xr:uid="{00000000-0005-0000-0000-00007D040000}"/>
    <cellStyle name="40% - Accent4 9 2" xfId="1155" xr:uid="{00000000-0005-0000-0000-00007E040000}"/>
    <cellStyle name="40% - Accent4 9 2 2" xfId="1156" xr:uid="{00000000-0005-0000-0000-00007F040000}"/>
    <cellStyle name="40% - Accent4 9 3" xfId="1157" xr:uid="{00000000-0005-0000-0000-000080040000}"/>
    <cellStyle name="40% - Accent4 9 4" xfId="1158" xr:uid="{00000000-0005-0000-0000-000081040000}"/>
    <cellStyle name="40% - Accent4 9 5" xfId="1159" xr:uid="{00000000-0005-0000-0000-000082040000}"/>
    <cellStyle name="40% - Accent5 10" xfId="1160" xr:uid="{00000000-0005-0000-0000-000083040000}"/>
    <cellStyle name="40% - Accent5 10 2" xfId="1161" xr:uid="{00000000-0005-0000-0000-000084040000}"/>
    <cellStyle name="40% - Accent5 10 3" xfId="1162" xr:uid="{00000000-0005-0000-0000-000085040000}"/>
    <cellStyle name="40% - Accent5 11" xfId="1163" xr:uid="{00000000-0005-0000-0000-000086040000}"/>
    <cellStyle name="40% - Accent5 11 2" xfId="1164" xr:uid="{00000000-0005-0000-0000-000087040000}"/>
    <cellStyle name="40% - Accent5 11 3" xfId="1165" xr:uid="{00000000-0005-0000-0000-000088040000}"/>
    <cellStyle name="40% - Accent5 12" xfId="1166" xr:uid="{00000000-0005-0000-0000-000089040000}"/>
    <cellStyle name="40% - Accent5 12 2" xfId="1167" xr:uid="{00000000-0005-0000-0000-00008A040000}"/>
    <cellStyle name="40% - Accent5 12 3" xfId="1168" xr:uid="{00000000-0005-0000-0000-00008B040000}"/>
    <cellStyle name="40% - Accent5 13" xfId="1169" xr:uid="{00000000-0005-0000-0000-00008C040000}"/>
    <cellStyle name="40% - Accent5 13 2" xfId="1170" xr:uid="{00000000-0005-0000-0000-00008D040000}"/>
    <cellStyle name="40% - Accent5 13 3" xfId="1171" xr:uid="{00000000-0005-0000-0000-00008E040000}"/>
    <cellStyle name="40% - Accent5 14" xfId="1172" xr:uid="{00000000-0005-0000-0000-00008F040000}"/>
    <cellStyle name="40% - Accent5 14 2" xfId="1173" xr:uid="{00000000-0005-0000-0000-000090040000}"/>
    <cellStyle name="40% - Accent5 14 3" xfId="1174" xr:uid="{00000000-0005-0000-0000-000091040000}"/>
    <cellStyle name="40% - Accent5 15" xfId="1175" xr:uid="{00000000-0005-0000-0000-000092040000}"/>
    <cellStyle name="40% - Accent5 15 2" xfId="1176" xr:uid="{00000000-0005-0000-0000-000093040000}"/>
    <cellStyle name="40% - Accent5 15 3" xfId="1177" xr:uid="{00000000-0005-0000-0000-000094040000}"/>
    <cellStyle name="40% - Accent5 16" xfId="1178" xr:uid="{00000000-0005-0000-0000-000095040000}"/>
    <cellStyle name="40% - Accent5 17" xfId="1179" xr:uid="{00000000-0005-0000-0000-000096040000}"/>
    <cellStyle name="40% - Accent5 18" xfId="1180" xr:uid="{00000000-0005-0000-0000-000097040000}"/>
    <cellStyle name="40% - Accent5 19" xfId="1181" xr:uid="{00000000-0005-0000-0000-000098040000}"/>
    <cellStyle name="40% - Accent5 2" xfId="1182" xr:uid="{00000000-0005-0000-0000-000099040000}"/>
    <cellStyle name="40% - Accent5 2 10" xfId="1183" xr:uid="{00000000-0005-0000-0000-00009A040000}"/>
    <cellStyle name="40% - Accent5 2 11" xfId="1184" xr:uid="{00000000-0005-0000-0000-00009B040000}"/>
    <cellStyle name="40% - Accent5 2 12" xfId="1185" xr:uid="{00000000-0005-0000-0000-00009C040000}"/>
    <cellStyle name="40% - Accent5 2 13" xfId="1186" xr:uid="{00000000-0005-0000-0000-00009D040000}"/>
    <cellStyle name="40% - Accent5 2 14" xfId="1187" xr:uid="{00000000-0005-0000-0000-00009E040000}"/>
    <cellStyle name="40% - Accent5 2 15" xfId="1188" xr:uid="{00000000-0005-0000-0000-00009F040000}"/>
    <cellStyle name="40% - Accent5 2 2" xfId="1189" xr:uid="{00000000-0005-0000-0000-0000A0040000}"/>
    <cellStyle name="40% - Accent5 2 3" xfId="1190" xr:uid="{00000000-0005-0000-0000-0000A1040000}"/>
    <cellStyle name="40% - Accent5 2 4" xfId="1191" xr:uid="{00000000-0005-0000-0000-0000A2040000}"/>
    <cellStyle name="40% - Accent5 2 5" xfId="1192" xr:uid="{00000000-0005-0000-0000-0000A3040000}"/>
    <cellStyle name="40% - Accent5 2 6" xfId="1193" xr:uid="{00000000-0005-0000-0000-0000A4040000}"/>
    <cellStyle name="40% - Accent5 2 7" xfId="1194" xr:uid="{00000000-0005-0000-0000-0000A5040000}"/>
    <cellStyle name="40% - Accent5 2 8" xfId="1195" xr:uid="{00000000-0005-0000-0000-0000A6040000}"/>
    <cellStyle name="40% - Accent5 2 9" xfId="1196" xr:uid="{00000000-0005-0000-0000-0000A7040000}"/>
    <cellStyle name="40% - Accent5 2_Display" xfId="1197" xr:uid="{00000000-0005-0000-0000-0000A8040000}"/>
    <cellStyle name="40% - Accent5 20" xfId="4327" xr:uid="{00000000-0005-0000-0000-0000A9040000}"/>
    <cellStyle name="40% - Accent5 3" xfId="1198" xr:uid="{00000000-0005-0000-0000-0000AA040000}"/>
    <cellStyle name="40% - Accent5 3 2" xfId="1199" xr:uid="{00000000-0005-0000-0000-0000AB040000}"/>
    <cellStyle name="40% - Accent5 3 3" xfId="1200" xr:uid="{00000000-0005-0000-0000-0000AC040000}"/>
    <cellStyle name="40% - Accent5 3 4" xfId="1201" xr:uid="{00000000-0005-0000-0000-0000AD040000}"/>
    <cellStyle name="40% - Accent5 3 5" xfId="1202" xr:uid="{00000000-0005-0000-0000-0000AE040000}"/>
    <cellStyle name="40% - Accent5 3 5 2" xfId="1203" xr:uid="{00000000-0005-0000-0000-0000AF040000}"/>
    <cellStyle name="40% - Accent5 3 6" xfId="1204" xr:uid="{00000000-0005-0000-0000-0000B0040000}"/>
    <cellStyle name="40% - Accent5 3 7" xfId="1205" xr:uid="{00000000-0005-0000-0000-0000B1040000}"/>
    <cellStyle name="40% - Accent5 3 8" xfId="1206" xr:uid="{00000000-0005-0000-0000-0000B2040000}"/>
    <cellStyle name="40% - Accent5 3 9" xfId="1207" xr:uid="{00000000-0005-0000-0000-0000B3040000}"/>
    <cellStyle name="40% - Accent5 3_Display" xfId="1208" xr:uid="{00000000-0005-0000-0000-0000B4040000}"/>
    <cellStyle name="40% - Accent5 4" xfId="1209" xr:uid="{00000000-0005-0000-0000-0000B5040000}"/>
    <cellStyle name="40% - Accent5 4 2" xfId="1210" xr:uid="{00000000-0005-0000-0000-0000B6040000}"/>
    <cellStyle name="40% - Accent5 4_Display" xfId="1211" xr:uid="{00000000-0005-0000-0000-0000B7040000}"/>
    <cellStyle name="40% - Accent5 5" xfId="1212" xr:uid="{00000000-0005-0000-0000-0000B8040000}"/>
    <cellStyle name="40% - Accent5 5 2" xfId="1213" xr:uid="{00000000-0005-0000-0000-0000B9040000}"/>
    <cellStyle name="40% - Accent5 5_Display" xfId="1214" xr:uid="{00000000-0005-0000-0000-0000BA040000}"/>
    <cellStyle name="40% - Accent5 6" xfId="1215" xr:uid="{00000000-0005-0000-0000-0000BB040000}"/>
    <cellStyle name="40% - Accent5 6 2" xfId="1216" xr:uid="{00000000-0005-0000-0000-0000BC040000}"/>
    <cellStyle name="40% - Accent5 6_Display" xfId="1217" xr:uid="{00000000-0005-0000-0000-0000BD040000}"/>
    <cellStyle name="40% - Accent5 7" xfId="1218" xr:uid="{00000000-0005-0000-0000-0000BE040000}"/>
    <cellStyle name="40% - Accent5 8" xfId="1219" xr:uid="{00000000-0005-0000-0000-0000BF040000}"/>
    <cellStyle name="40% - Accent5 9" xfId="1220" xr:uid="{00000000-0005-0000-0000-0000C0040000}"/>
    <cellStyle name="40% - Accent5 9 2" xfId="1221" xr:uid="{00000000-0005-0000-0000-0000C1040000}"/>
    <cellStyle name="40% - Accent5 9 2 2" xfId="1222" xr:uid="{00000000-0005-0000-0000-0000C2040000}"/>
    <cellStyle name="40% - Accent5 9 3" xfId="1223" xr:uid="{00000000-0005-0000-0000-0000C3040000}"/>
    <cellStyle name="40% - Accent5 9 4" xfId="1224" xr:uid="{00000000-0005-0000-0000-0000C4040000}"/>
    <cellStyle name="40% - Accent5 9 5" xfId="1225" xr:uid="{00000000-0005-0000-0000-0000C5040000}"/>
    <cellStyle name="40% - Accent6 10" xfId="1226" xr:uid="{00000000-0005-0000-0000-0000C6040000}"/>
    <cellStyle name="40% - Accent6 10 2" xfId="1227" xr:uid="{00000000-0005-0000-0000-0000C7040000}"/>
    <cellStyle name="40% - Accent6 10 3" xfId="1228" xr:uid="{00000000-0005-0000-0000-0000C8040000}"/>
    <cellStyle name="40% - Accent6 11" xfId="1229" xr:uid="{00000000-0005-0000-0000-0000C9040000}"/>
    <cellStyle name="40% - Accent6 11 2" xfId="1230" xr:uid="{00000000-0005-0000-0000-0000CA040000}"/>
    <cellStyle name="40% - Accent6 11 3" xfId="1231" xr:uid="{00000000-0005-0000-0000-0000CB040000}"/>
    <cellStyle name="40% - Accent6 12" xfId="1232" xr:uid="{00000000-0005-0000-0000-0000CC040000}"/>
    <cellStyle name="40% - Accent6 12 2" xfId="1233" xr:uid="{00000000-0005-0000-0000-0000CD040000}"/>
    <cellStyle name="40% - Accent6 12 3" xfId="1234" xr:uid="{00000000-0005-0000-0000-0000CE040000}"/>
    <cellStyle name="40% - Accent6 13" xfId="1235" xr:uid="{00000000-0005-0000-0000-0000CF040000}"/>
    <cellStyle name="40% - Accent6 13 2" xfId="1236" xr:uid="{00000000-0005-0000-0000-0000D0040000}"/>
    <cellStyle name="40% - Accent6 13 3" xfId="1237" xr:uid="{00000000-0005-0000-0000-0000D1040000}"/>
    <cellStyle name="40% - Accent6 14" xfId="1238" xr:uid="{00000000-0005-0000-0000-0000D2040000}"/>
    <cellStyle name="40% - Accent6 14 2" xfId="1239" xr:uid="{00000000-0005-0000-0000-0000D3040000}"/>
    <cellStyle name="40% - Accent6 14 3" xfId="1240" xr:uid="{00000000-0005-0000-0000-0000D4040000}"/>
    <cellStyle name="40% - Accent6 15" xfId="1241" xr:uid="{00000000-0005-0000-0000-0000D5040000}"/>
    <cellStyle name="40% - Accent6 15 2" xfId="1242" xr:uid="{00000000-0005-0000-0000-0000D6040000}"/>
    <cellStyle name="40% - Accent6 15 3" xfId="1243" xr:uid="{00000000-0005-0000-0000-0000D7040000}"/>
    <cellStyle name="40% - Accent6 16" xfId="1244" xr:uid="{00000000-0005-0000-0000-0000D8040000}"/>
    <cellStyle name="40% - Accent6 17" xfId="1245" xr:uid="{00000000-0005-0000-0000-0000D9040000}"/>
    <cellStyle name="40% - Accent6 18" xfId="1246" xr:uid="{00000000-0005-0000-0000-0000DA040000}"/>
    <cellStyle name="40% - Accent6 19" xfId="1247" xr:uid="{00000000-0005-0000-0000-0000DB040000}"/>
    <cellStyle name="40% - Accent6 2" xfId="1248" xr:uid="{00000000-0005-0000-0000-0000DC040000}"/>
    <cellStyle name="40% - Accent6 2 10" xfId="1249" xr:uid="{00000000-0005-0000-0000-0000DD040000}"/>
    <cellStyle name="40% - Accent6 2 11" xfId="1250" xr:uid="{00000000-0005-0000-0000-0000DE040000}"/>
    <cellStyle name="40% - Accent6 2 12" xfId="1251" xr:uid="{00000000-0005-0000-0000-0000DF040000}"/>
    <cellStyle name="40% - Accent6 2 13" xfId="1252" xr:uid="{00000000-0005-0000-0000-0000E0040000}"/>
    <cellStyle name="40% - Accent6 2 14" xfId="1253" xr:uid="{00000000-0005-0000-0000-0000E1040000}"/>
    <cellStyle name="40% - Accent6 2 15" xfId="1254" xr:uid="{00000000-0005-0000-0000-0000E2040000}"/>
    <cellStyle name="40% - Accent6 2 2" xfId="1255" xr:uid="{00000000-0005-0000-0000-0000E3040000}"/>
    <cellStyle name="40% - Accent6 2 3" xfId="1256" xr:uid="{00000000-0005-0000-0000-0000E4040000}"/>
    <cellStyle name="40% - Accent6 2 4" xfId="1257" xr:uid="{00000000-0005-0000-0000-0000E5040000}"/>
    <cellStyle name="40% - Accent6 2 5" xfId="1258" xr:uid="{00000000-0005-0000-0000-0000E6040000}"/>
    <cellStyle name="40% - Accent6 2 6" xfId="1259" xr:uid="{00000000-0005-0000-0000-0000E7040000}"/>
    <cellStyle name="40% - Accent6 2 7" xfId="1260" xr:uid="{00000000-0005-0000-0000-0000E8040000}"/>
    <cellStyle name="40% - Accent6 2 8" xfId="1261" xr:uid="{00000000-0005-0000-0000-0000E9040000}"/>
    <cellStyle name="40% - Accent6 2 9" xfId="1262" xr:uid="{00000000-0005-0000-0000-0000EA040000}"/>
    <cellStyle name="40% - Accent6 2_Display" xfId="1263" xr:uid="{00000000-0005-0000-0000-0000EB040000}"/>
    <cellStyle name="40% - Accent6 20" xfId="4328" xr:uid="{00000000-0005-0000-0000-0000EC040000}"/>
    <cellStyle name="40% - Accent6 3" xfId="1264" xr:uid="{00000000-0005-0000-0000-0000ED040000}"/>
    <cellStyle name="40% - Accent6 3 2" xfId="1265" xr:uid="{00000000-0005-0000-0000-0000EE040000}"/>
    <cellStyle name="40% - Accent6 3 3" xfId="1266" xr:uid="{00000000-0005-0000-0000-0000EF040000}"/>
    <cellStyle name="40% - Accent6 3 4" xfId="1267" xr:uid="{00000000-0005-0000-0000-0000F0040000}"/>
    <cellStyle name="40% - Accent6 3 5" xfId="1268" xr:uid="{00000000-0005-0000-0000-0000F1040000}"/>
    <cellStyle name="40% - Accent6 3 5 2" xfId="1269" xr:uid="{00000000-0005-0000-0000-0000F2040000}"/>
    <cellStyle name="40% - Accent6 3 6" xfId="1270" xr:uid="{00000000-0005-0000-0000-0000F3040000}"/>
    <cellStyle name="40% - Accent6 3 7" xfId="1271" xr:uid="{00000000-0005-0000-0000-0000F4040000}"/>
    <cellStyle name="40% - Accent6 3 8" xfId="1272" xr:uid="{00000000-0005-0000-0000-0000F5040000}"/>
    <cellStyle name="40% - Accent6 3 9" xfId="1273" xr:uid="{00000000-0005-0000-0000-0000F6040000}"/>
    <cellStyle name="40% - Accent6 3_Display" xfId="1274" xr:uid="{00000000-0005-0000-0000-0000F7040000}"/>
    <cellStyle name="40% - Accent6 4" xfId="1275" xr:uid="{00000000-0005-0000-0000-0000F8040000}"/>
    <cellStyle name="40% - Accent6 4 2" xfId="1276" xr:uid="{00000000-0005-0000-0000-0000F9040000}"/>
    <cellStyle name="40% - Accent6 4_Display" xfId="1277" xr:uid="{00000000-0005-0000-0000-0000FA040000}"/>
    <cellStyle name="40% - Accent6 5" xfId="1278" xr:uid="{00000000-0005-0000-0000-0000FB040000}"/>
    <cellStyle name="40% - Accent6 5 2" xfId="1279" xr:uid="{00000000-0005-0000-0000-0000FC040000}"/>
    <cellStyle name="40% - Accent6 5_Display" xfId="1280" xr:uid="{00000000-0005-0000-0000-0000FD040000}"/>
    <cellStyle name="40% - Accent6 6" xfId="1281" xr:uid="{00000000-0005-0000-0000-0000FE040000}"/>
    <cellStyle name="40% - Accent6 6 2" xfId="1282" xr:uid="{00000000-0005-0000-0000-0000FF040000}"/>
    <cellStyle name="40% - Accent6 6_Display" xfId="1283" xr:uid="{00000000-0005-0000-0000-000000050000}"/>
    <cellStyle name="40% - Accent6 7" xfId="1284" xr:uid="{00000000-0005-0000-0000-000001050000}"/>
    <cellStyle name="40% - Accent6 8" xfId="1285" xr:uid="{00000000-0005-0000-0000-000002050000}"/>
    <cellStyle name="40% - Accent6 9" xfId="1286" xr:uid="{00000000-0005-0000-0000-000003050000}"/>
    <cellStyle name="40% - Accent6 9 2" xfId="1287" xr:uid="{00000000-0005-0000-0000-000004050000}"/>
    <cellStyle name="40% - Accent6 9 2 2" xfId="1288" xr:uid="{00000000-0005-0000-0000-000005050000}"/>
    <cellStyle name="40% - Accent6 9 3" xfId="1289" xr:uid="{00000000-0005-0000-0000-000006050000}"/>
    <cellStyle name="40% - Accent6 9 4" xfId="1290" xr:uid="{00000000-0005-0000-0000-000007050000}"/>
    <cellStyle name="40% - Accent6 9 5" xfId="1291" xr:uid="{00000000-0005-0000-0000-000008050000}"/>
    <cellStyle name="40% - 强调文字颜色 1" xfId="1292" xr:uid="{00000000-0005-0000-0000-000009050000}"/>
    <cellStyle name="40% - 强调文字颜色 2" xfId="1293" xr:uid="{00000000-0005-0000-0000-00000A050000}"/>
    <cellStyle name="40% - 强调文字颜色 3" xfId="1294" xr:uid="{00000000-0005-0000-0000-00000B050000}"/>
    <cellStyle name="40% - 强调文字颜色 4" xfId="1295" xr:uid="{00000000-0005-0000-0000-00000C050000}"/>
    <cellStyle name="40% - 强调文字颜色 5" xfId="1296" xr:uid="{00000000-0005-0000-0000-00000D050000}"/>
    <cellStyle name="40% - 强调文字颜色 6" xfId="1297" xr:uid="{00000000-0005-0000-0000-00000E050000}"/>
    <cellStyle name="40% - 輔色1" xfId="1298" xr:uid="{00000000-0005-0000-0000-00000F050000}"/>
    <cellStyle name="40% - 輔色2" xfId="1299" xr:uid="{00000000-0005-0000-0000-000010050000}"/>
    <cellStyle name="40% - 輔色3" xfId="1300" xr:uid="{00000000-0005-0000-0000-000011050000}"/>
    <cellStyle name="40% - 輔色4" xfId="1301" xr:uid="{00000000-0005-0000-0000-000012050000}"/>
    <cellStyle name="40% - 輔色5" xfId="1302" xr:uid="{00000000-0005-0000-0000-000013050000}"/>
    <cellStyle name="40% - 輔色6" xfId="1303" xr:uid="{00000000-0005-0000-0000-000014050000}"/>
    <cellStyle name="60% - Accent1 10" xfId="1304" xr:uid="{00000000-0005-0000-0000-000015050000}"/>
    <cellStyle name="60% - Accent1 10 2" xfId="1305" xr:uid="{00000000-0005-0000-0000-000016050000}"/>
    <cellStyle name="60% - Accent1 10 3" xfId="1306" xr:uid="{00000000-0005-0000-0000-000017050000}"/>
    <cellStyle name="60% - Accent1 11" xfId="1307" xr:uid="{00000000-0005-0000-0000-000018050000}"/>
    <cellStyle name="60% - Accent1 11 2" xfId="1308" xr:uid="{00000000-0005-0000-0000-000019050000}"/>
    <cellStyle name="60% - Accent1 11 3" xfId="1309" xr:uid="{00000000-0005-0000-0000-00001A050000}"/>
    <cellStyle name="60% - Accent1 12" xfId="1310" xr:uid="{00000000-0005-0000-0000-00001B050000}"/>
    <cellStyle name="60% - Accent1 12 2" xfId="1311" xr:uid="{00000000-0005-0000-0000-00001C050000}"/>
    <cellStyle name="60% - Accent1 12 3" xfId="1312" xr:uid="{00000000-0005-0000-0000-00001D050000}"/>
    <cellStyle name="60% - Accent1 13" xfId="1313" xr:uid="{00000000-0005-0000-0000-00001E050000}"/>
    <cellStyle name="60% - Accent1 13 2" xfId="1314" xr:uid="{00000000-0005-0000-0000-00001F050000}"/>
    <cellStyle name="60% - Accent1 13 3" xfId="1315" xr:uid="{00000000-0005-0000-0000-000020050000}"/>
    <cellStyle name="60% - Accent1 14" xfId="1316" xr:uid="{00000000-0005-0000-0000-000021050000}"/>
    <cellStyle name="60% - Accent1 14 2" xfId="1317" xr:uid="{00000000-0005-0000-0000-000022050000}"/>
    <cellStyle name="60% - Accent1 14 3" xfId="1318" xr:uid="{00000000-0005-0000-0000-000023050000}"/>
    <cellStyle name="60% - Accent1 15" xfId="1319" xr:uid="{00000000-0005-0000-0000-000024050000}"/>
    <cellStyle name="60% - Accent1 15 2" xfId="1320" xr:uid="{00000000-0005-0000-0000-000025050000}"/>
    <cellStyle name="60% - Accent1 15 3" xfId="1321" xr:uid="{00000000-0005-0000-0000-000026050000}"/>
    <cellStyle name="60% - Accent1 16" xfId="1322" xr:uid="{00000000-0005-0000-0000-000027050000}"/>
    <cellStyle name="60% - Accent1 17" xfId="1323" xr:uid="{00000000-0005-0000-0000-000028050000}"/>
    <cellStyle name="60% - Accent1 18" xfId="1324" xr:uid="{00000000-0005-0000-0000-000029050000}"/>
    <cellStyle name="60% - Accent1 19" xfId="1325" xr:uid="{00000000-0005-0000-0000-00002A050000}"/>
    <cellStyle name="60% - Accent1 2" xfId="1326" xr:uid="{00000000-0005-0000-0000-00002B050000}"/>
    <cellStyle name="60% - Accent1 2 10" xfId="1327" xr:uid="{00000000-0005-0000-0000-00002C050000}"/>
    <cellStyle name="60% - Accent1 2 11" xfId="1328" xr:uid="{00000000-0005-0000-0000-00002D050000}"/>
    <cellStyle name="60% - Accent1 2 12" xfId="1329" xr:uid="{00000000-0005-0000-0000-00002E050000}"/>
    <cellStyle name="60% - Accent1 2 13" xfId="1330" xr:uid="{00000000-0005-0000-0000-00002F050000}"/>
    <cellStyle name="60% - Accent1 2 14" xfId="1331" xr:uid="{00000000-0005-0000-0000-000030050000}"/>
    <cellStyle name="60% - Accent1 2 15" xfId="1332" xr:uid="{00000000-0005-0000-0000-000031050000}"/>
    <cellStyle name="60% - Accent1 2 2" xfId="1333" xr:uid="{00000000-0005-0000-0000-000032050000}"/>
    <cellStyle name="60% - Accent1 2 3" xfId="1334" xr:uid="{00000000-0005-0000-0000-000033050000}"/>
    <cellStyle name="60% - Accent1 2 4" xfId="1335" xr:uid="{00000000-0005-0000-0000-000034050000}"/>
    <cellStyle name="60% - Accent1 2 5" xfId="1336" xr:uid="{00000000-0005-0000-0000-000035050000}"/>
    <cellStyle name="60% - Accent1 2 6" xfId="1337" xr:uid="{00000000-0005-0000-0000-000036050000}"/>
    <cellStyle name="60% - Accent1 2 7" xfId="1338" xr:uid="{00000000-0005-0000-0000-000037050000}"/>
    <cellStyle name="60% - Accent1 2 8" xfId="1339" xr:uid="{00000000-0005-0000-0000-000038050000}"/>
    <cellStyle name="60% - Accent1 2 9" xfId="1340" xr:uid="{00000000-0005-0000-0000-000039050000}"/>
    <cellStyle name="60% - Accent1 20" xfId="4329" xr:uid="{00000000-0005-0000-0000-00003A050000}"/>
    <cellStyle name="60% - Accent1 3" xfId="1341" xr:uid="{00000000-0005-0000-0000-00003B050000}"/>
    <cellStyle name="60% - Accent1 3 2" xfId="1342" xr:uid="{00000000-0005-0000-0000-00003C050000}"/>
    <cellStyle name="60% - Accent1 3 3" xfId="1343" xr:uid="{00000000-0005-0000-0000-00003D050000}"/>
    <cellStyle name="60% - Accent1 3 4" xfId="1344" xr:uid="{00000000-0005-0000-0000-00003E050000}"/>
    <cellStyle name="60% - Accent1 3 5" xfId="1345" xr:uid="{00000000-0005-0000-0000-00003F050000}"/>
    <cellStyle name="60% - Accent1 3 5 2" xfId="1346" xr:uid="{00000000-0005-0000-0000-000040050000}"/>
    <cellStyle name="60% - Accent1 3 6" xfId="1347" xr:uid="{00000000-0005-0000-0000-000041050000}"/>
    <cellStyle name="60% - Accent1 3 7" xfId="1348" xr:uid="{00000000-0005-0000-0000-000042050000}"/>
    <cellStyle name="60% - Accent1 3 8" xfId="1349" xr:uid="{00000000-0005-0000-0000-000043050000}"/>
    <cellStyle name="60% - Accent1 3 9" xfId="1350" xr:uid="{00000000-0005-0000-0000-000044050000}"/>
    <cellStyle name="60% - Accent1 4" xfId="1351" xr:uid="{00000000-0005-0000-0000-000045050000}"/>
    <cellStyle name="60% - Accent1 4 2" xfId="1352" xr:uid="{00000000-0005-0000-0000-000046050000}"/>
    <cellStyle name="60% - Accent1 5" xfId="1353" xr:uid="{00000000-0005-0000-0000-000047050000}"/>
    <cellStyle name="60% - Accent1 5 2" xfId="1354" xr:uid="{00000000-0005-0000-0000-000048050000}"/>
    <cellStyle name="60% - Accent1 6" xfId="1355" xr:uid="{00000000-0005-0000-0000-000049050000}"/>
    <cellStyle name="60% - Accent1 6 2" xfId="1356" xr:uid="{00000000-0005-0000-0000-00004A050000}"/>
    <cellStyle name="60% - Accent1 7" xfId="1357" xr:uid="{00000000-0005-0000-0000-00004B050000}"/>
    <cellStyle name="60% - Accent1 8" xfId="1358" xr:uid="{00000000-0005-0000-0000-00004C050000}"/>
    <cellStyle name="60% - Accent1 9" xfId="1359" xr:uid="{00000000-0005-0000-0000-00004D050000}"/>
    <cellStyle name="60% - Accent1 9 2" xfId="1360" xr:uid="{00000000-0005-0000-0000-00004E050000}"/>
    <cellStyle name="60% - Accent1 9 2 2" xfId="1361" xr:uid="{00000000-0005-0000-0000-00004F050000}"/>
    <cellStyle name="60% - Accent1 9 3" xfId="1362" xr:uid="{00000000-0005-0000-0000-000050050000}"/>
    <cellStyle name="60% - Accent1 9 4" xfId="1363" xr:uid="{00000000-0005-0000-0000-000051050000}"/>
    <cellStyle name="60% - Accent1 9 5" xfId="1364" xr:uid="{00000000-0005-0000-0000-000052050000}"/>
    <cellStyle name="60% - Accent2 10" xfId="1365" xr:uid="{00000000-0005-0000-0000-000053050000}"/>
    <cellStyle name="60% - Accent2 10 2" xfId="1366" xr:uid="{00000000-0005-0000-0000-000054050000}"/>
    <cellStyle name="60% - Accent2 10 3" xfId="1367" xr:uid="{00000000-0005-0000-0000-000055050000}"/>
    <cellStyle name="60% - Accent2 11" xfId="1368" xr:uid="{00000000-0005-0000-0000-000056050000}"/>
    <cellStyle name="60% - Accent2 11 2" xfId="1369" xr:uid="{00000000-0005-0000-0000-000057050000}"/>
    <cellStyle name="60% - Accent2 11 3" xfId="1370" xr:uid="{00000000-0005-0000-0000-000058050000}"/>
    <cellStyle name="60% - Accent2 12" xfId="1371" xr:uid="{00000000-0005-0000-0000-000059050000}"/>
    <cellStyle name="60% - Accent2 12 2" xfId="1372" xr:uid="{00000000-0005-0000-0000-00005A050000}"/>
    <cellStyle name="60% - Accent2 12 3" xfId="1373" xr:uid="{00000000-0005-0000-0000-00005B050000}"/>
    <cellStyle name="60% - Accent2 13" xfId="1374" xr:uid="{00000000-0005-0000-0000-00005C050000}"/>
    <cellStyle name="60% - Accent2 13 2" xfId="1375" xr:uid="{00000000-0005-0000-0000-00005D050000}"/>
    <cellStyle name="60% - Accent2 13 3" xfId="1376" xr:uid="{00000000-0005-0000-0000-00005E050000}"/>
    <cellStyle name="60% - Accent2 14" xfId="1377" xr:uid="{00000000-0005-0000-0000-00005F050000}"/>
    <cellStyle name="60% - Accent2 14 2" xfId="1378" xr:uid="{00000000-0005-0000-0000-000060050000}"/>
    <cellStyle name="60% - Accent2 14 3" xfId="1379" xr:uid="{00000000-0005-0000-0000-000061050000}"/>
    <cellStyle name="60% - Accent2 15" xfId="1380" xr:uid="{00000000-0005-0000-0000-000062050000}"/>
    <cellStyle name="60% - Accent2 15 2" xfId="1381" xr:uid="{00000000-0005-0000-0000-000063050000}"/>
    <cellStyle name="60% - Accent2 15 3" xfId="1382" xr:uid="{00000000-0005-0000-0000-000064050000}"/>
    <cellStyle name="60% - Accent2 16" xfId="1383" xr:uid="{00000000-0005-0000-0000-000065050000}"/>
    <cellStyle name="60% - Accent2 17" xfId="1384" xr:uid="{00000000-0005-0000-0000-000066050000}"/>
    <cellStyle name="60% - Accent2 18" xfId="1385" xr:uid="{00000000-0005-0000-0000-000067050000}"/>
    <cellStyle name="60% - Accent2 19" xfId="1386" xr:uid="{00000000-0005-0000-0000-000068050000}"/>
    <cellStyle name="60% - Accent2 2" xfId="1387" xr:uid="{00000000-0005-0000-0000-000069050000}"/>
    <cellStyle name="60% - Accent2 2 10" xfId="1388" xr:uid="{00000000-0005-0000-0000-00006A050000}"/>
    <cellStyle name="60% - Accent2 2 11" xfId="1389" xr:uid="{00000000-0005-0000-0000-00006B050000}"/>
    <cellStyle name="60% - Accent2 2 12" xfId="1390" xr:uid="{00000000-0005-0000-0000-00006C050000}"/>
    <cellStyle name="60% - Accent2 2 13" xfId="1391" xr:uid="{00000000-0005-0000-0000-00006D050000}"/>
    <cellStyle name="60% - Accent2 2 14" xfId="1392" xr:uid="{00000000-0005-0000-0000-00006E050000}"/>
    <cellStyle name="60% - Accent2 2 15" xfId="1393" xr:uid="{00000000-0005-0000-0000-00006F050000}"/>
    <cellStyle name="60% - Accent2 2 2" xfId="1394" xr:uid="{00000000-0005-0000-0000-000070050000}"/>
    <cellStyle name="60% - Accent2 2 3" xfId="1395" xr:uid="{00000000-0005-0000-0000-000071050000}"/>
    <cellStyle name="60% - Accent2 2 4" xfId="1396" xr:uid="{00000000-0005-0000-0000-000072050000}"/>
    <cellStyle name="60% - Accent2 2 5" xfId="1397" xr:uid="{00000000-0005-0000-0000-000073050000}"/>
    <cellStyle name="60% - Accent2 2 6" xfId="1398" xr:uid="{00000000-0005-0000-0000-000074050000}"/>
    <cellStyle name="60% - Accent2 2 7" xfId="1399" xr:uid="{00000000-0005-0000-0000-000075050000}"/>
    <cellStyle name="60% - Accent2 2 8" xfId="1400" xr:uid="{00000000-0005-0000-0000-000076050000}"/>
    <cellStyle name="60% - Accent2 2 9" xfId="1401" xr:uid="{00000000-0005-0000-0000-000077050000}"/>
    <cellStyle name="60% - Accent2 20" xfId="4330" xr:uid="{00000000-0005-0000-0000-000078050000}"/>
    <cellStyle name="60% - Accent2 3" xfId="1402" xr:uid="{00000000-0005-0000-0000-000079050000}"/>
    <cellStyle name="60% - Accent2 3 2" xfId="1403" xr:uid="{00000000-0005-0000-0000-00007A050000}"/>
    <cellStyle name="60% - Accent2 3 3" xfId="1404" xr:uid="{00000000-0005-0000-0000-00007B050000}"/>
    <cellStyle name="60% - Accent2 3 4" xfId="1405" xr:uid="{00000000-0005-0000-0000-00007C050000}"/>
    <cellStyle name="60% - Accent2 3 5" xfId="1406" xr:uid="{00000000-0005-0000-0000-00007D050000}"/>
    <cellStyle name="60% - Accent2 3 6" xfId="1407" xr:uid="{00000000-0005-0000-0000-00007E050000}"/>
    <cellStyle name="60% - Accent2 3 7" xfId="1408" xr:uid="{00000000-0005-0000-0000-00007F050000}"/>
    <cellStyle name="60% - Accent2 3 8" xfId="1409" xr:uid="{00000000-0005-0000-0000-000080050000}"/>
    <cellStyle name="60% - Accent2 4" xfId="1410" xr:uid="{00000000-0005-0000-0000-000081050000}"/>
    <cellStyle name="60% - Accent2 4 2" xfId="1411" xr:uid="{00000000-0005-0000-0000-000082050000}"/>
    <cellStyle name="60% - Accent2 5" xfId="1412" xr:uid="{00000000-0005-0000-0000-000083050000}"/>
    <cellStyle name="60% - Accent2 5 2" xfId="1413" xr:uid="{00000000-0005-0000-0000-000084050000}"/>
    <cellStyle name="60% - Accent2 6" xfId="1414" xr:uid="{00000000-0005-0000-0000-000085050000}"/>
    <cellStyle name="60% - Accent2 6 2" xfId="1415" xr:uid="{00000000-0005-0000-0000-000086050000}"/>
    <cellStyle name="60% - Accent2 7" xfId="1416" xr:uid="{00000000-0005-0000-0000-000087050000}"/>
    <cellStyle name="60% - Accent2 8" xfId="1417" xr:uid="{00000000-0005-0000-0000-000088050000}"/>
    <cellStyle name="60% - Accent2 9" xfId="1418" xr:uid="{00000000-0005-0000-0000-000089050000}"/>
    <cellStyle name="60% - Accent2 9 2" xfId="1419" xr:uid="{00000000-0005-0000-0000-00008A050000}"/>
    <cellStyle name="60% - Accent2 9 3" xfId="1420" xr:uid="{00000000-0005-0000-0000-00008B050000}"/>
    <cellStyle name="60% - Accent2 9 4" xfId="1421" xr:uid="{00000000-0005-0000-0000-00008C050000}"/>
    <cellStyle name="60% - Accent3 10" xfId="1422" xr:uid="{00000000-0005-0000-0000-00008D050000}"/>
    <cellStyle name="60% - Accent3 10 2" xfId="1423" xr:uid="{00000000-0005-0000-0000-00008E050000}"/>
    <cellStyle name="60% - Accent3 10 3" xfId="1424" xr:uid="{00000000-0005-0000-0000-00008F050000}"/>
    <cellStyle name="60% - Accent3 11" xfId="1425" xr:uid="{00000000-0005-0000-0000-000090050000}"/>
    <cellStyle name="60% - Accent3 11 2" xfId="1426" xr:uid="{00000000-0005-0000-0000-000091050000}"/>
    <cellStyle name="60% - Accent3 11 3" xfId="1427" xr:uid="{00000000-0005-0000-0000-000092050000}"/>
    <cellStyle name="60% - Accent3 12" xfId="1428" xr:uid="{00000000-0005-0000-0000-000093050000}"/>
    <cellStyle name="60% - Accent3 12 2" xfId="1429" xr:uid="{00000000-0005-0000-0000-000094050000}"/>
    <cellStyle name="60% - Accent3 12 3" xfId="1430" xr:uid="{00000000-0005-0000-0000-000095050000}"/>
    <cellStyle name="60% - Accent3 13" xfId="1431" xr:uid="{00000000-0005-0000-0000-000096050000}"/>
    <cellStyle name="60% - Accent3 13 2" xfId="1432" xr:uid="{00000000-0005-0000-0000-000097050000}"/>
    <cellStyle name="60% - Accent3 13 3" xfId="1433" xr:uid="{00000000-0005-0000-0000-000098050000}"/>
    <cellStyle name="60% - Accent3 14" xfId="1434" xr:uid="{00000000-0005-0000-0000-000099050000}"/>
    <cellStyle name="60% - Accent3 14 2" xfId="1435" xr:uid="{00000000-0005-0000-0000-00009A050000}"/>
    <cellStyle name="60% - Accent3 14 3" xfId="1436" xr:uid="{00000000-0005-0000-0000-00009B050000}"/>
    <cellStyle name="60% - Accent3 15" xfId="1437" xr:uid="{00000000-0005-0000-0000-00009C050000}"/>
    <cellStyle name="60% - Accent3 15 2" xfId="1438" xr:uid="{00000000-0005-0000-0000-00009D050000}"/>
    <cellStyle name="60% - Accent3 15 3" xfId="1439" xr:uid="{00000000-0005-0000-0000-00009E050000}"/>
    <cellStyle name="60% - Accent3 16" xfId="1440" xr:uid="{00000000-0005-0000-0000-00009F050000}"/>
    <cellStyle name="60% - Accent3 17" xfId="1441" xr:uid="{00000000-0005-0000-0000-0000A0050000}"/>
    <cellStyle name="60% - Accent3 18" xfId="1442" xr:uid="{00000000-0005-0000-0000-0000A1050000}"/>
    <cellStyle name="60% - Accent3 19" xfId="1443" xr:uid="{00000000-0005-0000-0000-0000A2050000}"/>
    <cellStyle name="60% - Accent3 2" xfId="1444" xr:uid="{00000000-0005-0000-0000-0000A3050000}"/>
    <cellStyle name="60% - Accent3 2 10" xfId="1445" xr:uid="{00000000-0005-0000-0000-0000A4050000}"/>
    <cellStyle name="60% - Accent3 2 11" xfId="1446" xr:uid="{00000000-0005-0000-0000-0000A5050000}"/>
    <cellStyle name="60% - Accent3 2 12" xfId="1447" xr:uid="{00000000-0005-0000-0000-0000A6050000}"/>
    <cellStyle name="60% - Accent3 2 13" xfId="1448" xr:uid="{00000000-0005-0000-0000-0000A7050000}"/>
    <cellStyle name="60% - Accent3 2 14" xfId="1449" xr:uid="{00000000-0005-0000-0000-0000A8050000}"/>
    <cellStyle name="60% - Accent3 2 15" xfId="1450" xr:uid="{00000000-0005-0000-0000-0000A9050000}"/>
    <cellStyle name="60% - Accent3 2 2" xfId="1451" xr:uid="{00000000-0005-0000-0000-0000AA050000}"/>
    <cellStyle name="60% - Accent3 2 3" xfId="1452" xr:uid="{00000000-0005-0000-0000-0000AB050000}"/>
    <cellStyle name="60% - Accent3 2 4" xfId="1453" xr:uid="{00000000-0005-0000-0000-0000AC050000}"/>
    <cellStyle name="60% - Accent3 2 5" xfId="1454" xr:uid="{00000000-0005-0000-0000-0000AD050000}"/>
    <cellStyle name="60% - Accent3 2 6" xfId="1455" xr:uid="{00000000-0005-0000-0000-0000AE050000}"/>
    <cellStyle name="60% - Accent3 2 7" xfId="1456" xr:uid="{00000000-0005-0000-0000-0000AF050000}"/>
    <cellStyle name="60% - Accent3 2 8" xfId="1457" xr:uid="{00000000-0005-0000-0000-0000B0050000}"/>
    <cellStyle name="60% - Accent3 2 9" xfId="1458" xr:uid="{00000000-0005-0000-0000-0000B1050000}"/>
    <cellStyle name="60% - Accent3 20" xfId="4331" xr:uid="{00000000-0005-0000-0000-0000B2050000}"/>
    <cellStyle name="60% - Accent3 3" xfId="1459" xr:uid="{00000000-0005-0000-0000-0000B3050000}"/>
    <cellStyle name="60% - Accent3 3 2" xfId="1460" xr:uid="{00000000-0005-0000-0000-0000B4050000}"/>
    <cellStyle name="60% - Accent3 3 3" xfId="1461" xr:uid="{00000000-0005-0000-0000-0000B5050000}"/>
    <cellStyle name="60% - Accent3 3 4" xfId="1462" xr:uid="{00000000-0005-0000-0000-0000B6050000}"/>
    <cellStyle name="60% - Accent3 3 5" xfId="1463" xr:uid="{00000000-0005-0000-0000-0000B7050000}"/>
    <cellStyle name="60% - Accent3 3 5 2" xfId="1464" xr:uid="{00000000-0005-0000-0000-0000B8050000}"/>
    <cellStyle name="60% - Accent3 3 6" xfId="1465" xr:uid="{00000000-0005-0000-0000-0000B9050000}"/>
    <cellStyle name="60% - Accent3 3 7" xfId="1466" xr:uid="{00000000-0005-0000-0000-0000BA050000}"/>
    <cellStyle name="60% - Accent3 3 8" xfId="1467" xr:uid="{00000000-0005-0000-0000-0000BB050000}"/>
    <cellStyle name="60% - Accent3 3 9" xfId="1468" xr:uid="{00000000-0005-0000-0000-0000BC050000}"/>
    <cellStyle name="60% - Accent3 4" xfId="1469" xr:uid="{00000000-0005-0000-0000-0000BD050000}"/>
    <cellStyle name="60% - Accent3 4 2" xfId="1470" xr:uid="{00000000-0005-0000-0000-0000BE050000}"/>
    <cellStyle name="60% - Accent3 5" xfId="1471" xr:uid="{00000000-0005-0000-0000-0000BF050000}"/>
    <cellStyle name="60% - Accent3 5 2" xfId="1472" xr:uid="{00000000-0005-0000-0000-0000C0050000}"/>
    <cellStyle name="60% - Accent3 6" xfId="1473" xr:uid="{00000000-0005-0000-0000-0000C1050000}"/>
    <cellStyle name="60% - Accent3 6 2" xfId="1474" xr:uid="{00000000-0005-0000-0000-0000C2050000}"/>
    <cellStyle name="60% - Accent3 7" xfId="1475" xr:uid="{00000000-0005-0000-0000-0000C3050000}"/>
    <cellStyle name="60% - Accent3 8" xfId="1476" xr:uid="{00000000-0005-0000-0000-0000C4050000}"/>
    <cellStyle name="60% - Accent3 9" xfId="1477" xr:uid="{00000000-0005-0000-0000-0000C5050000}"/>
    <cellStyle name="60% - Accent3 9 2" xfId="1478" xr:uid="{00000000-0005-0000-0000-0000C6050000}"/>
    <cellStyle name="60% - Accent3 9 2 2" xfId="1479" xr:uid="{00000000-0005-0000-0000-0000C7050000}"/>
    <cellStyle name="60% - Accent3 9 3" xfId="1480" xr:uid="{00000000-0005-0000-0000-0000C8050000}"/>
    <cellStyle name="60% - Accent3 9 4" xfId="1481" xr:uid="{00000000-0005-0000-0000-0000C9050000}"/>
    <cellStyle name="60% - Accent3 9 5" xfId="1482" xr:uid="{00000000-0005-0000-0000-0000CA050000}"/>
    <cellStyle name="60% - Accent4 10" xfId="1483" xr:uid="{00000000-0005-0000-0000-0000CB050000}"/>
    <cellStyle name="60% - Accent4 10 2" xfId="1484" xr:uid="{00000000-0005-0000-0000-0000CC050000}"/>
    <cellStyle name="60% - Accent4 10 3" xfId="1485" xr:uid="{00000000-0005-0000-0000-0000CD050000}"/>
    <cellStyle name="60% - Accent4 11" xfId="1486" xr:uid="{00000000-0005-0000-0000-0000CE050000}"/>
    <cellStyle name="60% - Accent4 11 2" xfId="1487" xr:uid="{00000000-0005-0000-0000-0000CF050000}"/>
    <cellStyle name="60% - Accent4 11 3" xfId="1488" xr:uid="{00000000-0005-0000-0000-0000D0050000}"/>
    <cellStyle name="60% - Accent4 12" xfId="1489" xr:uid="{00000000-0005-0000-0000-0000D1050000}"/>
    <cellStyle name="60% - Accent4 12 2" xfId="1490" xr:uid="{00000000-0005-0000-0000-0000D2050000}"/>
    <cellStyle name="60% - Accent4 12 3" xfId="1491" xr:uid="{00000000-0005-0000-0000-0000D3050000}"/>
    <cellStyle name="60% - Accent4 13" xfId="1492" xr:uid="{00000000-0005-0000-0000-0000D4050000}"/>
    <cellStyle name="60% - Accent4 13 2" xfId="1493" xr:uid="{00000000-0005-0000-0000-0000D5050000}"/>
    <cellStyle name="60% - Accent4 13 3" xfId="1494" xr:uid="{00000000-0005-0000-0000-0000D6050000}"/>
    <cellStyle name="60% - Accent4 14" xfId="1495" xr:uid="{00000000-0005-0000-0000-0000D7050000}"/>
    <cellStyle name="60% - Accent4 14 2" xfId="1496" xr:uid="{00000000-0005-0000-0000-0000D8050000}"/>
    <cellStyle name="60% - Accent4 14 3" xfId="1497" xr:uid="{00000000-0005-0000-0000-0000D9050000}"/>
    <cellStyle name="60% - Accent4 15" xfId="1498" xr:uid="{00000000-0005-0000-0000-0000DA050000}"/>
    <cellStyle name="60% - Accent4 15 2" xfId="1499" xr:uid="{00000000-0005-0000-0000-0000DB050000}"/>
    <cellStyle name="60% - Accent4 15 3" xfId="1500" xr:uid="{00000000-0005-0000-0000-0000DC050000}"/>
    <cellStyle name="60% - Accent4 16" xfId="1501" xr:uid="{00000000-0005-0000-0000-0000DD050000}"/>
    <cellStyle name="60% - Accent4 17" xfId="1502" xr:uid="{00000000-0005-0000-0000-0000DE050000}"/>
    <cellStyle name="60% - Accent4 18" xfId="1503" xr:uid="{00000000-0005-0000-0000-0000DF050000}"/>
    <cellStyle name="60% - Accent4 19" xfId="1504" xr:uid="{00000000-0005-0000-0000-0000E0050000}"/>
    <cellStyle name="60% - Accent4 2" xfId="1505" xr:uid="{00000000-0005-0000-0000-0000E1050000}"/>
    <cellStyle name="60% - Accent4 2 10" xfId="1506" xr:uid="{00000000-0005-0000-0000-0000E2050000}"/>
    <cellStyle name="60% - Accent4 2 11" xfId="1507" xr:uid="{00000000-0005-0000-0000-0000E3050000}"/>
    <cellStyle name="60% - Accent4 2 12" xfId="1508" xr:uid="{00000000-0005-0000-0000-0000E4050000}"/>
    <cellStyle name="60% - Accent4 2 13" xfId="1509" xr:uid="{00000000-0005-0000-0000-0000E5050000}"/>
    <cellStyle name="60% - Accent4 2 14" xfId="1510" xr:uid="{00000000-0005-0000-0000-0000E6050000}"/>
    <cellStyle name="60% - Accent4 2 15" xfId="1511" xr:uid="{00000000-0005-0000-0000-0000E7050000}"/>
    <cellStyle name="60% - Accent4 2 2" xfId="1512" xr:uid="{00000000-0005-0000-0000-0000E8050000}"/>
    <cellStyle name="60% - Accent4 2 3" xfId="1513" xr:uid="{00000000-0005-0000-0000-0000E9050000}"/>
    <cellStyle name="60% - Accent4 2 4" xfId="1514" xr:uid="{00000000-0005-0000-0000-0000EA050000}"/>
    <cellStyle name="60% - Accent4 2 5" xfId="1515" xr:uid="{00000000-0005-0000-0000-0000EB050000}"/>
    <cellStyle name="60% - Accent4 2 6" xfId="1516" xr:uid="{00000000-0005-0000-0000-0000EC050000}"/>
    <cellStyle name="60% - Accent4 2 7" xfId="1517" xr:uid="{00000000-0005-0000-0000-0000ED050000}"/>
    <cellStyle name="60% - Accent4 2 8" xfId="1518" xr:uid="{00000000-0005-0000-0000-0000EE050000}"/>
    <cellStyle name="60% - Accent4 2 9" xfId="1519" xr:uid="{00000000-0005-0000-0000-0000EF050000}"/>
    <cellStyle name="60% - Accent4 20" xfId="4332" xr:uid="{00000000-0005-0000-0000-0000F0050000}"/>
    <cellStyle name="60% - Accent4 3" xfId="1520" xr:uid="{00000000-0005-0000-0000-0000F1050000}"/>
    <cellStyle name="60% - Accent4 3 2" xfId="1521" xr:uid="{00000000-0005-0000-0000-0000F2050000}"/>
    <cellStyle name="60% - Accent4 3 3" xfId="1522" xr:uid="{00000000-0005-0000-0000-0000F3050000}"/>
    <cellStyle name="60% - Accent4 3 4" xfId="1523" xr:uid="{00000000-0005-0000-0000-0000F4050000}"/>
    <cellStyle name="60% - Accent4 3 5" xfId="1524" xr:uid="{00000000-0005-0000-0000-0000F5050000}"/>
    <cellStyle name="60% - Accent4 3 5 2" xfId="1525" xr:uid="{00000000-0005-0000-0000-0000F6050000}"/>
    <cellStyle name="60% - Accent4 3 6" xfId="1526" xr:uid="{00000000-0005-0000-0000-0000F7050000}"/>
    <cellStyle name="60% - Accent4 3 7" xfId="1527" xr:uid="{00000000-0005-0000-0000-0000F8050000}"/>
    <cellStyle name="60% - Accent4 3 8" xfId="1528" xr:uid="{00000000-0005-0000-0000-0000F9050000}"/>
    <cellStyle name="60% - Accent4 3 9" xfId="1529" xr:uid="{00000000-0005-0000-0000-0000FA050000}"/>
    <cellStyle name="60% - Accent4 4" xfId="1530" xr:uid="{00000000-0005-0000-0000-0000FB050000}"/>
    <cellStyle name="60% - Accent4 4 2" xfId="1531" xr:uid="{00000000-0005-0000-0000-0000FC050000}"/>
    <cellStyle name="60% - Accent4 5" xfId="1532" xr:uid="{00000000-0005-0000-0000-0000FD050000}"/>
    <cellStyle name="60% - Accent4 5 2" xfId="1533" xr:uid="{00000000-0005-0000-0000-0000FE050000}"/>
    <cellStyle name="60% - Accent4 6" xfId="1534" xr:uid="{00000000-0005-0000-0000-0000FF050000}"/>
    <cellStyle name="60% - Accent4 6 2" xfId="1535" xr:uid="{00000000-0005-0000-0000-000000060000}"/>
    <cellStyle name="60% - Accent4 7" xfId="1536" xr:uid="{00000000-0005-0000-0000-000001060000}"/>
    <cellStyle name="60% - Accent4 8" xfId="1537" xr:uid="{00000000-0005-0000-0000-000002060000}"/>
    <cellStyle name="60% - Accent4 9" xfId="1538" xr:uid="{00000000-0005-0000-0000-000003060000}"/>
    <cellStyle name="60% - Accent4 9 2" xfId="1539" xr:uid="{00000000-0005-0000-0000-000004060000}"/>
    <cellStyle name="60% - Accent4 9 2 2" xfId="1540" xr:uid="{00000000-0005-0000-0000-000005060000}"/>
    <cellStyle name="60% - Accent4 9 3" xfId="1541" xr:uid="{00000000-0005-0000-0000-000006060000}"/>
    <cellStyle name="60% - Accent4 9 4" xfId="1542" xr:uid="{00000000-0005-0000-0000-000007060000}"/>
    <cellStyle name="60% - Accent4 9 5" xfId="1543" xr:uid="{00000000-0005-0000-0000-000008060000}"/>
    <cellStyle name="60% - Accent5 10" xfId="1544" xr:uid="{00000000-0005-0000-0000-000009060000}"/>
    <cellStyle name="60% - Accent5 10 2" xfId="1545" xr:uid="{00000000-0005-0000-0000-00000A060000}"/>
    <cellStyle name="60% - Accent5 10 3" xfId="1546" xr:uid="{00000000-0005-0000-0000-00000B060000}"/>
    <cellStyle name="60% - Accent5 11" xfId="1547" xr:uid="{00000000-0005-0000-0000-00000C060000}"/>
    <cellStyle name="60% - Accent5 11 2" xfId="1548" xr:uid="{00000000-0005-0000-0000-00000D060000}"/>
    <cellStyle name="60% - Accent5 11 3" xfId="1549" xr:uid="{00000000-0005-0000-0000-00000E060000}"/>
    <cellStyle name="60% - Accent5 12" xfId="1550" xr:uid="{00000000-0005-0000-0000-00000F060000}"/>
    <cellStyle name="60% - Accent5 12 2" xfId="1551" xr:uid="{00000000-0005-0000-0000-000010060000}"/>
    <cellStyle name="60% - Accent5 12 3" xfId="1552" xr:uid="{00000000-0005-0000-0000-000011060000}"/>
    <cellStyle name="60% - Accent5 13" xfId="1553" xr:uid="{00000000-0005-0000-0000-000012060000}"/>
    <cellStyle name="60% - Accent5 13 2" xfId="1554" xr:uid="{00000000-0005-0000-0000-000013060000}"/>
    <cellStyle name="60% - Accent5 13 3" xfId="1555" xr:uid="{00000000-0005-0000-0000-000014060000}"/>
    <cellStyle name="60% - Accent5 14" xfId="1556" xr:uid="{00000000-0005-0000-0000-000015060000}"/>
    <cellStyle name="60% - Accent5 14 2" xfId="1557" xr:uid="{00000000-0005-0000-0000-000016060000}"/>
    <cellStyle name="60% - Accent5 14 3" xfId="1558" xr:uid="{00000000-0005-0000-0000-000017060000}"/>
    <cellStyle name="60% - Accent5 15" xfId="1559" xr:uid="{00000000-0005-0000-0000-000018060000}"/>
    <cellStyle name="60% - Accent5 15 2" xfId="1560" xr:uid="{00000000-0005-0000-0000-000019060000}"/>
    <cellStyle name="60% - Accent5 15 3" xfId="1561" xr:uid="{00000000-0005-0000-0000-00001A060000}"/>
    <cellStyle name="60% - Accent5 16" xfId="1562" xr:uid="{00000000-0005-0000-0000-00001B060000}"/>
    <cellStyle name="60% - Accent5 17" xfId="1563" xr:uid="{00000000-0005-0000-0000-00001C060000}"/>
    <cellStyle name="60% - Accent5 18" xfId="1564" xr:uid="{00000000-0005-0000-0000-00001D060000}"/>
    <cellStyle name="60% - Accent5 19" xfId="1565" xr:uid="{00000000-0005-0000-0000-00001E060000}"/>
    <cellStyle name="60% - Accent5 2" xfId="1566" xr:uid="{00000000-0005-0000-0000-00001F060000}"/>
    <cellStyle name="60% - Accent5 2 10" xfId="1567" xr:uid="{00000000-0005-0000-0000-000020060000}"/>
    <cellStyle name="60% - Accent5 2 11" xfId="1568" xr:uid="{00000000-0005-0000-0000-000021060000}"/>
    <cellStyle name="60% - Accent5 2 12" xfId="1569" xr:uid="{00000000-0005-0000-0000-000022060000}"/>
    <cellStyle name="60% - Accent5 2 13" xfId="1570" xr:uid="{00000000-0005-0000-0000-000023060000}"/>
    <cellStyle name="60% - Accent5 2 14" xfId="1571" xr:uid="{00000000-0005-0000-0000-000024060000}"/>
    <cellStyle name="60% - Accent5 2 15" xfId="1572" xr:uid="{00000000-0005-0000-0000-000025060000}"/>
    <cellStyle name="60% - Accent5 2 2" xfId="1573" xr:uid="{00000000-0005-0000-0000-000026060000}"/>
    <cellStyle name="60% - Accent5 2 3" xfId="1574" xr:uid="{00000000-0005-0000-0000-000027060000}"/>
    <cellStyle name="60% - Accent5 2 4" xfId="1575" xr:uid="{00000000-0005-0000-0000-000028060000}"/>
    <cellStyle name="60% - Accent5 2 5" xfId="1576" xr:uid="{00000000-0005-0000-0000-000029060000}"/>
    <cellStyle name="60% - Accent5 2 6" xfId="1577" xr:uid="{00000000-0005-0000-0000-00002A060000}"/>
    <cellStyle name="60% - Accent5 2 7" xfId="1578" xr:uid="{00000000-0005-0000-0000-00002B060000}"/>
    <cellStyle name="60% - Accent5 2 8" xfId="1579" xr:uid="{00000000-0005-0000-0000-00002C060000}"/>
    <cellStyle name="60% - Accent5 2 9" xfId="1580" xr:uid="{00000000-0005-0000-0000-00002D060000}"/>
    <cellStyle name="60% - Accent5 20" xfId="4333" xr:uid="{00000000-0005-0000-0000-00002E060000}"/>
    <cellStyle name="60% - Accent5 3" xfId="1581" xr:uid="{00000000-0005-0000-0000-00002F060000}"/>
    <cellStyle name="60% - Accent5 3 2" xfId="1582" xr:uid="{00000000-0005-0000-0000-000030060000}"/>
    <cellStyle name="60% - Accent5 3 3" xfId="1583" xr:uid="{00000000-0005-0000-0000-000031060000}"/>
    <cellStyle name="60% - Accent5 3 4" xfId="1584" xr:uid="{00000000-0005-0000-0000-000032060000}"/>
    <cellStyle name="60% - Accent5 3 5" xfId="1585" xr:uid="{00000000-0005-0000-0000-000033060000}"/>
    <cellStyle name="60% - Accent5 3 5 2" xfId="1586" xr:uid="{00000000-0005-0000-0000-000034060000}"/>
    <cellStyle name="60% - Accent5 3 6" xfId="1587" xr:uid="{00000000-0005-0000-0000-000035060000}"/>
    <cellStyle name="60% - Accent5 3 7" xfId="1588" xr:uid="{00000000-0005-0000-0000-000036060000}"/>
    <cellStyle name="60% - Accent5 3 8" xfId="1589" xr:uid="{00000000-0005-0000-0000-000037060000}"/>
    <cellStyle name="60% - Accent5 3 9" xfId="1590" xr:uid="{00000000-0005-0000-0000-000038060000}"/>
    <cellStyle name="60% - Accent5 4" xfId="1591" xr:uid="{00000000-0005-0000-0000-000039060000}"/>
    <cellStyle name="60% - Accent5 4 2" xfId="1592" xr:uid="{00000000-0005-0000-0000-00003A060000}"/>
    <cellStyle name="60% - Accent5 5" xfId="1593" xr:uid="{00000000-0005-0000-0000-00003B060000}"/>
    <cellStyle name="60% - Accent5 5 2" xfId="1594" xr:uid="{00000000-0005-0000-0000-00003C060000}"/>
    <cellStyle name="60% - Accent5 6" xfId="1595" xr:uid="{00000000-0005-0000-0000-00003D060000}"/>
    <cellStyle name="60% - Accent5 6 2" xfId="1596" xr:uid="{00000000-0005-0000-0000-00003E060000}"/>
    <cellStyle name="60% - Accent5 7" xfId="1597" xr:uid="{00000000-0005-0000-0000-00003F060000}"/>
    <cellStyle name="60% - Accent5 8" xfId="1598" xr:uid="{00000000-0005-0000-0000-000040060000}"/>
    <cellStyle name="60% - Accent5 9" xfId="1599" xr:uid="{00000000-0005-0000-0000-000041060000}"/>
    <cellStyle name="60% - Accent5 9 2" xfId="1600" xr:uid="{00000000-0005-0000-0000-000042060000}"/>
    <cellStyle name="60% - Accent5 9 2 2" xfId="1601" xr:uid="{00000000-0005-0000-0000-000043060000}"/>
    <cellStyle name="60% - Accent5 9 3" xfId="1602" xr:uid="{00000000-0005-0000-0000-000044060000}"/>
    <cellStyle name="60% - Accent5 9 4" xfId="1603" xr:uid="{00000000-0005-0000-0000-000045060000}"/>
    <cellStyle name="60% - Accent5 9 5" xfId="1604" xr:uid="{00000000-0005-0000-0000-000046060000}"/>
    <cellStyle name="60% - Accent6 10" xfId="1605" xr:uid="{00000000-0005-0000-0000-000047060000}"/>
    <cellStyle name="60% - Accent6 10 2" xfId="1606" xr:uid="{00000000-0005-0000-0000-000048060000}"/>
    <cellStyle name="60% - Accent6 10 3" xfId="1607" xr:uid="{00000000-0005-0000-0000-000049060000}"/>
    <cellStyle name="60% - Accent6 11" xfId="1608" xr:uid="{00000000-0005-0000-0000-00004A060000}"/>
    <cellStyle name="60% - Accent6 11 2" xfId="1609" xr:uid="{00000000-0005-0000-0000-00004B060000}"/>
    <cellStyle name="60% - Accent6 11 3" xfId="1610" xr:uid="{00000000-0005-0000-0000-00004C060000}"/>
    <cellStyle name="60% - Accent6 12" xfId="1611" xr:uid="{00000000-0005-0000-0000-00004D060000}"/>
    <cellStyle name="60% - Accent6 12 2" xfId="1612" xr:uid="{00000000-0005-0000-0000-00004E060000}"/>
    <cellStyle name="60% - Accent6 12 3" xfId="1613" xr:uid="{00000000-0005-0000-0000-00004F060000}"/>
    <cellStyle name="60% - Accent6 13" xfId="1614" xr:uid="{00000000-0005-0000-0000-000050060000}"/>
    <cellStyle name="60% - Accent6 13 2" xfId="1615" xr:uid="{00000000-0005-0000-0000-000051060000}"/>
    <cellStyle name="60% - Accent6 13 3" xfId="1616" xr:uid="{00000000-0005-0000-0000-000052060000}"/>
    <cellStyle name="60% - Accent6 14" xfId="1617" xr:uid="{00000000-0005-0000-0000-000053060000}"/>
    <cellStyle name="60% - Accent6 14 2" xfId="1618" xr:uid="{00000000-0005-0000-0000-000054060000}"/>
    <cellStyle name="60% - Accent6 14 3" xfId="1619" xr:uid="{00000000-0005-0000-0000-000055060000}"/>
    <cellStyle name="60% - Accent6 15" xfId="1620" xr:uid="{00000000-0005-0000-0000-000056060000}"/>
    <cellStyle name="60% - Accent6 15 2" xfId="1621" xr:uid="{00000000-0005-0000-0000-000057060000}"/>
    <cellStyle name="60% - Accent6 15 3" xfId="1622" xr:uid="{00000000-0005-0000-0000-000058060000}"/>
    <cellStyle name="60% - Accent6 16" xfId="1623" xr:uid="{00000000-0005-0000-0000-000059060000}"/>
    <cellStyle name="60% - Accent6 17" xfId="1624" xr:uid="{00000000-0005-0000-0000-00005A060000}"/>
    <cellStyle name="60% - Accent6 18" xfId="1625" xr:uid="{00000000-0005-0000-0000-00005B060000}"/>
    <cellStyle name="60% - Accent6 19" xfId="1626" xr:uid="{00000000-0005-0000-0000-00005C060000}"/>
    <cellStyle name="60% - Accent6 2" xfId="1627" xr:uid="{00000000-0005-0000-0000-00005D060000}"/>
    <cellStyle name="60% - Accent6 2 10" xfId="1628" xr:uid="{00000000-0005-0000-0000-00005E060000}"/>
    <cellStyle name="60% - Accent6 2 11" xfId="1629" xr:uid="{00000000-0005-0000-0000-00005F060000}"/>
    <cellStyle name="60% - Accent6 2 12" xfId="1630" xr:uid="{00000000-0005-0000-0000-000060060000}"/>
    <cellStyle name="60% - Accent6 2 13" xfId="1631" xr:uid="{00000000-0005-0000-0000-000061060000}"/>
    <cellStyle name="60% - Accent6 2 14" xfId="1632" xr:uid="{00000000-0005-0000-0000-000062060000}"/>
    <cellStyle name="60% - Accent6 2 15" xfId="1633" xr:uid="{00000000-0005-0000-0000-000063060000}"/>
    <cellStyle name="60% - Accent6 2 2" xfId="1634" xr:uid="{00000000-0005-0000-0000-000064060000}"/>
    <cellStyle name="60% - Accent6 2 3" xfId="1635" xr:uid="{00000000-0005-0000-0000-000065060000}"/>
    <cellStyle name="60% - Accent6 2 4" xfId="1636" xr:uid="{00000000-0005-0000-0000-000066060000}"/>
    <cellStyle name="60% - Accent6 2 5" xfId="1637" xr:uid="{00000000-0005-0000-0000-000067060000}"/>
    <cellStyle name="60% - Accent6 2 6" xfId="1638" xr:uid="{00000000-0005-0000-0000-000068060000}"/>
    <cellStyle name="60% - Accent6 2 7" xfId="1639" xr:uid="{00000000-0005-0000-0000-000069060000}"/>
    <cellStyle name="60% - Accent6 2 8" xfId="1640" xr:uid="{00000000-0005-0000-0000-00006A060000}"/>
    <cellStyle name="60% - Accent6 2 9" xfId="1641" xr:uid="{00000000-0005-0000-0000-00006B060000}"/>
    <cellStyle name="60% - Accent6 20" xfId="4334" xr:uid="{00000000-0005-0000-0000-00006C060000}"/>
    <cellStyle name="60% - Accent6 3" xfId="1642" xr:uid="{00000000-0005-0000-0000-00006D060000}"/>
    <cellStyle name="60% - Accent6 3 2" xfId="1643" xr:uid="{00000000-0005-0000-0000-00006E060000}"/>
    <cellStyle name="60% - Accent6 3 3" xfId="1644" xr:uid="{00000000-0005-0000-0000-00006F060000}"/>
    <cellStyle name="60% - Accent6 3 4" xfId="1645" xr:uid="{00000000-0005-0000-0000-000070060000}"/>
    <cellStyle name="60% - Accent6 3 5" xfId="1646" xr:uid="{00000000-0005-0000-0000-000071060000}"/>
    <cellStyle name="60% - Accent6 3 5 2" xfId="1647" xr:uid="{00000000-0005-0000-0000-000072060000}"/>
    <cellStyle name="60% - Accent6 3 6" xfId="1648" xr:uid="{00000000-0005-0000-0000-000073060000}"/>
    <cellStyle name="60% - Accent6 3 7" xfId="1649" xr:uid="{00000000-0005-0000-0000-000074060000}"/>
    <cellStyle name="60% - Accent6 3 8" xfId="1650" xr:uid="{00000000-0005-0000-0000-000075060000}"/>
    <cellStyle name="60% - Accent6 3 9" xfId="1651" xr:uid="{00000000-0005-0000-0000-000076060000}"/>
    <cellStyle name="60% - Accent6 4" xfId="1652" xr:uid="{00000000-0005-0000-0000-000077060000}"/>
    <cellStyle name="60% - Accent6 4 2" xfId="1653" xr:uid="{00000000-0005-0000-0000-000078060000}"/>
    <cellStyle name="60% - Accent6 5" xfId="1654" xr:uid="{00000000-0005-0000-0000-000079060000}"/>
    <cellStyle name="60% - Accent6 5 2" xfId="1655" xr:uid="{00000000-0005-0000-0000-00007A060000}"/>
    <cellStyle name="60% - Accent6 6" xfId="1656" xr:uid="{00000000-0005-0000-0000-00007B060000}"/>
    <cellStyle name="60% - Accent6 6 2" xfId="1657" xr:uid="{00000000-0005-0000-0000-00007C060000}"/>
    <cellStyle name="60% - Accent6 7" xfId="1658" xr:uid="{00000000-0005-0000-0000-00007D060000}"/>
    <cellStyle name="60% - Accent6 8" xfId="1659" xr:uid="{00000000-0005-0000-0000-00007E060000}"/>
    <cellStyle name="60% - Accent6 9" xfId="1660" xr:uid="{00000000-0005-0000-0000-00007F060000}"/>
    <cellStyle name="60% - Accent6 9 2" xfId="1661" xr:uid="{00000000-0005-0000-0000-000080060000}"/>
    <cellStyle name="60% - Accent6 9 2 2" xfId="1662" xr:uid="{00000000-0005-0000-0000-000081060000}"/>
    <cellStyle name="60% - Accent6 9 3" xfId="1663" xr:uid="{00000000-0005-0000-0000-000082060000}"/>
    <cellStyle name="60% - Accent6 9 4" xfId="1664" xr:uid="{00000000-0005-0000-0000-000083060000}"/>
    <cellStyle name="60% - Accent6 9 5" xfId="1665" xr:uid="{00000000-0005-0000-0000-000084060000}"/>
    <cellStyle name="60% - 强调文字颜色 1" xfId="1666" xr:uid="{00000000-0005-0000-0000-000085060000}"/>
    <cellStyle name="60% - 强调文字颜色 2" xfId="1667" xr:uid="{00000000-0005-0000-0000-000086060000}"/>
    <cellStyle name="60% - 强调文字颜色 3" xfId="1668" xr:uid="{00000000-0005-0000-0000-000087060000}"/>
    <cellStyle name="60% - 强调文字颜色 4" xfId="1669" xr:uid="{00000000-0005-0000-0000-000088060000}"/>
    <cellStyle name="60% - 强调文字颜色 5" xfId="1670" xr:uid="{00000000-0005-0000-0000-000089060000}"/>
    <cellStyle name="60% - 强调文字颜色 6" xfId="1671" xr:uid="{00000000-0005-0000-0000-00008A060000}"/>
    <cellStyle name="60% - 輔色1" xfId="1672" xr:uid="{00000000-0005-0000-0000-00008B060000}"/>
    <cellStyle name="60% - 輔色2" xfId="1673" xr:uid="{00000000-0005-0000-0000-00008C060000}"/>
    <cellStyle name="60% - 輔色3" xfId="1674" xr:uid="{00000000-0005-0000-0000-00008D060000}"/>
    <cellStyle name="60% - 輔色4" xfId="1675" xr:uid="{00000000-0005-0000-0000-00008E060000}"/>
    <cellStyle name="60% - 輔色5" xfId="1676" xr:uid="{00000000-0005-0000-0000-00008F060000}"/>
    <cellStyle name="60% - 輔色6" xfId="1677" xr:uid="{00000000-0005-0000-0000-000090060000}"/>
    <cellStyle name="Accent1 10" xfId="1678" xr:uid="{00000000-0005-0000-0000-000091060000}"/>
    <cellStyle name="Accent1 10 2" xfId="1679" xr:uid="{00000000-0005-0000-0000-000092060000}"/>
    <cellStyle name="Accent1 10 3" xfId="1680" xr:uid="{00000000-0005-0000-0000-000093060000}"/>
    <cellStyle name="Accent1 11" xfId="1681" xr:uid="{00000000-0005-0000-0000-000094060000}"/>
    <cellStyle name="Accent1 11 2" xfId="1682" xr:uid="{00000000-0005-0000-0000-000095060000}"/>
    <cellStyle name="Accent1 11 3" xfId="1683" xr:uid="{00000000-0005-0000-0000-000096060000}"/>
    <cellStyle name="Accent1 12" xfId="1684" xr:uid="{00000000-0005-0000-0000-000097060000}"/>
    <cellStyle name="Accent1 12 2" xfId="1685" xr:uid="{00000000-0005-0000-0000-000098060000}"/>
    <cellStyle name="Accent1 12 3" xfId="1686" xr:uid="{00000000-0005-0000-0000-000099060000}"/>
    <cellStyle name="Accent1 13" xfId="1687" xr:uid="{00000000-0005-0000-0000-00009A060000}"/>
    <cellStyle name="Accent1 13 2" xfId="1688" xr:uid="{00000000-0005-0000-0000-00009B060000}"/>
    <cellStyle name="Accent1 13 3" xfId="1689" xr:uid="{00000000-0005-0000-0000-00009C060000}"/>
    <cellStyle name="Accent1 14" xfId="1690" xr:uid="{00000000-0005-0000-0000-00009D060000}"/>
    <cellStyle name="Accent1 14 2" xfId="1691" xr:uid="{00000000-0005-0000-0000-00009E060000}"/>
    <cellStyle name="Accent1 14 3" xfId="1692" xr:uid="{00000000-0005-0000-0000-00009F060000}"/>
    <cellStyle name="Accent1 15" xfId="1693" xr:uid="{00000000-0005-0000-0000-0000A0060000}"/>
    <cellStyle name="Accent1 15 2" xfId="1694" xr:uid="{00000000-0005-0000-0000-0000A1060000}"/>
    <cellStyle name="Accent1 15 3" xfId="1695" xr:uid="{00000000-0005-0000-0000-0000A2060000}"/>
    <cellStyle name="Accent1 16" xfId="1696" xr:uid="{00000000-0005-0000-0000-0000A3060000}"/>
    <cellStyle name="Accent1 17" xfId="1697" xr:uid="{00000000-0005-0000-0000-0000A4060000}"/>
    <cellStyle name="Accent1 18" xfId="1698" xr:uid="{00000000-0005-0000-0000-0000A5060000}"/>
    <cellStyle name="Accent1 19" xfId="1699" xr:uid="{00000000-0005-0000-0000-0000A6060000}"/>
    <cellStyle name="Accent1 2" xfId="1700" xr:uid="{00000000-0005-0000-0000-0000A7060000}"/>
    <cellStyle name="Accent1 2 10" xfId="1701" xr:uid="{00000000-0005-0000-0000-0000A8060000}"/>
    <cellStyle name="Accent1 2 11" xfId="1702" xr:uid="{00000000-0005-0000-0000-0000A9060000}"/>
    <cellStyle name="Accent1 2 12" xfId="1703" xr:uid="{00000000-0005-0000-0000-0000AA060000}"/>
    <cellStyle name="Accent1 2 13" xfId="1704" xr:uid="{00000000-0005-0000-0000-0000AB060000}"/>
    <cellStyle name="Accent1 2 14" xfId="1705" xr:uid="{00000000-0005-0000-0000-0000AC060000}"/>
    <cellStyle name="Accent1 2 15" xfId="1706" xr:uid="{00000000-0005-0000-0000-0000AD060000}"/>
    <cellStyle name="Accent1 2 2" xfId="1707" xr:uid="{00000000-0005-0000-0000-0000AE060000}"/>
    <cellStyle name="Accent1 2 3" xfId="1708" xr:uid="{00000000-0005-0000-0000-0000AF060000}"/>
    <cellStyle name="Accent1 2 4" xfId="1709" xr:uid="{00000000-0005-0000-0000-0000B0060000}"/>
    <cellStyle name="Accent1 2 5" xfId="1710" xr:uid="{00000000-0005-0000-0000-0000B1060000}"/>
    <cellStyle name="Accent1 2 6" xfId="1711" xr:uid="{00000000-0005-0000-0000-0000B2060000}"/>
    <cellStyle name="Accent1 2 7" xfId="1712" xr:uid="{00000000-0005-0000-0000-0000B3060000}"/>
    <cellStyle name="Accent1 2 8" xfId="1713" xr:uid="{00000000-0005-0000-0000-0000B4060000}"/>
    <cellStyle name="Accent1 2 9" xfId="1714" xr:uid="{00000000-0005-0000-0000-0000B5060000}"/>
    <cellStyle name="Accent1 20" xfId="4335" xr:uid="{00000000-0005-0000-0000-0000B6060000}"/>
    <cellStyle name="Accent1 3" xfId="1715" xr:uid="{00000000-0005-0000-0000-0000B7060000}"/>
    <cellStyle name="Accent1 3 2" xfId="1716" xr:uid="{00000000-0005-0000-0000-0000B8060000}"/>
    <cellStyle name="Accent1 3 3" xfId="1717" xr:uid="{00000000-0005-0000-0000-0000B9060000}"/>
    <cellStyle name="Accent1 3 4" xfId="1718" xr:uid="{00000000-0005-0000-0000-0000BA060000}"/>
    <cellStyle name="Accent1 3 5" xfId="1719" xr:uid="{00000000-0005-0000-0000-0000BB060000}"/>
    <cellStyle name="Accent1 3 5 2" xfId="1720" xr:uid="{00000000-0005-0000-0000-0000BC060000}"/>
    <cellStyle name="Accent1 3 6" xfId="1721" xr:uid="{00000000-0005-0000-0000-0000BD060000}"/>
    <cellStyle name="Accent1 3 7" xfId="1722" xr:uid="{00000000-0005-0000-0000-0000BE060000}"/>
    <cellStyle name="Accent1 3 8" xfId="1723" xr:uid="{00000000-0005-0000-0000-0000BF060000}"/>
    <cellStyle name="Accent1 3 9" xfId="1724" xr:uid="{00000000-0005-0000-0000-0000C0060000}"/>
    <cellStyle name="Accent1 4" xfId="1725" xr:uid="{00000000-0005-0000-0000-0000C1060000}"/>
    <cellStyle name="Accent1 4 2" xfId="1726" xr:uid="{00000000-0005-0000-0000-0000C2060000}"/>
    <cellStyle name="Accent1 5" xfId="1727" xr:uid="{00000000-0005-0000-0000-0000C3060000}"/>
    <cellStyle name="Accent1 5 2" xfId="1728" xr:uid="{00000000-0005-0000-0000-0000C4060000}"/>
    <cellStyle name="Accent1 6" xfId="1729" xr:uid="{00000000-0005-0000-0000-0000C5060000}"/>
    <cellStyle name="Accent1 6 2" xfId="1730" xr:uid="{00000000-0005-0000-0000-0000C6060000}"/>
    <cellStyle name="Accent1 7" xfId="1731" xr:uid="{00000000-0005-0000-0000-0000C7060000}"/>
    <cellStyle name="Accent1 8" xfId="1732" xr:uid="{00000000-0005-0000-0000-0000C8060000}"/>
    <cellStyle name="Accent1 9" xfId="1733" xr:uid="{00000000-0005-0000-0000-0000C9060000}"/>
    <cellStyle name="Accent1 9 2" xfId="1734" xr:uid="{00000000-0005-0000-0000-0000CA060000}"/>
    <cellStyle name="Accent1 9 2 2" xfId="1735" xr:uid="{00000000-0005-0000-0000-0000CB060000}"/>
    <cellStyle name="Accent1 9 3" xfId="1736" xr:uid="{00000000-0005-0000-0000-0000CC060000}"/>
    <cellStyle name="Accent1 9 4" xfId="1737" xr:uid="{00000000-0005-0000-0000-0000CD060000}"/>
    <cellStyle name="Accent1 9 5" xfId="1738" xr:uid="{00000000-0005-0000-0000-0000CE060000}"/>
    <cellStyle name="Accent2 10" xfId="1739" xr:uid="{00000000-0005-0000-0000-0000CF060000}"/>
    <cellStyle name="Accent2 10 2" xfId="1740" xr:uid="{00000000-0005-0000-0000-0000D0060000}"/>
    <cellStyle name="Accent2 10 3" xfId="1741" xr:uid="{00000000-0005-0000-0000-0000D1060000}"/>
    <cellStyle name="Accent2 11" xfId="1742" xr:uid="{00000000-0005-0000-0000-0000D2060000}"/>
    <cellStyle name="Accent2 11 2" xfId="1743" xr:uid="{00000000-0005-0000-0000-0000D3060000}"/>
    <cellStyle name="Accent2 11 3" xfId="1744" xr:uid="{00000000-0005-0000-0000-0000D4060000}"/>
    <cellStyle name="Accent2 12" xfId="1745" xr:uid="{00000000-0005-0000-0000-0000D5060000}"/>
    <cellStyle name="Accent2 12 2" xfId="1746" xr:uid="{00000000-0005-0000-0000-0000D6060000}"/>
    <cellStyle name="Accent2 12 3" xfId="1747" xr:uid="{00000000-0005-0000-0000-0000D7060000}"/>
    <cellStyle name="Accent2 13" xfId="1748" xr:uid="{00000000-0005-0000-0000-0000D8060000}"/>
    <cellStyle name="Accent2 13 2" xfId="1749" xr:uid="{00000000-0005-0000-0000-0000D9060000}"/>
    <cellStyle name="Accent2 13 3" xfId="1750" xr:uid="{00000000-0005-0000-0000-0000DA060000}"/>
    <cellStyle name="Accent2 14" xfId="1751" xr:uid="{00000000-0005-0000-0000-0000DB060000}"/>
    <cellStyle name="Accent2 14 2" xfId="1752" xr:uid="{00000000-0005-0000-0000-0000DC060000}"/>
    <cellStyle name="Accent2 14 3" xfId="1753" xr:uid="{00000000-0005-0000-0000-0000DD060000}"/>
    <cellStyle name="Accent2 15" xfId="1754" xr:uid="{00000000-0005-0000-0000-0000DE060000}"/>
    <cellStyle name="Accent2 15 2" xfId="1755" xr:uid="{00000000-0005-0000-0000-0000DF060000}"/>
    <cellStyle name="Accent2 15 3" xfId="1756" xr:uid="{00000000-0005-0000-0000-0000E0060000}"/>
    <cellStyle name="Accent2 16" xfId="1757" xr:uid="{00000000-0005-0000-0000-0000E1060000}"/>
    <cellStyle name="Accent2 17" xfId="1758" xr:uid="{00000000-0005-0000-0000-0000E2060000}"/>
    <cellStyle name="Accent2 18" xfId="1759" xr:uid="{00000000-0005-0000-0000-0000E3060000}"/>
    <cellStyle name="Accent2 19" xfId="1760" xr:uid="{00000000-0005-0000-0000-0000E4060000}"/>
    <cellStyle name="Accent2 2" xfId="1761" xr:uid="{00000000-0005-0000-0000-0000E5060000}"/>
    <cellStyle name="Accent2 2 10" xfId="1762" xr:uid="{00000000-0005-0000-0000-0000E6060000}"/>
    <cellStyle name="Accent2 2 11" xfId="1763" xr:uid="{00000000-0005-0000-0000-0000E7060000}"/>
    <cellStyle name="Accent2 2 12" xfId="1764" xr:uid="{00000000-0005-0000-0000-0000E8060000}"/>
    <cellStyle name="Accent2 2 13" xfId="1765" xr:uid="{00000000-0005-0000-0000-0000E9060000}"/>
    <cellStyle name="Accent2 2 14" xfId="1766" xr:uid="{00000000-0005-0000-0000-0000EA060000}"/>
    <cellStyle name="Accent2 2 15" xfId="1767" xr:uid="{00000000-0005-0000-0000-0000EB060000}"/>
    <cellStyle name="Accent2 2 2" xfId="1768" xr:uid="{00000000-0005-0000-0000-0000EC060000}"/>
    <cellStyle name="Accent2 2 3" xfId="1769" xr:uid="{00000000-0005-0000-0000-0000ED060000}"/>
    <cellStyle name="Accent2 2 4" xfId="1770" xr:uid="{00000000-0005-0000-0000-0000EE060000}"/>
    <cellStyle name="Accent2 2 5" xfId="1771" xr:uid="{00000000-0005-0000-0000-0000EF060000}"/>
    <cellStyle name="Accent2 2 6" xfId="1772" xr:uid="{00000000-0005-0000-0000-0000F0060000}"/>
    <cellStyle name="Accent2 2 7" xfId="1773" xr:uid="{00000000-0005-0000-0000-0000F1060000}"/>
    <cellStyle name="Accent2 2 8" xfId="1774" xr:uid="{00000000-0005-0000-0000-0000F2060000}"/>
    <cellStyle name="Accent2 2 9" xfId="1775" xr:uid="{00000000-0005-0000-0000-0000F3060000}"/>
    <cellStyle name="Accent2 20" xfId="4336" xr:uid="{00000000-0005-0000-0000-0000F4060000}"/>
    <cellStyle name="Accent2 3" xfId="1776" xr:uid="{00000000-0005-0000-0000-0000F5060000}"/>
    <cellStyle name="Accent2 3 2" xfId="1777" xr:uid="{00000000-0005-0000-0000-0000F6060000}"/>
    <cellStyle name="Accent2 3 3" xfId="1778" xr:uid="{00000000-0005-0000-0000-0000F7060000}"/>
    <cellStyle name="Accent2 3 4" xfId="1779" xr:uid="{00000000-0005-0000-0000-0000F8060000}"/>
    <cellStyle name="Accent2 3 5" xfId="1780" xr:uid="{00000000-0005-0000-0000-0000F9060000}"/>
    <cellStyle name="Accent2 3 5 2" xfId="1781" xr:uid="{00000000-0005-0000-0000-0000FA060000}"/>
    <cellStyle name="Accent2 3 6" xfId="1782" xr:uid="{00000000-0005-0000-0000-0000FB060000}"/>
    <cellStyle name="Accent2 3 7" xfId="1783" xr:uid="{00000000-0005-0000-0000-0000FC060000}"/>
    <cellStyle name="Accent2 3 8" xfId="1784" xr:uid="{00000000-0005-0000-0000-0000FD060000}"/>
    <cellStyle name="Accent2 3 9" xfId="1785" xr:uid="{00000000-0005-0000-0000-0000FE060000}"/>
    <cellStyle name="Accent2 4" xfId="1786" xr:uid="{00000000-0005-0000-0000-0000FF060000}"/>
    <cellStyle name="Accent2 4 2" xfId="1787" xr:uid="{00000000-0005-0000-0000-000000070000}"/>
    <cellStyle name="Accent2 5" xfId="1788" xr:uid="{00000000-0005-0000-0000-000001070000}"/>
    <cellStyle name="Accent2 5 2" xfId="1789" xr:uid="{00000000-0005-0000-0000-000002070000}"/>
    <cellStyle name="Accent2 6" xfId="1790" xr:uid="{00000000-0005-0000-0000-000003070000}"/>
    <cellStyle name="Accent2 6 2" xfId="1791" xr:uid="{00000000-0005-0000-0000-000004070000}"/>
    <cellStyle name="Accent2 7" xfId="1792" xr:uid="{00000000-0005-0000-0000-000005070000}"/>
    <cellStyle name="Accent2 8" xfId="1793" xr:uid="{00000000-0005-0000-0000-000006070000}"/>
    <cellStyle name="Accent2 9" xfId="1794" xr:uid="{00000000-0005-0000-0000-000007070000}"/>
    <cellStyle name="Accent2 9 2" xfId="1795" xr:uid="{00000000-0005-0000-0000-000008070000}"/>
    <cellStyle name="Accent2 9 2 2" xfId="1796" xr:uid="{00000000-0005-0000-0000-000009070000}"/>
    <cellStyle name="Accent2 9 3" xfId="1797" xr:uid="{00000000-0005-0000-0000-00000A070000}"/>
    <cellStyle name="Accent2 9 4" xfId="1798" xr:uid="{00000000-0005-0000-0000-00000B070000}"/>
    <cellStyle name="Accent2 9 5" xfId="1799" xr:uid="{00000000-0005-0000-0000-00000C070000}"/>
    <cellStyle name="Accent3 10" xfId="1800" xr:uid="{00000000-0005-0000-0000-00000D070000}"/>
    <cellStyle name="Accent3 10 2" xfId="1801" xr:uid="{00000000-0005-0000-0000-00000E070000}"/>
    <cellStyle name="Accent3 10 3" xfId="1802" xr:uid="{00000000-0005-0000-0000-00000F070000}"/>
    <cellStyle name="Accent3 11" xfId="1803" xr:uid="{00000000-0005-0000-0000-000010070000}"/>
    <cellStyle name="Accent3 11 2" xfId="1804" xr:uid="{00000000-0005-0000-0000-000011070000}"/>
    <cellStyle name="Accent3 11 3" xfId="1805" xr:uid="{00000000-0005-0000-0000-000012070000}"/>
    <cellStyle name="Accent3 12" xfId="1806" xr:uid="{00000000-0005-0000-0000-000013070000}"/>
    <cellStyle name="Accent3 12 2" xfId="1807" xr:uid="{00000000-0005-0000-0000-000014070000}"/>
    <cellStyle name="Accent3 12 3" xfId="1808" xr:uid="{00000000-0005-0000-0000-000015070000}"/>
    <cellStyle name="Accent3 13" xfId="1809" xr:uid="{00000000-0005-0000-0000-000016070000}"/>
    <cellStyle name="Accent3 13 2" xfId="1810" xr:uid="{00000000-0005-0000-0000-000017070000}"/>
    <cellStyle name="Accent3 13 3" xfId="1811" xr:uid="{00000000-0005-0000-0000-000018070000}"/>
    <cellStyle name="Accent3 14" xfId="1812" xr:uid="{00000000-0005-0000-0000-000019070000}"/>
    <cellStyle name="Accent3 14 2" xfId="1813" xr:uid="{00000000-0005-0000-0000-00001A070000}"/>
    <cellStyle name="Accent3 14 3" xfId="1814" xr:uid="{00000000-0005-0000-0000-00001B070000}"/>
    <cellStyle name="Accent3 15" xfId="1815" xr:uid="{00000000-0005-0000-0000-00001C070000}"/>
    <cellStyle name="Accent3 15 2" xfId="1816" xr:uid="{00000000-0005-0000-0000-00001D070000}"/>
    <cellStyle name="Accent3 15 3" xfId="1817" xr:uid="{00000000-0005-0000-0000-00001E070000}"/>
    <cellStyle name="Accent3 16" xfId="1818" xr:uid="{00000000-0005-0000-0000-00001F070000}"/>
    <cellStyle name="Accent3 17" xfId="1819" xr:uid="{00000000-0005-0000-0000-000020070000}"/>
    <cellStyle name="Accent3 18" xfId="1820" xr:uid="{00000000-0005-0000-0000-000021070000}"/>
    <cellStyle name="Accent3 19" xfId="1821" xr:uid="{00000000-0005-0000-0000-000022070000}"/>
    <cellStyle name="Accent3 2" xfId="1822" xr:uid="{00000000-0005-0000-0000-000023070000}"/>
    <cellStyle name="Accent3 2 10" xfId="1823" xr:uid="{00000000-0005-0000-0000-000024070000}"/>
    <cellStyle name="Accent3 2 11" xfId="1824" xr:uid="{00000000-0005-0000-0000-000025070000}"/>
    <cellStyle name="Accent3 2 12" xfId="1825" xr:uid="{00000000-0005-0000-0000-000026070000}"/>
    <cellStyle name="Accent3 2 13" xfId="1826" xr:uid="{00000000-0005-0000-0000-000027070000}"/>
    <cellStyle name="Accent3 2 14" xfId="1827" xr:uid="{00000000-0005-0000-0000-000028070000}"/>
    <cellStyle name="Accent3 2 15" xfId="1828" xr:uid="{00000000-0005-0000-0000-000029070000}"/>
    <cellStyle name="Accent3 2 2" xfId="1829" xr:uid="{00000000-0005-0000-0000-00002A070000}"/>
    <cellStyle name="Accent3 2 3" xfId="1830" xr:uid="{00000000-0005-0000-0000-00002B070000}"/>
    <cellStyle name="Accent3 2 4" xfId="1831" xr:uid="{00000000-0005-0000-0000-00002C070000}"/>
    <cellStyle name="Accent3 2 5" xfId="1832" xr:uid="{00000000-0005-0000-0000-00002D070000}"/>
    <cellStyle name="Accent3 2 6" xfId="1833" xr:uid="{00000000-0005-0000-0000-00002E070000}"/>
    <cellStyle name="Accent3 2 7" xfId="1834" xr:uid="{00000000-0005-0000-0000-00002F070000}"/>
    <cellStyle name="Accent3 2 8" xfId="1835" xr:uid="{00000000-0005-0000-0000-000030070000}"/>
    <cellStyle name="Accent3 2 9" xfId="1836" xr:uid="{00000000-0005-0000-0000-000031070000}"/>
    <cellStyle name="Accent3 20" xfId="4337" xr:uid="{00000000-0005-0000-0000-000032070000}"/>
    <cellStyle name="Accent3 3" xfId="1837" xr:uid="{00000000-0005-0000-0000-000033070000}"/>
    <cellStyle name="Accent3 3 2" xfId="1838" xr:uid="{00000000-0005-0000-0000-000034070000}"/>
    <cellStyle name="Accent3 3 3" xfId="1839" xr:uid="{00000000-0005-0000-0000-000035070000}"/>
    <cellStyle name="Accent3 3 4" xfId="1840" xr:uid="{00000000-0005-0000-0000-000036070000}"/>
    <cellStyle name="Accent3 3 5" xfId="1841" xr:uid="{00000000-0005-0000-0000-000037070000}"/>
    <cellStyle name="Accent3 3 5 2" xfId="1842" xr:uid="{00000000-0005-0000-0000-000038070000}"/>
    <cellStyle name="Accent3 3 6" xfId="1843" xr:uid="{00000000-0005-0000-0000-000039070000}"/>
    <cellStyle name="Accent3 3 7" xfId="1844" xr:uid="{00000000-0005-0000-0000-00003A070000}"/>
    <cellStyle name="Accent3 3 8" xfId="1845" xr:uid="{00000000-0005-0000-0000-00003B070000}"/>
    <cellStyle name="Accent3 3 9" xfId="1846" xr:uid="{00000000-0005-0000-0000-00003C070000}"/>
    <cellStyle name="Accent3 4" xfId="1847" xr:uid="{00000000-0005-0000-0000-00003D070000}"/>
    <cellStyle name="Accent3 4 2" xfId="1848" xr:uid="{00000000-0005-0000-0000-00003E070000}"/>
    <cellStyle name="Accent3 5" xfId="1849" xr:uid="{00000000-0005-0000-0000-00003F070000}"/>
    <cellStyle name="Accent3 5 2" xfId="1850" xr:uid="{00000000-0005-0000-0000-000040070000}"/>
    <cellStyle name="Accent3 6" xfId="1851" xr:uid="{00000000-0005-0000-0000-000041070000}"/>
    <cellStyle name="Accent3 6 2" xfId="1852" xr:uid="{00000000-0005-0000-0000-000042070000}"/>
    <cellStyle name="Accent3 7" xfId="1853" xr:uid="{00000000-0005-0000-0000-000043070000}"/>
    <cellStyle name="Accent3 8" xfId="1854" xr:uid="{00000000-0005-0000-0000-000044070000}"/>
    <cellStyle name="Accent3 9" xfId="1855" xr:uid="{00000000-0005-0000-0000-000045070000}"/>
    <cellStyle name="Accent3 9 2" xfId="1856" xr:uid="{00000000-0005-0000-0000-000046070000}"/>
    <cellStyle name="Accent3 9 2 2" xfId="1857" xr:uid="{00000000-0005-0000-0000-000047070000}"/>
    <cellStyle name="Accent3 9 3" xfId="1858" xr:uid="{00000000-0005-0000-0000-000048070000}"/>
    <cellStyle name="Accent3 9 4" xfId="1859" xr:uid="{00000000-0005-0000-0000-000049070000}"/>
    <cellStyle name="Accent3 9 5" xfId="1860" xr:uid="{00000000-0005-0000-0000-00004A070000}"/>
    <cellStyle name="Accent4 10" xfId="1861" xr:uid="{00000000-0005-0000-0000-00004B070000}"/>
    <cellStyle name="Accent4 10 2" xfId="1862" xr:uid="{00000000-0005-0000-0000-00004C070000}"/>
    <cellStyle name="Accent4 10 3" xfId="1863" xr:uid="{00000000-0005-0000-0000-00004D070000}"/>
    <cellStyle name="Accent4 11" xfId="1864" xr:uid="{00000000-0005-0000-0000-00004E070000}"/>
    <cellStyle name="Accent4 11 2" xfId="1865" xr:uid="{00000000-0005-0000-0000-00004F070000}"/>
    <cellStyle name="Accent4 11 3" xfId="1866" xr:uid="{00000000-0005-0000-0000-000050070000}"/>
    <cellStyle name="Accent4 12" xfId="1867" xr:uid="{00000000-0005-0000-0000-000051070000}"/>
    <cellStyle name="Accent4 12 2" xfId="1868" xr:uid="{00000000-0005-0000-0000-000052070000}"/>
    <cellStyle name="Accent4 12 3" xfId="1869" xr:uid="{00000000-0005-0000-0000-000053070000}"/>
    <cellStyle name="Accent4 13" xfId="1870" xr:uid="{00000000-0005-0000-0000-000054070000}"/>
    <cellStyle name="Accent4 13 2" xfId="1871" xr:uid="{00000000-0005-0000-0000-000055070000}"/>
    <cellStyle name="Accent4 13 3" xfId="1872" xr:uid="{00000000-0005-0000-0000-000056070000}"/>
    <cellStyle name="Accent4 14" xfId="1873" xr:uid="{00000000-0005-0000-0000-000057070000}"/>
    <cellStyle name="Accent4 14 2" xfId="1874" xr:uid="{00000000-0005-0000-0000-000058070000}"/>
    <cellStyle name="Accent4 14 3" xfId="1875" xr:uid="{00000000-0005-0000-0000-000059070000}"/>
    <cellStyle name="Accent4 15" xfId="1876" xr:uid="{00000000-0005-0000-0000-00005A070000}"/>
    <cellStyle name="Accent4 15 2" xfId="1877" xr:uid="{00000000-0005-0000-0000-00005B070000}"/>
    <cellStyle name="Accent4 15 3" xfId="1878" xr:uid="{00000000-0005-0000-0000-00005C070000}"/>
    <cellStyle name="Accent4 16" xfId="1879" xr:uid="{00000000-0005-0000-0000-00005D070000}"/>
    <cellStyle name="Accent4 17" xfId="1880" xr:uid="{00000000-0005-0000-0000-00005E070000}"/>
    <cellStyle name="Accent4 18" xfId="1881" xr:uid="{00000000-0005-0000-0000-00005F070000}"/>
    <cellStyle name="Accent4 19" xfId="1882" xr:uid="{00000000-0005-0000-0000-000060070000}"/>
    <cellStyle name="Accent4 2" xfId="1883" xr:uid="{00000000-0005-0000-0000-000061070000}"/>
    <cellStyle name="Accent4 2 10" xfId="1884" xr:uid="{00000000-0005-0000-0000-000062070000}"/>
    <cellStyle name="Accent4 2 11" xfId="1885" xr:uid="{00000000-0005-0000-0000-000063070000}"/>
    <cellStyle name="Accent4 2 12" xfId="1886" xr:uid="{00000000-0005-0000-0000-000064070000}"/>
    <cellStyle name="Accent4 2 13" xfId="1887" xr:uid="{00000000-0005-0000-0000-000065070000}"/>
    <cellStyle name="Accent4 2 14" xfId="1888" xr:uid="{00000000-0005-0000-0000-000066070000}"/>
    <cellStyle name="Accent4 2 15" xfId="1889" xr:uid="{00000000-0005-0000-0000-000067070000}"/>
    <cellStyle name="Accent4 2 2" xfId="1890" xr:uid="{00000000-0005-0000-0000-000068070000}"/>
    <cellStyle name="Accent4 2 3" xfId="1891" xr:uid="{00000000-0005-0000-0000-000069070000}"/>
    <cellStyle name="Accent4 2 4" xfId="1892" xr:uid="{00000000-0005-0000-0000-00006A070000}"/>
    <cellStyle name="Accent4 2 5" xfId="1893" xr:uid="{00000000-0005-0000-0000-00006B070000}"/>
    <cellStyle name="Accent4 2 6" xfId="1894" xr:uid="{00000000-0005-0000-0000-00006C070000}"/>
    <cellStyle name="Accent4 2 7" xfId="1895" xr:uid="{00000000-0005-0000-0000-00006D070000}"/>
    <cellStyle name="Accent4 2 8" xfId="1896" xr:uid="{00000000-0005-0000-0000-00006E070000}"/>
    <cellStyle name="Accent4 2 9" xfId="1897" xr:uid="{00000000-0005-0000-0000-00006F070000}"/>
    <cellStyle name="Accent4 20" xfId="4338" xr:uid="{00000000-0005-0000-0000-000070070000}"/>
    <cellStyle name="Accent4 3" xfId="1898" xr:uid="{00000000-0005-0000-0000-000071070000}"/>
    <cellStyle name="Accent4 3 2" xfId="1899" xr:uid="{00000000-0005-0000-0000-000072070000}"/>
    <cellStyle name="Accent4 3 3" xfId="1900" xr:uid="{00000000-0005-0000-0000-000073070000}"/>
    <cellStyle name="Accent4 3 4" xfId="1901" xr:uid="{00000000-0005-0000-0000-000074070000}"/>
    <cellStyle name="Accent4 3 5" xfId="1902" xr:uid="{00000000-0005-0000-0000-000075070000}"/>
    <cellStyle name="Accent4 3 5 2" xfId="1903" xr:uid="{00000000-0005-0000-0000-000076070000}"/>
    <cellStyle name="Accent4 3 6" xfId="1904" xr:uid="{00000000-0005-0000-0000-000077070000}"/>
    <cellStyle name="Accent4 3 7" xfId="1905" xr:uid="{00000000-0005-0000-0000-000078070000}"/>
    <cellStyle name="Accent4 3 8" xfId="1906" xr:uid="{00000000-0005-0000-0000-000079070000}"/>
    <cellStyle name="Accent4 3 9" xfId="1907" xr:uid="{00000000-0005-0000-0000-00007A070000}"/>
    <cellStyle name="Accent4 4" xfId="1908" xr:uid="{00000000-0005-0000-0000-00007B070000}"/>
    <cellStyle name="Accent4 4 2" xfId="1909" xr:uid="{00000000-0005-0000-0000-00007C070000}"/>
    <cellStyle name="Accent4 5" xfId="1910" xr:uid="{00000000-0005-0000-0000-00007D070000}"/>
    <cellStyle name="Accent4 5 2" xfId="1911" xr:uid="{00000000-0005-0000-0000-00007E070000}"/>
    <cellStyle name="Accent4 6" xfId="1912" xr:uid="{00000000-0005-0000-0000-00007F070000}"/>
    <cellStyle name="Accent4 6 2" xfId="1913" xr:uid="{00000000-0005-0000-0000-000080070000}"/>
    <cellStyle name="Accent4 7" xfId="1914" xr:uid="{00000000-0005-0000-0000-000081070000}"/>
    <cellStyle name="Accent4 8" xfId="1915" xr:uid="{00000000-0005-0000-0000-000082070000}"/>
    <cellStyle name="Accent4 9" xfId="1916" xr:uid="{00000000-0005-0000-0000-000083070000}"/>
    <cellStyle name="Accent4 9 2" xfId="1917" xr:uid="{00000000-0005-0000-0000-000084070000}"/>
    <cellStyle name="Accent4 9 2 2" xfId="1918" xr:uid="{00000000-0005-0000-0000-000085070000}"/>
    <cellStyle name="Accent4 9 3" xfId="1919" xr:uid="{00000000-0005-0000-0000-000086070000}"/>
    <cellStyle name="Accent4 9 4" xfId="1920" xr:uid="{00000000-0005-0000-0000-000087070000}"/>
    <cellStyle name="Accent4 9 5" xfId="1921" xr:uid="{00000000-0005-0000-0000-000088070000}"/>
    <cellStyle name="Accent5 10" xfId="1922" xr:uid="{00000000-0005-0000-0000-000089070000}"/>
    <cellStyle name="Accent5 10 2" xfId="1923" xr:uid="{00000000-0005-0000-0000-00008A070000}"/>
    <cellStyle name="Accent5 10 3" xfId="1924" xr:uid="{00000000-0005-0000-0000-00008B070000}"/>
    <cellStyle name="Accent5 11" xfId="1925" xr:uid="{00000000-0005-0000-0000-00008C070000}"/>
    <cellStyle name="Accent5 11 2" xfId="1926" xr:uid="{00000000-0005-0000-0000-00008D070000}"/>
    <cellStyle name="Accent5 11 3" xfId="1927" xr:uid="{00000000-0005-0000-0000-00008E070000}"/>
    <cellStyle name="Accent5 12" xfId="1928" xr:uid="{00000000-0005-0000-0000-00008F070000}"/>
    <cellStyle name="Accent5 12 2" xfId="1929" xr:uid="{00000000-0005-0000-0000-000090070000}"/>
    <cellStyle name="Accent5 12 3" xfId="1930" xr:uid="{00000000-0005-0000-0000-000091070000}"/>
    <cellStyle name="Accent5 13" xfId="1931" xr:uid="{00000000-0005-0000-0000-000092070000}"/>
    <cellStyle name="Accent5 13 2" xfId="1932" xr:uid="{00000000-0005-0000-0000-000093070000}"/>
    <cellStyle name="Accent5 13 3" xfId="1933" xr:uid="{00000000-0005-0000-0000-000094070000}"/>
    <cellStyle name="Accent5 14" xfId="1934" xr:uid="{00000000-0005-0000-0000-000095070000}"/>
    <cellStyle name="Accent5 14 2" xfId="1935" xr:uid="{00000000-0005-0000-0000-000096070000}"/>
    <cellStyle name="Accent5 14 3" xfId="1936" xr:uid="{00000000-0005-0000-0000-000097070000}"/>
    <cellStyle name="Accent5 15" xfId="1937" xr:uid="{00000000-0005-0000-0000-000098070000}"/>
    <cellStyle name="Accent5 15 2" xfId="1938" xr:uid="{00000000-0005-0000-0000-000099070000}"/>
    <cellStyle name="Accent5 15 3" xfId="1939" xr:uid="{00000000-0005-0000-0000-00009A070000}"/>
    <cellStyle name="Accent5 16" xfId="1940" xr:uid="{00000000-0005-0000-0000-00009B070000}"/>
    <cellStyle name="Accent5 17" xfId="1941" xr:uid="{00000000-0005-0000-0000-00009C070000}"/>
    <cellStyle name="Accent5 18" xfId="1942" xr:uid="{00000000-0005-0000-0000-00009D070000}"/>
    <cellStyle name="Accent5 19" xfId="1943" xr:uid="{00000000-0005-0000-0000-00009E070000}"/>
    <cellStyle name="Accent5 2" xfId="1944" xr:uid="{00000000-0005-0000-0000-00009F070000}"/>
    <cellStyle name="Accent5 2 10" xfId="1945" xr:uid="{00000000-0005-0000-0000-0000A0070000}"/>
    <cellStyle name="Accent5 2 11" xfId="1946" xr:uid="{00000000-0005-0000-0000-0000A1070000}"/>
    <cellStyle name="Accent5 2 12" xfId="1947" xr:uid="{00000000-0005-0000-0000-0000A2070000}"/>
    <cellStyle name="Accent5 2 13" xfId="1948" xr:uid="{00000000-0005-0000-0000-0000A3070000}"/>
    <cellStyle name="Accent5 2 14" xfId="1949" xr:uid="{00000000-0005-0000-0000-0000A4070000}"/>
    <cellStyle name="Accent5 2 15" xfId="1950" xr:uid="{00000000-0005-0000-0000-0000A5070000}"/>
    <cellStyle name="Accent5 2 2" xfId="1951" xr:uid="{00000000-0005-0000-0000-0000A6070000}"/>
    <cellStyle name="Accent5 2 3" xfId="1952" xr:uid="{00000000-0005-0000-0000-0000A7070000}"/>
    <cellStyle name="Accent5 2 4" xfId="1953" xr:uid="{00000000-0005-0000-0000-0000A8070000}"/>
    <cellStyle name="Accent5 2 5" xfId="1954" xr:uid="{00000000-0005-0000-0000-0000A9070000}"/>
    <cellStyle name="Accent5 2 6" xfId="1955" xr:uid="{00000000-0005-0000-0000-0000AA070000}"/>
    <cellStyle name="Accent5 2 7" xfId="1956" xr:uid="{00000000-0005-0000-0000-0000AB070000}"/>
    <cellStyle name="Accent5 2 8" xfId="1957" xr:uid="{00000000-0005-0000-0000-0000AC070000}"/>
    <cellStyle name="Accent5 2 9" xfId="1958" xr:uid="{00000000-0005-0000-0000-0000AD070000}"/>
    <cellStyle name="Accent5 20" xfId="4339" xr:uid="{00000000-0005-0000-0000-0000AE070000}"/>
    <cellStyle name="Accent5 3" xfId="1959" xr:uid="{00000000-0005-0000-0000-0000AF070000}"/>
    <cellStyle name="Accent5 3 2" xfId="1960" xr:uid="{00000000-0005-0000-0000-0000B0070000}"/>
    <cellStyle name="Accent5 3 3" xfId="1961" xr:uid="{00000000-0005-0000-0000-0000B1070000}"/>
    <cellStyle name="Accent5 3 4" xfId="1962" xr:uid="{00000000-0005-0000-0000-0000B2070000}"/>
    <cellStyle name="Accent5 3 5" xfId="1963" xr:uid="{00000000-0005-0000-0000-0000B3070000}"/>
    <cellStyle name="Accent5 3 6" xfId="1964" xr:uid="{00000000-0005-0000-0000-0000B4070000}"/>
    <cellStyle name="Accent5 3 7" xfId="1965" xr:uid="{00000000-0005-0000-0000-0000B5070000}"/>
    <cellStyle name="Accent5 3 8" xfId="1966" xr:uid="{00000000-0005-0000-0000-0000B6070000}"/>
    <cellStyle name="Accent5 4" xfId="1967" xr:uid="{00000000-0005-0000-0000-0000B7070000}"/>
    <cellStyle name="Accent5 4 2" xfId="1968" xr:uid="{00000000-0005-0000-0000-0000B8070000}"/>
    <cellStyle name="Accent5 5" xfId="1969" xr:uid="{00000000-0005-0000-0000-0000B9070000}"/>
    <cellStyle name="Accent5 5 2" xfId="1970" xr:uid="{00000000-0005-0000-0000-0000BA070000}"/>
    <cellStyle name="Accent5 6" xfId="1971" xr:uid="{00000000-0005-0000-0000-0000BB070000}"/>
    <cellStyle name="Accent5 6 2" xfId="1972" xr:uid="{00000000-0005-0000-0000-0000BC070000}"/>
    <cellStyle name="Accent5 7" xfId="1973" xr:uid="{00000000-0005-0000-0000-0000BD070000}"/>
    <cellStyle name="Accent5 8" xfId="1974" xr:uid="{00000000-0005-0000-0000-0000BE070000}"/>
    <cellStyle name="Accent5 9" xfId="1975" xr:uid="{00000000-0005-0000-0000-0000BF070000}"/>
    <cellStyle name="Accent5 9 2" xfId="1976" xr:uid="{00000000-0005-0000-0000-0000C0070000}"/>
    <cellStyle name="Accent5 9 3" xfId="1977" xr:uid="{00000000-0005-0000-0000-0000C1070000}"/>
    <cellStyle name="Accent5 9 4" xfId="1978" xr:uid="{00000000-0005-0000-0000-0000C2070000}"/>
    <cellStyle name="Accent6 10" xfId="1979" xr:uid="{00000000-0005-0000-0000-0000C3070000}"/>
    <cellStyle name="Accent6 10 2" xfId="1980" xr:uid="{00000000-0005-0000-0000-0000C4070000}"/>
    <cellStyle name="Accent6 10 3" xfId="1981" xr:uid="{00000000-0005-0000-0000-0000C5070000}"/>
    <cellStyle name="Accent6 11" xfId="1982" xr:uid="{00000000-0005-0000-0000-0000C6070000}"/>
    <cellStyle name="Accent6 11 2" xfId="1983" xr:uid="{00000000-0005-0000-0000-0000C7070000}"/>
    <cellStyle name="Accent6 11 3" xfId="1984" xr:uid="{00000000-0005-0000-0000-0000C8070000}"/>
    <cellStyle name="Accent6 12" xfId="1985" xr:uid="{00000000-0005-0000-0000-0000C9070000}"/>
    <cellStyle name="Accent6 12 2" xfId="1986" xr:uid="{00000000-0005-0000-0000-0000CA070000}"/>
    <cellStyle name="Accent6 12 3" xfId="1987" xr:uid="{00000000-0005-0000-0000-0000CB070000}"/>
    <cellStyle name="Accent6 13" xfId="1988" xr:uid="{00000000-0005-0000-0000-0000CC070000}"/>
    <cellStyle name="Accent6 13 2" xfId="1989" xr:uid="{00000000-0005-0000-0000-0000CD070000}"/>
    <cellStyle name="Accent6 13 3" xfId="1990" xr:uid="{00000000-0005-0000-0000-0000CE070000}"/>
    <cellStyle name="Accent6 14" xfId="1991" xr:uid="{00000000-0005-0000-0000-0000CF070000}"/>
    <cellStyle name="Accent6 14 2" xfId="1992" xr:uid="{00000000-0005-0000-0000-0000D0070000}"/>
    <cellStyle name="Accent6 14 3" xfId="1993" xr:uid="{00000000-0005-0000-0000-0000D1070000}"/>
    <cellStyle name="Accent6 15" xfId="1994" xr:uid="{00000000-0005-0000-0000-0000D2070000}"/>
    <cellStyle name="Accent6 15 2" xfId="1995" xr:uid="{00000000-0005-0000-0000-0000D3070000}"/>
    <cellStyle name="Accent6 15 3" xfId="1996" xr:uid="{00000000-0005-0000-0000-0000D4070000}"/>
    <cellStyle name="Accent6 16" xfId="1997" xr:uid="{00000000-0005-0000-0000-0000D5070000}"/>
    <cellStyle name="Accent6 17" xfId="1998" xr:uid="{00000000-0005-0000-0000-0000D6070000}"/>
    <cellStyle name="Accent6 18" xfId="1999" xr:uid="{00000000-0005-0000-0000-0000D7070000}"/>
    <cellStyle name="Accent6 19" xfId="2000" xr:uid="{00000000-0005-0000-0000-0000D8070000}"/>
    <cellStyle name="Accent6 2" xfId="2001" xr:uid="{00000000-0005-0000-0000-0000D9070000}"/>
    <cellStyle name="Accent6 2 10" xfId="2002" xr:uid="{00000000-0005-0000-0000-0000DA070000}"/>
    <cellStyle name="Accent6 2 11" xfId="2003" xr:uid="{00000000-0005-0000-0000-0000DB070000}"/>
    <cellStyle name="Accent6 2 12" xfId="2004" xr:uid="{00000000-0005-0000-0000-0000DC070000}"/>
    <cellStyle name="Accent6 2 13" xfId="2005" xr:uid="{00000000-0005-0000-0000-0000DD070000}"/>
    <cellStyle name="Accent6 2 14" xfId="2006" xr:uid="{00000000-0005-0000-0000-0000DE070000}"/>
    <cellStyle name="Accent6 2 15" xfId="2007" xr:uid="{00000000-0005-0000-0000-0000DF070000}"/>
    <cellStyle name="Accent6 2 2" xfId="2008" xr:uid="{00000000-0005-0000-0000-0000E0070000}"/>
    <cellStyle name="Accent6 2 3" xfId="2009" xr:uid="{00000000-0005-0000-0000-0000E1070000}"/>
    <cellStyle name="Accent6 2 4" xfId="2010" xr:uid="{00000000-0005-0000-0000-0000E2070000}"/>
    <cellStyle name="Accent6 2 5" xfId="2011" xr:uid="{00000000-0005-0000-0000-0000E3070000}"/>
    <cellStyle name="Accent6 2 6" xfId="2012" xr:uid="{00000000-0005-0000-0000-0000E4070000}"/>
    <cellStyle name="Accent6 2 7" xfId="2013" xr:uid="{00000000-0005-0000-0000-0000E5070000}"/>
    <cellStyle name="Accent6 2 8" xfId="2014" xr:uid="{00000000-0005-0000-0000-0000E6070000}"/>
    <cellStyle name="Accent6 2 9" xfId="2015" xr:uid="{00000000-0005-0000-0000-0000E7070000}"/>
    <cellStyle name="Accent6 20" xfId="4340" xr:uid="{00000000-0005-0000-0000-0000E8070000}"/>
    <cellStyle name="Accent6 3" xfId="2016" xr:uid="{00000000-0005-0000-0000-0000E9070000}"/>
    <cellStyle name="Accent6 3 2" xfId="2017" xr:uid="{00000000-0005-0000-0000-0000EA070000}"/>
    <cellStyle name="Accent6 3 3" xfId="2018" xr:uid="{00000000-0005-0000-0000-0000EB070000}"/>
    <cellStyle name="Accent6 3 4" xfId="2019" xr:uid="{00000000-0005-0000-0000-0000EC070000}"/>
    <cellStyle name="Accent6 3 5" xfId="2020" xr:uid="{00000000-0005-0000-0000-0000ED070000}"/>
    <cellStyle name="Accent6 3 5 2" xfId="2021" xr:uid="{00000000-0005-0000-0000-0000EE070000}"/>
    <cellStyle name="Accent6 3 6" xfId="2022" xr:uid="{00000000-0005-0000-0000-0000EF070000}"/>
    <cellStyle name="Accent6 3 7" xfId="2023" xr:uid="{00000000-0005-0000-0000-0000F0070000}"/>
    <cellStyle name="Accent6 3 8" xfId="2024" xr:uid="{00000000-0005-0000-0000-0000F1070000}"/>
    <cellStyle name="Accent6 3 9" xfId="2025" xr:uid="{00000000-0005-0000-0000-0000F2070000}"/>
    <cellStyle name="Accent6 4" xfId="2026" xr:uid="{00000000-0005-0000-0000-0000F3070000}"/>
    <cellStyle name="Accent6 4 2" xfId="2027" xr:uid="{00000000-0005-0000-0000-0000F4070000}"/>
    <cellStyle name="Accent6 5" xfId="2028" xr:uid="{00000000-0005-0000-0000-0000F5070000}"/>
    <cellStyle name="Accent6 5 2" xfId="2029" xr:uid="{00000000-0005-0000-0000-0000F6070000}"/>
    <cellStyle name="Accent6 6" xfId="2030" xr:uid="{00000000-0005-0000-0000-0000F7070000}"/>
    <cellStyle name="Accent6 6 2" xfId="2031" xr:uid="{00000000-0005-0000-0000-0000F8070000}"/>
    <cellStyle name="Accent6 7" xfId="2032" xr:uid="{00000000-0005-0000-0000-0000F9070000}"/>
    <cellStyle name="Accent6 8" xfId="2033" xr:uid="{00000000-0005-0000-0000-0000FA070000}"/>
    <cellStyle name="Accent6 9" xfId="2034" xr:uid="{00000000-0005-0000-0000-0000FB070000}"/>
    <cellStyle name="Accent6 9 2" xfId="2035" xr:uid="{00000000-0005-0000-0000-0000FC070000}"/>
    <cellStyle name="Accent6 9 2 2" xfId="2036" xr:uid="{00000000-0005-0000-0000-0000FD070000}"/>
    <cellStyle name="Accent6 9 3" xfId="2037" xr:uid="{00000000-0005-0000-0000-0000FE070000}"/>
    <cellStyle name="Accent6 9 4" xfId="2038" xr:uid="{00000000-0005-0000-0000-0000FF070000}"/>
    <cellStyle name="Accent6 9 5" xfId="2039" xr:uid="{00000000-0005-0000-0000-000000080000}"/>
    <cellStyle name="Accounting" xfId="2040" xr:uid="{00000000-0005-0000-0000-000001080000}"/>
    <cellStyle name="Actual Date" xfId="2041" xr:uid="{00000000-0005-0000-0000-000002080000}"/>
    <cellStyle name="amount" xfId="2042" xr:uid="{00000000-0005-0000-0000-000003080000}"/>
    <cellStyle name="amount 10" xfId="2043" xr:uid="{00000000-0005-0000-0000-000004080000}"/>
    <cellStyle name="amount 11" xfId="2044" xr:uid="{00000000-0005-0000-0000-000005080000}"/>
    <cellStyle name="amount 12" xfId="2045" xr:uid="{00000000-0005-0000-0000-000006080000}"/>
    <cellStyle name="amount 2" xfId="2046" xr:uid="{00000000-0005-0000-0000-000007080000}"/>
    <cellStyle name="amount 3" xfId="2047" xr:uid="{00000000-0005-0000-0000-000008080000}"/>
    <cellStyle name="amount 4" xfId="2048" xr:uid="{00000000-0005-0000-0000-000009080000}"/>
    <cellStyle name="amount 5" xfId="2049" xr:uid="{00000000-0005-0000-0000-00000A080000}"/>
    <cellStyle name="amount 6" xfId="2050" xr:uid="{00000000-0005-0000-0000-00000B080000}"/>
    <cellStyle name="amount 7" xfId="2051" xr:uid="{00000000-0005-0000-0000-00000C080000}"/>
    <cellStyle name="amount 8" xfId="2052" xr:uid="{00000000-0005-0000-0000-00000D080000}"/>
    <cellStyle name="amount 9" xfId="2053" xr:uid="{00000000-0005-0000-0000-00000E080000}"/>
    <cellStyle name="args.style" xfId="2054" xr:uid="{00000000-0005-0000-0000-00000F080000}"/>
    <cellStyle name="args.style 2" xfId="2055" xr:uid="{00000000-0005-0000-0000-000010080000}"/>
    <cellStyle name="Arial 10" xfId="2056" xr:uid="{00000000-0005-0000-0000-000011080000}"/>
    <cellStyle name="Arial 12" xfId="2057" xr:uid="{00000000-0005-0000-0000-000012080000}"/>
    <cellStyle name="AxeHor" xfId="2058" xr:uid="{00000000-0005-0000-0000-000013080000}"/>
    <cellStyle name="azert - Style1" xfId="2059" xr:uid="{00000000-0005-0000-0000-000014080000}"/>
    <cellStyle name="Bad 10" xfId="2060" xr:uid="{00000000-0005-0000-0000-000015080000}"/>
    <cellStyle name="Bad 10 2" xfId="2061" xr:uid="{00000000-0005-0000-0000-000016080000}"/>
    <cellStyle name="Bad 10 3" xfId="2062" xr:uid="{00000000-0005-0000-0000-000017080000}"/>
    <cellStyle name="Bad 11" xfId="2063" xr:uid="{00000000-0005-0000-0000-000018080000}"/>
    <cellStyle name="Bad 11 2" xfId="2064" xr:uid="{00000000-0005-0000-0000-000019080000}"/>
    <cellStyle name="Bad 11 3" xfId="2065" xr:uid="{00000000-0005-0000-0000-00001A080000}"/>
    <cellStyle name="Bad 12" xfId="2066" xr:uid="{00000000-0005-0000-0000-00001B080000}"/>
    <cellStyle name="Bad 12 2" xfId="2067" xr:uid="{00000000-0005-0000-0000-00001C080000}"/>
    <cellStyle name="Bad 12 3" xfId="2068" xr:uid="{00000000-0005-0000-0000-00001D080000}"/>
    <cellStyle name="Bad 13" xfId="2069" xr:uid="{00000000-0005-0000-0000-00001E080000}"/>
    <cellStyle name="Bad 13 2" xfId="2070" xr:uid="{00000000-0005-0000-0000-00001F080000}"/>
    <cellStyle name="Bad 13 3" xfId="2071" xr:uid="{00000000-0005-0000-0000-000020080000}"/>
    <cellStyle name="Bad 14" xfId="2072" xr:uid="{00000000-0005-0000-0000-000021080000}"/>
    <cellStyle name="Bad 14 2" xfId="2073" xr:uid="{00000000-0005-0000-0000-000022080000}"/>
    <cellStyle name="Bad 14 3" xfId="2074" xr:uid="{00000000-0005-0000-0000-000023080000}"/>
    <cellStyle name="Bad 15" xfId="2075" xr:uid="{00000000-0005-0000-0000-000024080000}"/>
    <cellStyle name="Bad 15 2" xfId="2076" xr:uid="{00000000-0005-0000-0000-000025080000}"/>
    <cellStyle name="Bad 15 3" xfId="2077" xr:uid="{00000000-0005-0000-0000-000026080000}"/>
    <cellStyle name="Bad 16" xfId="2078" xr:uid="{00000000-0005-0000-0000-000027080000}"/>
    <cellStyle name="Bad 17" xfId="2079" xr:uid="{00000000-0005-0000-0000-000028080000}"/>
    <cellStyle name="Bad 18" xfId="2080" xr:uid="{00000000-0005-0000-0000-000029080000}"/>
    <cellStyle name="Bad 19" xfId="2081" xr:uid="{00000000-0005-0000-0000-00002A080000}"/>
    <cellStyle name="Bad 2" xfId="2082" xr:uid="{00000000-0005-0000-0000-00002B080000}"/>
    <cellStyle name="Bad 2 10" xfId="2083" xr:uid="{00000000-0005-0000-0000-00002C080000}"/>
    <cellStyle name="Bad 2 11" xfId="2084" xr:uid="{00000000-0005-0000-0000-00002D080000}"/>
    <cellStyle name="Bad 2 12" xfId="2085" xr:uid="{00000000-0005-0000-0000-00002E080000}"/>
    <cellStyle name="Bad 2 13" xfId="2086" xr:uid="{00000000-0005-0000-0000-00002F080000}"/>
    <cellStyle name="Bad 2 14" xfId="2087" xr:uid="{00000000-0005-0000-0000-000030080000}"/>
    <cellStyle name="Bad 2 15" xfId="2088" xr:uid="{00000000-0005-0000-0000-000031080000}"/>
    <cellStyle name="Bad 2 2" xfId="2089" xr:uid="{00000000-0005-0000-0000-000032080000}"/>
    <cellStyle name="Bad 2 3" xfId="2090" xr:uid="{00000000-0005-0000-0000-000033080000}"/>
    <cellStyle name="Bad 2 4" xfId="2091" xr:uid="{00000000-0005-0000-0000-000034080000}"/>
    <cellStyle name="Bad 2 5" xfId="2092" xr:uid="{00000000-0005-0000-0000-000035080000}"/>
    <cellStyle name="Bad 2 6" xfId="2093" xr:uid="{00000000-0005-0000-0000-000036080000}"/>
    <cellStyle name="Bad 2 7" xfId="2094" xr:uid="{00000000-0005-0000-0000-000037080000}"/>
    <cellStyle name="Bad 2 8" xfId="2095" xr:uid="{00000000-0005-0000-0000-000038080000}"/>
    <cellStyle name="Bad 2 9" xfId="2096" xr:uid="{00000000-0005-0000-0000-000039080000}"/>
    <cellStyle name="Bad 20" xfId="4341" xr:uid="{00000000-0005-0000-0000-00003A080000}"/>
    <cellStyle name="Bad 3" xfId="2097" xr:uid="{00000000-0005-0000-0000-00003B080000}"/>
    <cellStyle name="Bad 3 2" xfId="2098" xr:uid="{00000000-0005-0000-0000-00003C080000}"/>
    <cellStyle name="Bad 3 3" xfId="2099" xr:uid="{00000000-0005-0000-0000-00003D080000}"/>
    <cellStyle name="Bad 3 4" xfId="2100" xr:uid="{00000000-0005-0000-0000-00003E080000}"/>
    <cellStyle name="Bad 3 5" xfId="2101" xr:uid="{00000000-0005-0000-0000-00003F080000}"/>
    <cellStyle name="Bad 3 5 2" xfId="2102" xr:uid="{00000000-0005-0000-0000-000040080000}"/>
    <cellStyle name="Bad 3 6" xfId="2103" xr:uid="{00000000-0005-0000-0000-000041080000}"/>
    <cellStyle name="Bad 3 7" xfId="2104" xr:uid="{00000000-0005-0000-0000-000042080000}"/>
    <cellStyle name="Bad 3 8" xfId="2105" xr:uid="{00000000-0005-0000-0000-000043080000}"/>
    <cellStyle name="Bad 3 9" xfId="2106" xr:uid="{00000000-0005-0000-0000-000044080000}"/>
    <cellStyle name="Bad 4" xfId="2107" xr:uid="{00000000-0005-0000-0000-000045080000}"/>
    <cellStyle name="Bad 4 2" xfId="2108" xr:uid="{00000000-0005-0000-0000-000046080000}"/>
    <cellStyle name="Bad 5" xfId="2109" xr:uid="{00000000-0005-0000-0000-000047080000}"/>
    <cellStyle name="Bad 5 2" xfId="2110" xr:uid="{00000000-0005-0000-0000-000048080000}"/>
    <cellStyle name="Bad 6" xfId="2111" xr:uid="{00000000-0005-0000-0000-000049080000}"/>
    <cellStyle name="Bad 6 2" xfId="2112" xr:uid="{00000000-0005-0000-0000-00004A080000}"/>
    <cellStyle name="Bad 7" xfId="2113" xr:uid="{00000000-0005-0000-0000-00004B080000}"/>
    <cellStyle name="Bad 8" xfId="2114" xr:uid="{00000000-0005-0000-0000-00004C080000}"/>
    <cellStyle name="Bad 9" xfId="2115" xr:uid="{00000000-0005-0000-0000-00004D080000}"/>
    <cellStyle name="Bad 9 2" xfId="2116" xr:uid="{00000000-0005-0000-0000-00004E080000}"/>
    <cellStyle name="Bad 9 2 2" xfId="2117" xr:uid="{00000000-0005-0000-0000-00004F080000}"/>
    <cellStyle name="Bad 9 3" xfId="2118" xr:uid="{00000000-0005-0000-0000-000050080000}"/>
    <cellStyle name="Bad 9 4" xfId="2119" xr:uid="{00000000-0005-0000-0000-000051080000}"/>
    <cellStyle name="Bad 9 5" xfId="2120" xr:uid="{00000000-0005-0000-0000-000052080000}"/>
    <cellStyle name="bartitre" xfId="2121" xr:uid="{00000000-0005-0000-0000-000053080000}"/>
    <cellStyle name="bartotal" xfId="2122" xr:uid="{00000000-0005-0000-0000-000054080000}"/>
    <cellStyle name="Big head" xfId="2123" xr:uid="{00000000-0005-0000-0000-000055080000}"/>
    <cellStyle name="blp_column_header" xfId="1" xr:uid="{00000000-0005-0000-0000-000000000000}"/>
    <cellStyle name="blue shading" xfId="2124" xr:uid="{00000000-0005-0000-0000-000056080000}"/>
    <cellStyle name="Blue Title" xfId="2125" xr:uid="{00000000-0005-0000-0000-000057080000}"/>
    <cellStyle name="Bob" xfId="2126" xr:uid="{00000000-0005-0000-0000-000058080000}"/>
    <cellStyle name="Bob 1" xfId="2127" xr:uid="{00000000-0005-0000-0000-000059080000}"/>
    <cellStyle name="Bob 3" xfId="2128" xr:uid="{00000000-0005-0000-0000-00005A080000}"/>
    <cellStyle name="bob_boite - choix table" xfId="2129" xr:uid="{00000000-0005-0000-0000-00005B080000}"/>
    <cellStyle name="Bob2" xfId="2130" xr:uid="{00000000-0005-0000-0000-00005C080000}"/>
    <cellStyle name="Body text" xfId="2131" xr:uid="{00000000-0005-0000-0000-00005D080000}"/>
    <cellStyle name="Body text 10" xfId="2132" xr:uid="{00000000-0005-0000-0000-00005E080000}"/>
    <cellStyle name="Body text 11" xfId="2133" xr:uid="{00000000-0005-0000-0000-00005F080000}"/>
    <cellStyle name="Body text 12" xfId="2134" xr:uid="{00000000-0005-0000-0000-000060080000}"/>
    <cellStyle name="Body text 2" xfId="2135" xr:uid="{00000000-0005-0000-0000-000061080000}"/>
    <cellStyle name="Body text 3" xfId="2136" xr:uid="{00000000-0005-0000-0000-000062080000}"/>
    <cellStyle name="Body text 4" xfId="2137" xr:uid="{00000000-0005-0000-0000-000063080000}"/>
    <cellStyle name="Body text 5" xfId="2138" xr:uid="{00000000-0005-0000-0000-000064080000}"/>
    <cellStyle name="Body text 6" xfId="2139" xr:uid="{00000000-0005-0000-0000-000065080000}"/>
    <cellStyle name="Body text 7" xfId="2140" xr:uid="{00000000-0005-0000-0000-000066080000}"/>
    <cellStyle name="Body text 8" xfId="2141" xr:uid="{00000000-0005-0000-0000-000067080000}"/>
    <cellStyle name="Body text 9" xfId="2142" xr:uid="{00000000-0005-0000-0000-000068080000}"/>
    <cellStyle name="Border" xfId="2143" xr:uid="{00000000-0005-0000-0000-000069080000}"/>
    <cellStyle name="Border Heavy" xfId="2144" xr:uid="{00000000-0005-0000-0000-00006A080000}"/>
    <cellStyle name="Border Thin" xfId="2145" xr:uid="{00000000-0005-0000-0000-00006B080000}"/>
    <cellStyle name="British Pound" xfId="2146" xr:uid="{00000000-0005-0000-0000-00006C080000}"/>
    <cellStyle name="Calc Currency (0)" xfId="2147" xr:uid="{00000000-0005-0000-0000-00006D080000}"/>
    <cellStyle name="Calc Currency (0) 2" xfId="2148" xr:uid="{00000000-0005-0000-0000-00006E080000}"/>
    <cellStyle name="Calc Currency (2)" xfId="2149" xr:uid="{00000000-0005-0000-0000-00006F080000}"/>
    <cellStyle name="Calc Currency (2) 2" xfId="2150" xr:uid="{00000000-0005-0000-0000-000070080000}"/>
    <cellStyle name="Calc Percent (0)" xfId="2151" xr:uid="{00000000-0005-0000-0000-000071080000}"/>
    <cellStyle name="Calc Percent (0) 2" xfId="2152" xr:uid="{00000000-0005-0000-0000-000072080000}"/>
    <cellStyle name="Calc Percent (1)" xfId="2153" xr:uid="{00000000-0005-0000-0000-000073080000}"/>
    <cellStyle name="Calc Percent (1) 2" xfId="2154" xr:uid="{00000000-0005-0000-0000-000074080000}"/>
    <cellStyle name="Calc Percent (2)" xfId="2155" xr:uid="{00000000-0005-0000-0000-000075080000}"/>
    <cellStyle name="Calc Percent (2) 2" xfId="2156" xr:uid="{00000000-0005-0000-0000-000076080000}"/>
    <cellStyle name="Calc Units (0)" xfId="2157" xr:uid="{00000000-0005-0000-0000-000077080000}"/>
    <cellStyle name="Calc Units (0) 2" xfId="2158" xr:uid="{00000000-0005-0000-0000-000078080000}"/>
    <cellStyle name="Calc Units (1)" xfId="2159" xr:uid="{00000000-0005-0000-0000-000079080000}"/>
    <cellStyle name="Calc Units (1) 2" xfId="2160" xr:uid="{00000000-0005-0000-0000-00007A080000}"/>
    <cellStyle name="Calc Units (2)" xfId="2161" xr:uid="{00000000-0005-0000-0000-00007B080000}"/>
    <cellStyle name="Calc Units (2) 2" xfId="2162" xr:uid="{00000000-0005-0000-0000-00007C080000}"/>
    <cellStyle name="Calcul" xfId="2163" xr:uid="{00000000-0005-0000-0000-00007D080000}"/>
    <cellStyle name="Calculation 10" xfId="2164" xr:uid="{00000000-0005-0000-0000-00007E080000}"/>
    <cellStyle name="Calculation 10 2" xfId="2165" xr:uid="{00000000-0005-0000-0000-00007F080000}"/>
    <cellStyle name="Calculation 10 3" xfId="2166" xr:uid="{00000000-0005-0000-0000-000080080000}"/>
    <cellStyle name="Calculation 11" xfId="2167" xr:uid="{00000000-0005-0000-0000-000081080000}"/>
    <cellStyle name="Calculation 11 2" xfId="2168" xr:uid="{00000000-0005-0000-0000-000082080000}"/>
    <cellStyle name="Calculation 11 3" xfId="2169" xr:uid="{00000000-0005-0000-0000-000083080000}"/>
    <cellStyle name="Calculation 12" xfId="2170" xr:uid="{00000000-0005-0000-0000-000084080000}"/>
    <cellStyle name="Calculation 12 2" xfId="2171" xr:uid="{00000000-0005-0000-0000-000085080000}"/>
    <cellStyle name="Calculation 12 3" xfId="2172" xr:uid="{00000000-0005-0000-0000-000086080000}"/>
    <cellStyle name="Calculation 13" xfId="2173" xr:uid="{00000000-0005-0000-0000-000087080000}"/>
    <cellStyle name="Calculation 13 2" xfId="2174" xr:uid="{00000000-0005-0000-0000-000088080000}"/>
    <cellStyle name="Calculation 13 3" xfId="2175" xr:uid="{00000000-0005-0000-0000-000089080000}"/>
    <cellStyle name="Calculation 14" xfId="2176" xr:uid="{00000000-0005-0000-0000-00008A080000}"/>
    <cellStyle name="Calculation 14 2" xfId="2177" xr:uid="{00000000-0005-0000-0000-00008B080000}"/>
    <cellStyle name="Calculation 14 3" xfId="2178" xr:uid="{00000000-0005-0000-0000-00008C080000}"/>
    <cellStyle name="Calculation 15" xfId="2179" xr:uid="{00000000-0005-0000-0000-00008D080000}"/>
    <cellStyle name="Calculation 15 2" xfId="2180" xr:uid="{00000000-0005-0000-0000-00008E080000}"/>
    <cellStyle name="Calculation 15 3" xfId="2181" xr:uid="{00000000-0005-0000-0000-00008F080000}"/>
    <cellStyle name="Calculation 16" xfId="2182" xr:uid="{00000000-0005-0000-0000-000090080000}"/>
    <cellStyle name="Calculation 17" xfId="2183" xr:uid="{00000000-0005-0000-0000-000091080000}"/>
    <cellStyle name="Calculation 18" xfId="2184" xr:uid="{00000000-0005-0000-0000-000092080000}"/>
    <cellStyle name="Calculation 19" xfId="2185" xr:uid="{00000000-0005-0000-0000-000093080000}"/>
    <cellStyle name="Calculation 2" xfId="2186" xr:uid="{00000000-0005-0000-0000-000094080000}"/>
    <cellStyle name="Calculation 2 10" xfId="2187" xr:uid="{00000000-0005-0000-0000-000095080000}"/>
    <cellStyle name="Calculation 2 11" xfId="2188" xr:uid="{00000000-0005-0000-0000-000096080000}"/>
    <cellStyle name="Calculation 2 12" xfId="2189" xr:uid="{00000000-0005-0000-0000-000097080000}"/>
    <cellStyle name="Calculation 2 13" xfId="2190" xr:uid="{00000000-0005-0000-0000-000098080000}"/>
    <cellStyle name="Calculation 2 14" xfId="2191" xr:uid="{00000000-0005-0000-0000-000099080000}"/>
    <cellStyle name="Calculation 2 15" xfId="2192" xr:uid="{00000000-0005-0000-0000-00009A080000}"/>
    <cellStyle name="Calculation 2 2" xfId="2193" xr:uid="{00000000-0005-0000-0000-00009B080000}"/>
    <cellStyle name="Calculation 2 3" xfId="2194" xr:uid="{00000000-0005-0000-0000-00009C080000}"/>
    <cellStyle name="Calculation 2 4" xfId="2195" xr:uid="{00000000-0005-0000-0000-00009D080000}"/>
    <cellStyle name="Calculation 2 5" xfId="2196" xr:uid="{00000000-0005-0000-0000-00009E080000}"/>
    <cellStyle name="Calculation 2 6" xfId="2197" xr:uid="{00000000-0005-0000-0000-00009F080000}"/>
    <cellStyle name="Calculation 2 7" xfId="2198" xr:uid="{00000000-0005-0000-0000-0000A0080000}"/>
    <cellStyle name="Calculation 2 8" xfId="2199" xr:uid="{00000000-0005-0000-0000-0000A1080000}"/>
    <cellStyle name="Calculation 2 9" xfId="2200" xr:uid="{00000000-0005-0000-0000-0000A2080000}"/>
    <cellStyle name="Calculation 20" xfId="4342" xr:uid="{00000000-0005-0000-0000-0000A3080000}"/>
    <cellStyle name="Calculation 3" xfId="2201" xr:uid="{00000000-0005-0000-0000-0000A4080000}"/>
    <cellStyle name="Calculation 3 2" xfId="2202" xr:uid="{00000000-0005-0000-0000-0000A5080000}"/>
    <cellStyle name="Calculation 3 3" xfId="2203" xr:uid="{00000000-0005-0000-0000-0000A6080000}"/>
    <cellStyle name="Calculation 3 4" xfId="2204" xr:uid="{00000000-0005-0000-0000-0000A7080000}"/>
    <cellStyle name="Calculation 3 5" xfId="2205" xr:uid="{00000000-0005-0000-0000-0000A8080000}"/>
    <cellStyle name="Calculation 3 5 2" xfId="2206" xr:uid="{00000000-0005-0000-0000-0000A9080000}"/>
    <cellStyle name="Calculation 3 6" xfId="2207" xr:uid="{00000000-0005-0000-0000-0000AA080000}"/>
    <cellStyle name="Calculation 3 7" xfId="2208" xr:uid="{00000000-0005-0000-0000-0000AB080000}"/>
    <cellStyle name="Calculation 3 8" xfId="2209" xr:uid="{00000000-0005-0000-0000-0000AC080000}"/>
    <cellStyle name="Calculation 3 9" xfId="2210" xr:uid="{00000000-0005-0000-0000-0000AD080000}"/>
    <cellStyle name="Calculation 4" xfId="2211" xr:uid="{00000000-0005-0000-0000-0000AE080000}"/>
    <cellStyle name="Calculation 4 2" xfId="2212" xr:uid="{00000000-0005-0000-0000-0000AF080000}"/>
    <cellStyle name="Calculation 5" xfId="2213" xr:uid="{00000000-0005-0000-0000-0000B0080000}"/>
    <cellStyle name="Calculation 5 2" xfId="2214" xr:uid="{00000000-0005-0000-0000-0000B1080000}"/>
    <cellStyle name="Calculation 6" xfId="2215" xr:uid="{00000000-0005-0000-0000-0000B2080000}"/>
    <cellStyle name="Calculation 6 2" xfId="2216" xr:uid="{00000000-0005-0000-0000-0000B3080000}"/>
    <cellStyle name="Calculation 7" xfId="2217" xr:uid="{00000000-0005-0000-0000-0000B4080000}"/>
    <cellStyle name="Calculation 8" xfId="2218" xr:uid="{00000000-0005-0000-0000-0000B5080000}"/>
    <cellStyle name="Calculation 9" xfId="2219" xr:uid="{00000000-0005-0000-0000-0000B6080000}"/>
    <cellStyle name="Calculation 9 2" xfId="2220" xr:uid="{00000000-0005-0000-0000-0000B7080000}"/>
    <cellStyle name="Calculation 9 2 2" xfId="2221" xr:uid="{00000000-0005-0000-0000-0000B8080000}"/>
    <cellStyle name="Calculation 9 3" xfId="2222" xr:uid="{00000000-0005-0000-0000-0000B9080000}"/>
    <cellStyle name="Calculation 9 4" xfId="2223" xr:uid="{00000000-0005-0000-0000-0000BA080000}"/>
    <cellStyle name="Calculation 9 5" xfId="2224" xr:uid="{00000000-0005-0000-0000-0000BB080000}"/>
    <cellStyle name="can" xfId="2225" xr:uid="{00000000-0005-0000-0000-0000BC080000}"/>
    <cellStyle name="Case" xfId="2226" xr:uid="{00000000-0005-0000-0000-0000BD080000}"/>
    <cellStyle name="category" xfId="2227" xr:uid="{00000000-0005-0000-0000-0000BE080000}"/>
    <cellStyle name="Centered Heading" xfId="2228" xr:uid="{00000000-0005-0000-0000-0000BF080000}"/>
    <cellStyle name="Centered Heading Notes" xfId="2229" xr:uid="{00000000-0005-0000-0000-0000C0080000}"/>
    <cellStyle name="Centré" xfId="2230" xr:uid="{00000000-0005-0000-0000-0000C1080000}"/>
    <cellStyle name="Change" xfId="2231" xr:uid="{00000000-0005-0000-0000-0000C2080000}"/>
    <cellStyle name="ChartingText" xfId="2232" xr:uid="{00000000-0005-0000-0000-0000C3080000}"/>
    <cellStyle name="Check Cell 10" xfId="2233" xr:uid="{00000000-0005-0000-0000-0000C4080000}"/>
    <cellStyle name="Check Cell 10 2" xfId="2234" xr:uid="{00000000-0005-0000-0000-0000C5080000}"/>
    <cellStyle name="Check Cell 10 3" xfId="2235" xr:uid="{00000000-0005-0000-0000-0000C6080000}"/>
    <cellStyle name="Check Cell 11" xfId="2236" xr:uid="{00000000-0005-0000-0000-0000C7080000}"/>
    <cellStyle name="Check Cell 11 2" xfId="2237" xr:uid="{00000000-0005-0000-0000-0000C8080000}"/>
    <cellStyle name="Check Cell 11 3" xfId="2238" xr:uid="{00000000-0005-0000-0000-0000C9080000}"/>
    <cellStyle name="Check Cell 12" xfId="2239" xr:uid="{00000000-0005-0000-0000-0000CA080000}"/>
    <cellStyle name="Check Cell 12 2" xfId="2240" xr:uid="{00000000-0005-0000-0000-0000CB080000}"/>
    <cellStyle name="Check Cell 12 3" xfId="2241" xr:uid="{00000000-0005-0000-0000-0000CC080000}"/>
    <cellStyle name="Check Cell 13" xfId="2242" xr:uid="{00000000-0005-0000-0000-0000CD080000}"/>
    <cellStyle name="Check Cell 13 2" xfId="2243" xr:uid="{00000000-0005-0000-0000-0000CE080000}"/>
    <cellStyle name="Check Cell 13 3" xfId="2244" xr:uid="{00000000-0005-0000-0000-0000CF080000}"/>
    <cellStyle name="Check Cell 14" xfId="2245" xr:uid="{00000000-0005-0000-0000-0000D0080000}"/>
    <cellStyle name="Check Cell 14 2" xfId="2246" xr:uid="{00000000-0005-0000-0000-0000D1080000}"/>
    <cellStyle name="Check Cell 14 3" xfId="2247" xr:uid="{00000000-0005-0000-0000-0000D2080000}"/>
    <cellStyle name="Check Cell 15" xfId="2248" xr:uid="{00000000-0005-0000-0000-0000D3080000}"/>
    <cellStyle name="Check Cell 15 2" xfId="2249" xr:uid="{00000000-0005-0000-0000-0000D4080000}"/>
    <cellStyle name="Check Cell 15 3" xfId="2250" xr:uid="{00000000-0005-0000-0000-0000D5080000}"/>
    <cellStyle name="Check Cell 16" xfId="2251" xr:uid="{00000000-0005-0000-0000-0000D6080000}"/>
    <cellStyle name="Check Cell 17" xfId="2252" xr:uid="{00000000-0005-0000-0000-0000D7080000}"/>
    <cellStyle name="Check Cell 18" xfId="2253" xr:uid="{00000000-0005-0000-0000-0000D8080000}"/>
    <cellStyle name="Check Cell 19" xfId="2254" xr:uid="{00000000-0005-0000-0000-0000D9080000}"/>
    <cellStyle name="Check Cell 2" xfId="2255" xr:uid="{00000000-0005-0000-0000-0000DA080000}"/>
    <cellStyle name="Check Cell 2 10" xfId="2256" xr:uid="{00000000-0005-0000-0000-0000DB080000}"/>
    <cellStyle name="Check Cell 2 11" xfId="2257" xr:uid="{00000000-0005-0000-0000-0000DC080000}"/>
    <cellStyle name="Check Cell 2 12" xfId="2258" xr:uid="{00000000-0005-0000-0000-0000DD080000}"/>
    <cellStyle name="Check Cell 2 13" xfId="2259" xr:uid="{00000000-0005-0000-0000-0000DE080000}"/>
    <cellStyle name="Check Cell 2 14" xfId="2260" xr:uid="{00000000-0005-0000-0000-0000DF080000}"/>
    <cellStyle name="Check Cell 2 15" xfId="2261" xr:uid="{00000000-0005-0000-0000-0000E0080000}"/>
    <cellStyle name="Check Cell 2 2" xfId="2262" xr:uid="{00000000-0005-0000-0000-0000E1080000}"/>
    <cellStyle name="Check Cell 2 3" xfId="2263" xr:uid="{00000000-0005-0000-0000-0000E2080000}"/>
    <cellStyle name="Check Cell 2 4" xfId="2264" xr:uid="{00000000-0005-0000-0000-0000E3080000}"/>
    <cellStyle name="Check Cell 2 5" xfId="2265" xr:uid="{00000000-0005-0000-0000-0000E4080000}"/>
    <cellStyle name="Check Cell 2 6" xfId="2266" xr:uid="{00000000-0005-0000-0000-0000E5080000}"/>
    <cellStyle name="Check Cell 2 7" xfId="2267" xr:uid="{00000000-0005-0000-0000-0000E6080000}"/>
    <cellStyle name="Check Cell 2 8" xfId="2268" xr:uid="{00000000-0005-0000-0000-0000E7080000}"/>
    <cellStyle name="Check Cell 2 9" xfId="2269" xr:uid="{00000000-0005-0000-0000-0000E8080000}"/>
    <cellStyle name="Check Cell 20" xfId="4343" xr:uid="{00000000-0005-0000-0000-0000E9080000}"/>
    <cellStyle name="Check Cell 3" xfId="2270" xr:uid="{00000000-0005-0000-0000-0000EA080000}"/>
    <cellStyle name="Check Cell 3 2" xfId="2271" xr:uid="{00000000-0005-0000-0000-0000EB080000}"/>
    <cellStyle name="Check Cell 3 3" xfId="2272" xr:uid="{00000000-0005-0000-0000-0000EC080000}"/>
    <cellStyle name="Check Cell 3 4" xfId="2273" xr:uid="{00000000-0005-0000-0000-0000ED080000}"/>
    <cellStyle name="Check Cell 3 5" xfId="2274" xr:uid="{00000000-0005-0000-0000-0000EE080000}"/>
    <cellStyle name="Check Cell 3 6" xfId="2275" xr:uid="{00000000-0005-0000-0000-0000EF080000}"/>
    <cellStyle name="Check Cell 3 7" xfId="2276" xr:uid="{00000000-0005-0000-0000-0000F0080000}"/>
    <cellStyle name="Check Cell 3 8" xfId="2277" xr:uid="{00000000-0005-0000-0000-0000F1080000}"/>
    <cellStyle name="Check Cell 4" xfId="2278" xr:uid="{00000000-0005-0000-0000-0000F2080000}"/>
    <cellStyle name="Check Cell 4 2" xfId="2279" xr:uid="{00000000-0005-0000-0000-0000F3080000}"/>
    <cellStyle name="Check Cell 5" xfId="2280" xr:uid="{00000000-0005-0000-0000-0000F4080000}"/>
    <cellStyle name="Check Cell 5 2" xfId="2281" xr:uid="{00000000-0005-0000-0000-0000F5080000}"/>
    <cellStyle name="Check Cell 6" xfId="2282" xr:uid="{00000000-0005-0000-0000-0000F6080000}"/>
    <cellStyle name="Check Cell 6 2" xfId="2283" xr:uid="{00000000-0005-0000-0000-0000F7080000}"/>
    <cellStyle name="Check Cell 7" xfId="2284" xr:uid="{00000000-0005-0000-0000-0000F8080000}"/>
    <cellStyle name="Check Cell 8" xfId="2285" xr:uid="{00000000-0005-0000-0000-0000F9080000}"/>
    <cellStyle name="Check Cell 9" xfId="2286" xr:uid="{00000000-0005-0000-0000-0000FA080000}"/>
    <cellStyle name="Check Cell 9 2" xfId="2287" xr:uid="{00000000-0005-0000-0000-0000FB080000}"/>
    <cellStyle name="Check Cell 9 3" xfId="2288" xr:uid="{00000000-0005-0000-0000-0000FC080000}"/>
    <cellStyle name="Check Cell 9 4" xfId="2289" xr:uid="{00000000-0005-0000-0000-0000FD080000}"/>
    <cellStyle name="ColLevel_0" xfId="2290" xr:uid="{00000000-0005-0000-0000-0000FE080000}"/>
    <cellStyle name="ColumnAttributeAbovePrompt" xfId="2291" xr:uid="{00000000-0005-0000-0000-0000FF080000}"/>
    <cellStyle name="ColumnAttributePrompt" xfId="2292" xr:uid="{00000000-0005-0000-0000-000000090000}"/>
    <cellStyle name="ColumnAttributeValue" xfId="2293" xr:uid="{00000000-0005-0000-0000-000001090000}"/>
    <cellStyle name="ColumnHeaderNormal" xfId="2294" xr:uid="{00000000-0005-0000-0000-000002090000}"/>
    <cellStyle name="ColumnHeadingPrompt" xfId="2295" xr:uid="{00000000-0005-0000-0000-000003090000}"/>
    <cellStyle name="ColumnHeadingValue" xfId="2296" xr:uid="{00000000-0005-0000-0000-000004090000}"/>
    <cellStyle name="Comma  - Style1" xfId="2297" xr:uid="{00000000-0005-0000-0000-000006090000}"/>
    <cellStyle name="Comma  - Style2" xfId="2298" xr:uid="{00000000-0005-0000-0000-000007090000}"/>
    <cellStyle name="Comma  - Style3" xfId="2299" xr:uid="{00000000-0005-0000-0000-000008090000}"/>
    <cellStyle name="Comma  - Style4" xfId="2300" xr:uid="{00000000-0005-0000-0000-000009090000}"/>
    <cellStyle name="Comma  - Style5" xfId="2301" xr:uid="{00000000-0005-0000-0000-00000A090000}"/>
    <cellStyle name="Comma  - Style6" xfId="2302" xr:uid="{00000000-0005-0000-0000-00000B090000}"/>
    <cellStyle name="Comma  - Style7" xfId="2303" xr:uid="{00000000-0005-0000-0000-00000C090000}"/>
    <cellStyle name="Comma  - Style8" xfId="2304" xr:uid="{00000000-0005-0000-0000-00000D090000}"/>
    <cellStyle name="Comma [00]" xfId="2305" xr:uid="{00000000-0005-0000-0000-00000E090000}"/>
    <cellStyle name="Comma [00] 2" xfId="2306" xr:uid="{00000000-0005-0000-0000-00000F090000}"/>
    <cellStyle name="Comma [1]" xfId="2307" xr:uid="{00000000-0005-0000-0000-000010090000}"/>
    <cellStyle name="Comma 0" xfId="2308" xr:uid="{00000000-0005-0000-0000-000011090000}"/>
    <cellStyle name="Comma 0*" xfId="2309" xr:uid="{00000000-0005-0000-0000-000012090000}"/>
    <cellStyle name="Comma 0_- BP CONSO 2002-2012" xfId="2310" xr:uid="{00000000-0005-0000-0000-000013090000}"/>
    <cellStyle name="Comma 10" xfId="2311" xr:uid="{00000000-0005-0000-0000-000014090000}"/>
    <cellStyle name="Comma 11" xfId="2312" xr:uid="{00000000-0005-0000-0000-000015090000}"/>
    <cellStyle name="Comma 12" xfId="2313" xr:uid="{00000000-0005-0000-0000-000016090000}"/>
    <cellStyle name="Comma 13" xfId="2314" xr:uid="{00000000-0005-0000-0000-000017090000}"/>
    <cellStyle name="Comma 14" xfId="2315" xr:uid="{00000000-0005-0000-0000-000018090000}"/>
    <cellStyle name="Comma 15" xfId="2316" xr:uid="{00000000-0005-0000-0000-000019090000}"/>
    <cellStyle name="Comma 16" xfId="2317" xr:uid="{00000000-0005-0000-0000-00001A090000}"/>
    <cellStyle name="Comma 17" xfId="2318" xr:uid="{00000000-0005-0000-0000-00001B090000}"/>
    <cellStyle name="Comma 18" xfId="2319" xr:uid="{00000000-0005-0000-0000-00001C090000}"/>
    <cellStyle name="Comma 19" xfId="2320" xr:uid="{00000000-0005-0000-0000-00001D090000}"/>
    <cellStyle name="Comma 2" xfId="2" xr:uid="{00000000-0005-0000-0000-000001000000}"/>
    <cellStyle name="Comma 2 10" xfId="2321" xr:uid="{00000000-0005-0000-0000-00001F090000}"/>
    <cellStyle name="Comma 2 10 2" xfId="2322" xr:uid="{00000000-0005-0000-0000-000020090000}"/>
    <cellStyle name="Comma 2 11" xfId="2323" xr:uid="{00000000-0005-0000-0000-000021090000}"/>
    <cellStyle name="Comma 2 11 2" xfId="2324" xr:uid="{00000000-0005-0000-0000-000022090000}"/>
    <cellStyle name="Comma 2 12" xfId="2325" xr:uid="{00000000-0005-0000-0000-000023090000}"/>
    <cellStyle name="Comma 2 12 2" xfId="2326" xr:uid="{00000000-0005-0000-0000-000024090000}"/>
    <cellStyle name="Comma 2 13" xfId="2327" xr:uid="{00000000-0005-0000-0000-000025090000}"/>
    <cellStyle name="Comma 2 13 2" xfId="2328" xr:uid="{00000000-0005-0000-0000-000026090000}"/>
    <cellStyle name="Comma 2 14" xfId="2329" xr:uid="{00000000-0005-0000-0000-000027090000}"/>
    <cellStyle name="Comma 2 14 2" xfId="2330" xr:uid="{00000000-0005-0000-0000-000028090000}"/>
    <cellStyle name="Comma 2 15" xfId="2331" xr:uid="{00000000-0005-0000-0000-000029090000}"/>
    <cellStyle name="Comma 2 16" xfId="2332" xr:uid="{00000000-0005-0000-0000-00002A090000}"/>
    <cellStyle name="Comma 2 17" xfId="10" xr:uid="{00000000-0005-0000-0000-00001E090000}"/>
    <cellStyle name="Comma 2 2" xfId="2333" xr:uid="{00000000-0005-0000-0000-00002B090000}"/>
    <cellStyle name="Comma 2 2 2" xfId="2334" xr:uid="{00000000-0005-0000-0000-00002C090000}"/>
    <cellStyle name="Comma 2 2 2 2" xfId="2335" xr:uid="{00000000-0005-0000-0000-00002D090000}"/>
    <cellStyle name="Comma 2 2 2 2 2" xfId="2336" xr:uid="{00000000-0005-0000-0000-00002E090000}"/>
    <cellStyle name="Comma 2 2 2 3" xfId="2337" xr:uid="{00000000-0005-0000-0000-00002F090000}"/>
    <cellStyle name="Comma 2 2 3" xfId="2338" xr:uid="{00000000-0005-0000-0000-000030090000}"/>
    <cellStyle name="Comma 2 2 4" xfId="2339" xr:uid="{00000000-0005-0000-0000-000031090000}"/>
    <cellStyle name="Comma 2 3" xfId="2340" xr:uid="{00000000-0005-0000-0000-000032090000}"/>
    <cellStyle name="Comma 2 3 2" xfId="2341" xr:uid="{00000000-0005-0000-0000-000033090000}"/>
    <cellStyle name="Comma 2 3 2 2" xfId="2342" xr:uid="{00000000-0005-0000-0000-000034090000}"/>
    <cellStyle name="Comma 2 3 3" xfId="2343" xr:uid="{00000000-0005-0000-0000-000035090000}"/>
    <cellStyle name="Comma 2 3 4" xfId="2344" xr:uid="{00000000-0005-0000-0000-000036090000}"/>
    <cellStyle name="Comma 2 3 5" xfId="2345" xr:uid="{00000000-0005-0000-0000-000037090000}"/>
    <cellStyle name="Comma 2 3 6" xfId="2346" xr:uid="{00000000-0005-0000-0000-000038090000}"/>
    <cellStyle name="Comma 2 3 7" xfId="2347" xr:uid="{00000000-0005-0000-0000-000039090000}"/>
    <cellStyle name="Comma 2 4" xfId="2348" xr:uid="{00000000-0005-0000-0000-00003A090000}"/>
    <cellStyle name="Comma 2 4 2" xfId="2349" xr:uid="{00000000-0005-0000-0000-00003B090000}"/>
    <cellStyle name="Comma 2 4 3" xfId="2350" xr:uid="{00000000-0005-0000-0000-00003C090000}"/>
    <cellStyle name="Comma 2 5" xfId="2351" xr:uid="{00000000-0005-0000-0000-00003D090000}"/>
    <cellStyle name="Comma 2 5 2" xfId="2352" xr:uid="{00000000-0005-0000-0000-00003E090000}"/>
    <cellStyle name="Comma 2 5 2 2" xfId="2353" xr:uid="{00000000-0005-0000-0000-00003F090000}"/>
    <cellStyle name="Comma 2 5 3" xfId="2354" xr:uid="{00000000-0005-0000-0000-000040090000}"/>
    <cellStyle name="Comma 2 5 4" xfId="2355" xr:uid="{00000000-0005-0000-0000-000041090000}"/>
    <cellStyle name="Comma 2 5 5" xfId="2356" xr:uid="{00000000-0005-0000-0000-000042090000}"/>
    <cellStyle name="Comma 2 6" xfId="2357" xr:uid="{00000000-0005-0000-0000-000043090000}"/>
    <cellStyle name="Comma 2 6 2" xfId="2358" xr:uid="{00000000-0005-0000-0000-000044090000}"/>
    <cellStyle name="Comma 2 7" xfId="2359" xr:uid="{00000000-0005-0000-0000-000045090000}"/>
    <cellStyle name="Comma 2 7 2" xfId="2360" xr:uid="{00000000-0005-0000-0000-000046090000}"/>
    <cellStyle name="Comma 2 8" xfId="2361" xr:uid="{00000000-0005-0000-0000-000047090000}"/>
    <cellStyle name="Comma 2 8 2" xfId="2362" xr:uid="{00000000-0005-0000-0000-000048090000}"/>
    <cellStyle name="Comma 2 9" xfId="2363" xr:uid="{00000000-0005-0000-0000-000049090000}"/>
    <cellStyle name="Comma 2 9 2" xfId="2364" xr:uid="{00000000-0005-0000-0000-00004A090000}"/>
    <cellStyle name="Comma 2_Cashflow Q1 CY09" xfId="2365" xr:uid="{00000000-0005-0000-0000-00004B090000}"/>
    <cellStyle name="Comma 20" xfId="2366" xr:uid="{00000000-0005-0000-0000-00004C090000}"/>
    <cellStyle name="Comma 21" xfId="2367" xr:uid="{00000000-0005-0000-0000-00004D090000}"/>
    <cellStyle name="Comma 22" xfId="2368" xr:uid="{00000000-0005-0000-0000-00004E090000}"/>
    <cellStyle name="Comma 23" xfId="2369" xr:uid="{00000000-0005-0000-0000-00004F090000}"/>
    <cellStyle name="Comma 24" xfId="2370" xr:uid="{00000000-0005-0000-0000-000050090000}"/>
    <cellStyle name="Comma 25" xfId="2371" xr:uid="{00000000-0005-0000-0000-000051090000}"/>
    <cellStyle name="Comma 26" xfId="2372" xr:uid="{00000000-0005-0000-0000-000052090000}"/>
    <cellStyle name="Comma 27" xfId="2373" xr:uid="{00000000-0005-0000-0000-000053090000}"/>
    <cellStyle name="Comma 28" xfId="2374" xr:uid="{00000000-0005-0000-0000-000054090000}"/>
    <cellStyle name="Comma 29" xfId="2375" xr:uid="{00000000-0005-0000-0000-000055090000}"/>
    <cellStyle name="Comma 3" xfId="2376" xr:uid="{00000000-0005-0000-0000-000056090000}"/>
    <cellStyle name="Comma 3 2" xfId="2377" xr:uid="{00000000-0005-0000-0000-000057090000}"/>
    <cellStyle name="Comma 3 2 2" xfId="2378" xr:uid="{00000000-0005-0000-0000-000058090000}"/>
    <cellStyle name="Comma 3 2 2 2" xfId="2379" xr:uid="{00000000-0005-0000-0000-000059090000}"/>
    <cellStyle name="Comma 3 2 2 3" xfId="2380" xr:uid="{00000000-0005-0000-0000-00005A090000}"/>
    <cellStyle name="Comma 3 2 3" xfId="2381" xr:uid="{00000000-0005-0000-0000-00005B090000}"/>
    <cellStyle name="Comma 3 2 4" xfId="2382" xr:uid="{00000000-0005-0000-0000-00005C090000}"/>
    <cellStyle name="Comma 3 3" xfId="2383" xr:uid="{00000000-0005-0000-0000-00005D090000}"/>
    <cellStyle name="Comma 3 4" xfId="2384" xr:uid="{00000000-0005-0000-0000-00005E090000}"/>
    <cellStyle name="Comma 3 4 2" xfId="2385" xr:uid="{00000000-0005-0000-0000-00005F090000}"/>
    <cellStyle name="Comma 3 4 3" xfId="2386" xr:uid="{00000000-0005-0000-0000-000060090000}"/>
    <cellStyle name="Comma 3 5" xfId="2387" xr:uid="{00000000-0005-0000-0000-000061090000}"/>
    <cellStyle name="Comma 30" xfId="2388" xr:uid="{00000000-0005-0000-0000-000062090000}"/>
    <cellStyle name="Comma 31" xfId="2389" xr:uid="{00000000-0005-0000-0000-000063090000}"/>
    <cellStyle name="Comma 32" xfId="2390" xr:uid="{00000000-0005-0000-0000-000064090000}"/>
    <cellStyle name="Comma 33" xfId="2391" xr:uid="{00000000-0005-0000-0000-000065090000}"/>
    <cellStyle name="Comma 34" xfId="2392" xr:uid="{00000000-0005-0000-0000-000066090000}"/>
    <cellStyle name="Comma 35" xfId="2393" xr:uid="{00000000-0005-0000-0000-000067090000}"/>
    <cellStyle name="Comma 36" xfId="2394" xr:uid="{00000000-0005-0000-0000-000068090000}"/>
    <cellStyle name="Comma 37" xfId="2395" xr:uid="{00000000-0005-0000-0000-000069090000}"/>
    <cellStyle name="Comma 38" xfId="2396" xr:uid="{00000000-0005-0000-0000-00006A090000}"/>
    <cellStyle name="Comma 39" xfId="2397" xr:uid="{00000000-0005-0000-0000-00006B090000}"/>
    <cellStyle name="Comma 4" xfId="2398" xr:uid="{00000000-0005-0000-0000-00006C090000}"/>
    <cellStyle name="Comma 4 2" xfId="2399" xr:uid="{00000000-0005-0000-0000-00006D090000}"/>
    <cellStyle name="Comma 4 2 2" xfId="2400" xr:uid="{00000000-0005-0000-0000-00006E090000}"/>
    <cellStyle name="Comma 4 3" xfId="2401" xr:uid="{00000000-0005-0000-0000-00006F090000}"/>
    <cellStyle name="Comma 40" xfId="2402" xr:uid="{00000000-0005-0000-0000-000070090000}"/>
    <cellStyle name="Comma 41" xfId="2403" xr:uid="{00000000-0005-0000-0000-000071090000}"/>
    <cellStyle name="Comma 42" xfId="2404" xr:uid="{00000000-0005-0000-0000-000072090000}"/>
    <cellStyle name="Comma 43" xfId="2405" xr:uid="{00000000-0005-0000-0000-000073090000}"/>
    <cellStyle name="Comma 44" xfId="4315" xr:uid="{00000000-0005-0000-0000-000074090000}"/>
    <cellStyle name="Comma 44 2" xfId="4360" xr:uid="{00000000-0005-0000-0000-000075090000}"/>
    <cellStyle name="Comma 45" xfId="6" xr:uid="{00000000-0005-0000-0000-000039090000}"/>
    <cellStyle name="Comma 5" xfId="2406" xr:uid="{00000000-0005-0000-0000-000076090000}"/>
    <cellStyle name="Comma 5 2" xfId="2407" xr:uid="{00000000-0005-0000-0000-000077090000}"/>
    <cellStyle name="Comma 5 2 2" xfId="2408" xr:uid="{00000000-0005-0000-0000-000078090000}"/>
    <cellStyle name="Comma 5 2 2 2" xfId="2409" xr:uid="{00000000-0005-0000-0000-000079090000}"/>
    <cellStyle name="Comma 5 2 2 3" xfId="2410" xr:uid="{00000000-0005-0000-0000-00007A090000}"/>
    <cellStyle name="Comma 5 2 3" xfId="2411" xr:uid="{00000000-0005-0000-0000-00007B090000}"/>
    <cellStyle name="Comma 5 2 4" xfId="2412" xr:uid="{00000000-0005-0000-0000-00007C090000}"/>
    <cellStyle name="Comma 5 3" xfId="2413" xr:uid="{00000000-0005-0000-0000-00007D090000}"/>
    <cellStyle name="Comma 6" xfId="2414" xr:uid="{00000000-0005-0000-0000-00007E090000}"/>
    <cellStyle name="Comma 6 2" xfId="2415" xr:uid="{00000000-0005-0000-0000-00007F090000}"/>
    <cellStyle name="Comma 6 3" xfId="2416" xr:uid="{00000000-0005-0000-0000-000080090000}"/>
    <cellStyle name="Comma 7" xfId="2417" xr:uid="{00000000-0005-0000-0000-000081090000}"/>
    <cellStyle name="Comma 8" xfId="2418" xr:uid="{00000000-0005-0000-0000-000082090000}"/>
    <cellStyle name="Comma 9" xfId="2419" xr:uid="{00000000-0005-0000-0000-000083090000}"/>
    <cellStyle name="comma zerodec" xfId="2420" xr:uid="{00000000-0005-0000-0000-000084090000}"/>
    <cellStyle name="Comma0" xfId="2421" xr:uid="{00000000-0005-0000-0000-000085090000}"/>
    <cellStyle name="Comma0 2" xfId="2422" xr:uid="{00000000-0005-0000-0000-000086090000}"/>
    <cellStyle name="Copied" xfId="2423" xr:uid="{00000000-0005-0000-0000-000087090000}"/>
    <cellStyle name="Copied 2" xfId="2424" xr:uid="{00000000-0005-0000-0000-000088090000}"/>
    <cellStyle name="Copy Decimal 0" xfId="2425" xr:uid="{00000000-0005-0000-0000-000089090000}"/>
    <cellStyle name="Copy Decimal 0 10" xfId="2426" xr:uid="{00000000-0005-0000-0000-00008A090000}"/>
    <cellStyle name="Copy Decimal 0 11" xfId="2427" xr:uid="{00000000-0005-0000-0000-00008B090000}"/>
    <cellStyle name="Copy Decimal 0 12" xfId="2428" xr:uid="{00000000-0005-0000-0000-00008C090000}"/>
    <cellStyle name="Copy Decimal 0 2" xfId="2429" xr:uid="{00000000-0005-0000-0000-00008D090000}"/>
    <cellStyle name="Copy Decimal 0 3" xfId="2430" xr:uid="{00000000-0005-0000-0000-00008E090000}"/>
    <cellStyle name="Copy Decimal 0 4" xfId="2431" xr:uid="{00000000-0005-0000-0000-00008F090000}"/>
    <cellStyle name="Copy Decimal 0 5" xfId="2432" xr:uid="{00000000-0005-0000-0000-000090090000}"/>
    <cellStyle name="Copy Decimal 0 6" xfId="2433" xr:uid="{00000000-0005-0000-0000-000091090000}"/>
    <cellStyle name="Copy Decimal 0 7" xfId="2434" xr:uid="{00000000-0005-0000-0000-000092090000}"/>
    <cellStyle name="Copy Decimal 0 8" xfId="2435" xr:uid="{00000000-0005-0000-0000-000093090000}"/>
    <cellStyle name="Copy Decimal 0 9" xfId="2436" xr:uid="{00000000-0005-0000-0000-000094090000}"/>
    <cellStyle name="Copy Decimal 0,00" xfId="2437" xr:uid="{00000000-0005-0000-0000-000095090000}"/>
    <cellStyle name="Copy Decimal 0,00 10" xfId="2438" xr:uid="{00000000-0005-0000-0000-000096090000}"/>
    <cellStyle name="Copy Decimal 0,00 11" xfId="2439" xr:uid="{00000000-0005-0000-0000-000097090000}"/>
    <cellStyle name="Copy Decimal 0,00 12" xfId="2440" xr:uid="{00000000-0005-0000-0000-000098090000}"/>
    <cellStyle name="Copy Decimal 0,00 2" xfId="2441" xr:uid="{00000000-0005-0000-0000-000099090000}"/>
    <cellStyle name="Copy Decimal 0,00 3" xfId="2442" xr:uid="{00000000-0005-0000-0000-00009A090000}"/>
    <cellStyle name="Copy Decimal 0,00 4" xfId="2443" xr:uid="{00000000-0005-0000-0000-00009B090000}"/>
    <cellStyle name="Copy Decimal 0,00 5" xfId="2444" xr:uid="{00000000-0005-0000-0000-00009C090000}"/>
    <cellStyle name="Copy Decimal 0,00 6" xfId="2445" xr:uid="{00000000-0005-0000-0000-00009D090000}"/>
    <cellStyle name="Copy Decimal 0,00 7" xfId="2446" xr:uid="{00000000-0005-0000-0000-00009E090000}"/>
    <cellStyle name="Copy Decimal 0,00 8" xfId="2447" xr:uid="{00000000-0005-0000-0000-00009F090000}"/>
    <cellStyle name="Copy Decimal 0,00 9" xfId="2448" xr:uid="{00000000-0005-0000-0000-0000A0090000}"/>
    <cellStyle name="Copy Decimal 0_Durchrechnung MEU" xfId="2449" xr:uid="{00000000-0005-0000-0000-0000A1090000}"/>
    <cellStyle name="Copy Percent 0" xfId="2450" xr:uid="{00000000-0005-0000-0000-0000A2090000}"/>
    <cellStyle name="Copy Percent 0 10" xfId="2451" xr:uid="{00000000-0005-0000-0000-0000A3090000}"/>
    <cellStyle name="Copy Percent 0 11" xfId="2452" xr:uid="{00000000-0005-0000-0000-0000A4090000}"/>
    <cellStyle name="Copy Percent 0 12" xfId="2453" xr:uid="{00000000-0005-0000-0000-0000A5090000}"/>
    <cellStyle name="Copy Percent 0 2" xfId="2454" xr:uid="{00000000-0005-0000-0000-0000A6090000}"/>
    <cellStyle name="Copy Percent 0 3" xfId="2455" xr:uid="{00000000-0005-0000-0000-0000A7090000}"/>
    <cellStyle name="Copy Percent 0 4" xfId="2456" xr:uid="{00000000-0005-0000-0000-0000A8090000}"/>
    <cellStyle name="Copy Percent 0 5" xfId="2457" xr:uid="{00000000-0005-0000-0000-0000A9090000}"/>
    <cellStyle name="Copy Percent 0 6" xfId="2458" xr:uid="{00000000-0005-0000-0000-0000AA090000}"/>
    <cellStyle name="Copy Percent 0 7" xfId="2459" xr:uid="{00000000-0005-0000-0000-0000AB090000}"/>
    <cellStyle name="Copy Percent 0 8" xfId="2460" xr:uid="{00000000-0005-0000-0000-0000AC090000}"/>
    <cellStyle name="Copy Percent 0 9" xfId="2461" xr:uid="{00000000-0005-0000-0000-0000AD090000}"/>
    <cellStyle name="Copy Percent 0,00" xfId="2462" xr:uid="{00000000-0005-0000-0000-0000AE090000}"/>
    <cellStyle name="Copy Percent 0,00 10" xfId="2463" xr:uid="{00000000-0005-0000-0000-0000AF090000}"/>
    <cellStyle name="Copy Percent 0,00 11" xfId="2464" xr:uid="{00000000-0005-0000-0000-0000B0090000}"/>
    <cellStyle name="Copy Percent 0,00 12" xfId="2465" xr:uid="{00000000-0005-0000-0000-0000B1090000}"/>
    <cellStyle name="Copy Percent 0,00 2" xfId="2466" xr:uid="{00000000-0005-0000-0000-0000B2090000}"/>
    <cellStyle name="Copy Percent 0,00 3" xfId="2467" xr:uid="{00000000-0005-0000-0000-0000B3090000}"/>
    <cellStyle name="Copy Percent 0,00 4" xfId="2468" xr:uid="{00000000-0005-0000-0000-0000B4090000}"/>
    <cellStyle name="Copy Percent 0,00 5" xfId="2469" xr:uid="{00000000-0005-0000-0000-0000B5090000}"/>
    <cellStyle name="Copy Percent 0,00 6" xfId="2470" xr:uid="{00000000-0005-0000-0000-0000B6090000}"/>
    <cellStyle name="Copy Percent 0,00 7" xfId="2471" xr:uid="{00000000-0005-0000-0000-0000B7090000}"/>
    <cellStyle name="Copy Percent 0,00 8" xfId="2472" xr:uid="{00000000-0005-0000-0000-0000B8090000}"/>
    <cellStyle name="Copy Percent 0,00 9" xfId="2473" xr:uid="{00000000-0005-0000-0000-0000B9090000}"/>
    <cellStyle name="Copy Percent 0_Form CC 1 2 4 June 05" xfId="2474" xr:uid="{00000000-0005-0000-0000-0000BA090000}"/>
    <cellStyle name="COST1" xfId="2475" xr:uid="{00000000-0005-0000-0000-0000BB090000}"/>
    <cellStyle name="Cur" xfId="2476" xr:uid="{00000000-0005-0000-0000-0000BC090000}"/>
    <cellStyle name="Currency [00]" xfId="2477" xr:uid="{00000000-0005-0000-0000-0000BE090000}"/>
    <cellStyle name="Currency [00] 2" xfId="2478" xr:uid="{00000000-0005-0000-0000-0000BF090000}"/>
    <cellStyle name="Currency [1]" xfId="2479" xr:uid="{00000000-0005-0000-0000-0000C0090000}"/>
    <cellStyle name="Currency [2]" xfId="2480" xr:uid="{00000000-0005-0000-0000-0000C1090000}"/>
    <cellStyle name="Currency 0" xfId="2481" xr:uid="{00000000-0005-0000-0000-0000C2090000}"/>
    <cellStyle name="Currency 10" xfId="2482" xr:uid="{00000000-0005-0000-0000-0000C3090000}"/>
    <cellStyle name="Currency 11" xfId="2483" xr:uid="{00000000-0005-0000-0000-0000C4090000}"/>
    <cellStyle name="Currency 12" xfId="2484" xr:uid="{00000000-0005-0000-0000-0000C5090000}"/>
    <cellStyle name="Currency 13" xfId="2485" xr:uid="{00000000-0005-0000-0000-0000C6090000}"/>
    <cellStyle name="Currency 14" xfId="2486" xr:uid="{00000000-0005-0000-0000-0000C7090000}"/>
    <cellStyle name="Currency 15" xfId="2487" xr:uid="{00000000-0005-0000-0000-0000C8090000}"/>
    <cellStyle name="Currency 16" xfId="2488" xr:uid="{00000000-0005-0000-0000-0000C9090000}"/>
    <cellStyle name="Currency 17" xfId="2489" xr:uid="{00000000-0005-0000-0000-0000CA090000}"/>
    <cellStyle name="Currency 18" xfId="2490" xr:uid="{00000000-0005-0000-0000-0000CB090000}"/>
    <cellStyle name="Currency 19" xfId="4314" xr:uid="{00000000-0005-0000-0000-0000CC090000}"/>
    <cellStyle name="Currency 19 2" xfId="4359" xr:uid="{00000000-0005-0000-0000-0000CD090000}"/>
    <cellStyle name="Currency 2" xfId="9" xr:uid="{00000000-0005-0000-0000-0000CE090000}"/>
    <cellStyle name="Currency 2 10" xfId="2491" xr:uid="{00000000-0005-0000-0000-0000CF090000}"/>
    <cellStyle name="Currency 2 11" xfId="2492" xr:uid="{00000000-0005-0000-0000-0000D0090000}"/>
    <cellStyle name="Currency 2 12" xfId="2493" xr:uid="{00000000-0005-0000-0000-0000D1090000}"/>
    <cellStyle name="Currency 2 13" xfId="2494" xr:uid="{00000000-0005-0000-0000-0000D2090000}"/>
    <cellStyle name="Currency 2 14" xfId="2495" xr:uid="{00000000-0005-0000-0000-0000D3090000}"/>
    <cellStyle name="Currency 2 15" xfId="2496" xr:uid="{00000000-0005-0000-0000-0000D4090000}"/>
    <cellStyle name="Currency 2 2" xfId="2497" xr:uid="{00000000-0005-0000-0000-0000D5090000}"/>
    <cellStyle name="Currency 2 3" xfId="2498" xr:uid="{00000000-0005-0000-0000-0000D6090000}"/>
    <cellStyle name="Currency 2 4" xfId="2499" xr:uid="{00000000-0005-0000-0000-0000D7090000}"/>
    <cellStyle name="Currency 2 5" xfId="2500" xr:uid="{00000000-0005-0000-0000-0000D8090000}"/>
    <cellStyle name="Currency 2 6" xfId="2501" xr:uid="{00000000-0005-0000-0000-0000D9090000}"/>
    <cellStyle name="Currency 2 7" xfId="2502" xr:uid="{00000000-0005-0000-0000-0000DA090000}"/>
    <cellStyle name="Currency 2 8" xfId="2503" xr:uid="{00000000-0005-0000-0000-0000DB090000}"/>
    <cellStyle name="Currency 2 9" xfId="2504" xr:uid="{00000000-0005-0000-0000-0000DC090000}"/>
    <cellStyle name="Currency 20" xfId="7" xr:uid="{00000000-0005-0000-0000-0000F1090000}"/>
    <cellStyle name="Currency 3" xfId="2505" xr:uid="{00000000-0005-0000-0000-0000DD090000}"/>
    <cellStyle name="Currency 4" xfId="2506" xr:uid="{00000000-0005-0000-0000-0000DE090000}"/>
    <cellStyle name="Currency 4 2" xfId="2507" xr:uid="{00000000-0005-0000-0000-0000DF090000}"/>
    <cellStyle name="Currency 4 3" xfId="2508" xr:uid="{00000000-0005-0000-0000-0000E0090000}"/>
    <cellStyle name="Currency 4 4" xfId="2509" xr:uid="{00000000-0005-0000-0000-0000E1090000}"/>
    <cellStyle name="Currency 5" xfId="2510" xr:uid="{00000000-0005-0000-0000-0000E2090000}"/>
    <cellStyle name="Currency 6" xfId="2511" xr:uid="{00000000-0005-0000-0000-0000E3090000}"/>
    <cellStyle name="Currency 7" xfId="2512" xr:uid="{00000000-0005-0000-0000-0000E4090000}"/>
    <cellStyle name="Currency 8" xfId="2513" xr:uid="{00000000-0005-0000-0000-0000E5090000}"/>
    <cellStyle name="Currency 9" xfId="2514" xr:uid="{00000000-0005-0000-0000-0000E6090000}"/>
    <cellStyle name="Currency0" xfId="2515" xr:uid="{00000000-0005-0000-0000-0000E7090000}"/>
    <cellStyle name="Currency0 2" xfId="2516" xr:uid="{00000000-0005-0000-0000-0000E8090000}"/>
    <cellStyle name="Currency1" xfId="2517" xr:uid="{00000000-0005-0000-0000-0000E9090000}"/>
    <cellStyle name="Currency-Denomination" xfId="2518" xr:uid="{00000000-0005-0000-0000-0000EA090000}"/>
    <cellStyle name="current day" xfId="2519" xr:uid="{00000000-0005-0000-0000-0000EB090000}"/>
    <cellStyle name="Cyndie" xfId="2520" xr:uid="{00000000-0005-0000-0000-0000EC090000}"/>
    <cellStyle name="DAILY_TITLE" xfId="2521" xr:uid="{00000000-0005-0000-0000-0000ED090000}"/>
    <cellStyle name="Data" xfId="2522" xr:uid="{00000000-0005-0000-0000-0000EE090000}"/>
    <cellStyle name="Date" xfId="2523" xr:uid="{00000000-0005-0000-0000-0000EF090000}"/>
    <cellStyle name="Date [mm-d-yyyy]" xfId="2524" xr:uid="{00000000-0005-0000-0000-0000F0090000}"/>
    <cellStyle name="Date [mmm-d-yyyy]" xfId="2525" xr:uid="{00000000-0005-0000-0000-0000F1090000}"/>
    <cellStyle name="Date [mmm-yyyy]" xfId="2526" xr:uid="{00000000-0005-0000-0000-0000F2090000}"/>
    <cellStyle name="Date 2" xfId="2527" xr:uid="{00000000-0005-0000-0000-0000F3090000}"/>
    <cellStyle name="Date Aligned" xfId="2528" xr:uid="{00000000-0005-0000-0000-0000F4090000}"/>
    <cellStyle name="Date dd-mmm" xfId="2529" xr:uid="{00000000-0005-0000-0000-0000F5090000}"/>
    <cellStyle name="Date dd-mmm-yy" xfId="2530" xr:uid="{00000000-0005-0000-0000-0000F6090000}"/>
    <cellStyle name="Date mmm-yy" xfId="2531" xr:uid="{00000000-0005-0000-0000-0000F7090000}"/>
    <cellStyle name="Date Short" xfId="2532" xr:uid="{00000000-0005-0000-0000-0000F8090000}"/>
    <cellStyle name="Date_- BP CONSO 2002-2012" xfId="2533" xr:uid="{00000000-0005-0000-0000-0000F9090000}"/>
    <cellStyle name="Date2" xfId="2534" xr:uid="{00000000-0005-0000-0000-0000FA090000}"/>
    <cellStyle name="Dati" xfId="2535" xr:uid="{00000000-0005-0000-0000-0000FB090000}"/>
    <cellStyle name="Dati Dec" xfId="2536" xr:uid="{00000000-0005-0000-0000-0000FC090000}"/>
    <cellStyle name="DAVE" xfId="2537" xr:uid="{00000000-0005-0000-0000-0000FD090000}"/>
    <cellStyle name="Décalé" xfId="2538" xr:uid="{00000000-0005-0000-0000-0000FE090000}"/>
    <cellStyle name="Decimal 0,0" xfId="2539" xr:uid="{00000000-0005-0000-0000-0000FF090000}"/>
    <cellStyle name="Decimal 0,00" xfId="2540" xr:uid="{00000000-0005-0000-0000-0000000A0000}"/>
    <cellStyle name="Decimal 0,0000" xfId="2541" xr:uid="{00000000-0005-0000-0000-0000010A0000}"/>
    <cellStyle name="Decimal_0dp" xfId="2542" xr:uid="{00000000-0005-0000-0000-0000020A0000}"/>
    <cellStyle name="default" xfId="2543" xr:uid="{00000000-0005-0000-0000-0000030A0000}"/>
    <cellStyle name="DELTA" xfId="2544" xr:uid="{00000000-0005-0000-0000-0000040A0000}"/>
    <cellStyle name="Deviant" xfId="2545" xr:uid="{00000000-0005-0000-0000-0000050A0000}"/>
    <cellStyle name="Dezimal [+line]" xfId="2546" xr:uid="{00000000-0005-0000-0000-0000060A0000}"/>
    <cellStyle name="Dezimal [0]_Acquisition stats" xfId="2547" xr:uid="{00000000-0005-0000-0000-0000070A0000}"/>
    <cellStyle name="Dezimal_Acquisition stats" xfId="2548" xr:uid="{00000000-0005-0000-0000-0000080A0000}"/>
    <cellStyle name="DimDown" xfId="2549" xr:uid="{00000000-0005-0000-0000-0000090A0000}"/>
    <cellStyle name="DimDownBold" xfId="2550" xr:uid="{00000000-0005-0000-0000-00000A0A0000}"/>
    <cellStyle name="DimDownTitle" xfId="2551" xr:uid="{00000000-0005-0000-0000-00000B0A0000}"/>
    <cellStyle name="Dollar" xfId="2552" xr:uid="{00000000-0005-0000-0000-00000C0A0000}"/>
    <cellStyle name="Dollar (zero dec)" xfId="2553" xr:uid="{00000000-0005-0000-0000-00000D0A0000}"/>
    <cellStyle name="DollarAmount" xfId="2554" xr:uid="{00000000-0005-0000-0000-00000E0A0000}"/>
    <cellStyle name="DollarAmountBorder" xfId="2555" xr:uid="{00000000-0005-0000-0000-00000F0A0000}"/>
    <cellStyle name="DollarAmountBorderMed" xfId="2556" xr:uid="{00000000-0005-0000-0000-0000100A0000}"/>
    <cellStyle name="DollarAmountBtmBorderMed" xfId="2557" xr:uid="{00000000-0005-0000-0000-0000110A0000}"/>
    <cellStyle name="DollarAmtTopBorder" xfId="2558" xr:uid="{00000000-0005-0000-0000-0000120A0000}"/>
    <cellStyle name="Dotted" xfId="2559" xr:uid="{00000000-0005-0000-0000-0000130A0000}"/>
    <cellStyle name="Dotted Line" xfId="2560" xr:uid="{00000000-0005-0000-0000-0000140A0000}"/>
    <cellStyle name="Double" xfId="2561" xr:uid="{00000000-0005-0000-0000-0000150A0000}"/>
    <cellStyle name="Double Accounting" xfId="2562" xr:uid="{00000000-0005-0000-0000-0000160A0000}"/>
    <cellStyle name="DropDown" xfId="2563" xr:uid="{00000000-0005-0000-0000-0000170A0000}"/>
    <cellStyle name="Eingabe" xfId="2564" xr:uid="{00000000-0005-0000-0000-0000180A0000}"/>
    <cellStyle name="Eingabe 10" xfId="2565" xr:uid="{00000000-0005-0000-0000-0000190A0000}"/>
    <cellStyle name="Eingabe 11" xfId="2566" xr:uid="{00000000-0005-0000-0000-00001A0A0000}"/>
    <cellStyle name="Eingabe 12" xfId="2567" xr:uid="{00000000-0005-0000-0000-00001B0A0000}"/>
    <cellStyle name="Eingabe 2" xfId="2568" xr:uid="{00000000-0005-0000-0000-00001C0A0000}"/>
    <cellStyle name="Eingabe 3" xfId="2569" xr:uid="{00000000-0005-0000-0000-00001D0A0000}"/>
    <cellStyle name="Eingabe 4" xfId="2570" xr:uid="{00000000-0005-0000-0000-00001E0A0000}"/>
    <cellStyle name="Eingabe 5" xfId="2571" xr:uid="{00000000-0005-0000-0000-00001F0A0000}"/>
    <cellStyle name="Eingabe 6" xfId="2572" xr:uid="{00000000-0005-0000-0000-0000200A0000}"/>
    <cellStyle name="Eingabe 7" xfId="2573" xr:uid="{00000000-0005-0000-0000-0000210A0000}"/>
    <cellStyle name="Eingabe 8" xfId="2574" xr:uid="{00000000-0005-0000-0000-0000220A0000}"/>
    <cellStyle name="Eingabe 9" xfId="2575" xr:uid="{00000000-0005-0000-0000-0000230A0000}"/>
    <cellStyle name="Enter Currency (0)" xfId="2576" xr:uid="{00000000-0005-0000-0000-0000240A0000}"/>
    <cellStyle name="Enter Currency (0) 2" xfId="2577" xr:uid="{00000000-0005-0000-0000-0000250A0000}"/>
    <cellStyle name="Enter Currency (2)" xfId="2578" xr:uid="{00000000-0005-0000-0000-0000260A0000}"/>
    <cellStyle name="Enter Currency (2) 2" xfId="2579" xr:uid="{00000000-0005-0000-0000-0000270A0000}"/>
    <cellStyle name="Enter Units (0)" xfId="2580" xr:uid="{00000000-0005-0000-0000-0000280A0000}"/>
    <cellStyle name="Enter Units (0) 2" xfId="2581" xr:uid="{00000000-0005-0000-0000-0000290A0000}"/>
    <cellStyle name="Enter Units (1)" xfId="2582" xr:uid="{00000000-0005-0000-0000-00002A0A0000}"/>
    <cellStyle name="Enter Units (1) 2" xfId="2583" xr:uid="{00000000-0005-0000-0000-00002B0A0000}"/>
    <cellStyle name="Enter Units (2)" xfId="2584" xr:uid="{00000000-0005-0000-0000-00002C0A0000}"/>
    <cellStyle name="Enter Units (2) 2" xfId="2585" xr:uid="{00000000-0005-0000-0000-00002D0A0000}"/>
    <cellStyle name="Entered" xfId="2586" xr:uid="{00000000-0005-0000-0000-00002E0A0000}"/>
    <cellStyle name="Entered 2" xfId="2587" xr:uid="{00000000-0005-0000-0000-00002F0A0000}"/>
    <cellStyle name="Est - $" xfId="2588" xr:uid="{00000000-0005-0000-0000-0000300A0000}"/>
    <cellStyle name="Est - %" xfId="2589" xr:uid="{00000000-0005-0000-0000-0000310A0000}"/>
    <cellStyle name="Est 0,000.0" xfId="2590" xr:uid="{00000000-0005-0000-0000-0000320A0000}"/>
    <cellStyle name="Euro" xfId="2591" xr:uid="{00000000-0005-0000-0000-0000330A0000}"/>
    <cellStyle name="Euro 2" xfId="2592" xr:uid="{00000000-0005-0000-0000-0000340A0000}"/>
    <cellStyle name="Euro 3" xfId="2593" xr:uid="{00000000-0005-0000-0000-0000350A0000}"/>
    <cellStyle name="Euro 4" xfId="2594" xr:uid="{00000000-0005-0000-0000-0000360A0000}"/>
    <cellStyle name="Euro 5" xfId="2595" xr:uid="{00000000-0005-0000-0000-0000370A0000}"/>
    <cellStyle name="Euro 6" xfId="2596" xr:uid="{00000000-0005-0000-0000-0000380A0000}"/>
    <cellStyle name="Euro_Cashflow Q1 CY09" xfId="2597" xr:uid="{00000000-0005-0000-0000-0000390A0000}"/>
    <cellStyle name="Explanatory Text 10" xfId="2598" xr:uid="{00000000-0005-0000-0000-00003A0A0000}"/>
    <cellStyle name="Explanatory Text 10 2" xfId="2599" xr:uid="{00000000-0005-0000-0000-00003B0A0000}"/>
    <cellStyle name="Explanatory Text 10 3" xfId="2600" xr:uid="{00000000-0005-0000-0000-00003C0A0000}"/>
    <cellStyle name="Explanatory Text 11" xfId="2601" xr:uid="{00000000-0005-0000-0000-00003D0A0000}"/>
    <cellStyle name="Explanatory Text 11 2" xfId="2602" xr:uid="{00000000-0005-0000-0000-00003E0A0000}"/>
    <cellStyle name="Explanatory Text 11 3" xfId="2603" xr:uid="{00000000-0005-0000-0000-00003F0A0000}"/>
    <cellStyle name="Explanatory Text 12" xfId="2604" xr:uid="{00000000-0005-0000-0000-0000400A0000}"/>
    <cellStyle name="Explanatory Text 12 2" xfId="2605" xr:uid="{00000000-0005-0000-0000-0000410A0000}"/>
    <cellStyle name="Explanatory Text 12 3" xfId="2606" xr:uid="{00000000-0005-0000-0000-0000420A0000}"/>
    <cellStyle name="Explanatory Text 13" xfId="2607" xr:uid="{00000000-0005-0000-0000-0000430A0000}"/>
    <cellStyle name="Explanatory Text 13 2" xfId="2608" xr:uid="{00000000-0005-0000-0000-0000440A0000}"/>
    <cellStyle name="Explanatory Text 13 3" xfId="2609" xr:uid="{00000000-0005-0000-0000-0000450A0000}"/>
    <cellStyle name="Explanatory Text 14" xfId="2610" xr:uid="{00000000-0005-0000-0000-0000460A0000}"/>
    <cellStyle name="Explanatory Text 14 2" xfId="2611" xr:uid="{00000000-0005-0000-0000-0000470A0000}"/>
    <cellStyle name="Explanatory Text 14 3" xfId="2612" xr:uid="{00000000-0005-0000-0000-0000480A0000}"/>
    <cellStyle name="Explanatory Text 15" xfId="2613" xr:uid="{00000000-0005-0000-0000-0000490A0000}"/>
    <cellStyle name="Explanatory Text 15 2" xfId="2614" xr:uid="{00000000-0005-0000-0000-00004A0A0000}"/>
    <cellStyle name="Explanatory Text 15 3" xfId="2615" xr:uid="{00000000-0005-0000-0000-00004B0A0000}"/>
    <cellStyle name="Explanatory Text 16" xfId="2616" xr:uid="{00000000-0005-0000-0000-00004C0A0000}"/>
    <cellStyle name="Explanatory Text 17" xfId="2617" xr:uid="{00000000-0005-0000-0000-00004D0A0000}"/>
    <cellStyle name="Explanatory Text 18" xfId="2618" xr:uid="{00000000-0005-0000-0000-00004E0A0000}"/>
    <cellStyle name="Explanatory Text 19" xfId="4344" xr:uid="{00000000-0005-0000-0000-00004F0A0000}"/>
    <cellStyle name="Explanatory Text 2" xfId="2619" xr:uid="{00000000-0005-0000-0000-0000500A0000}"/>
    <cellStyle name="Explanatory Text 2 10" xfId="2620" xr:uid="{00000000-0005-0000-0000-0000510A0000}"/>
    <cellStyle name="Explanatory Text 2 11" xfId="2621" xr:uid="{00000000-0005-0000-0000-0000520A0000}"/>
    <cellStyle name="Explanatory Text 2 12" xfId="2622" xr:uid="{00000000-0005-0000-0000-0000530A0000}"/>
    <cellStyle name="Explanatory Text 2 13" xfId="2623" xr:uid="{00000000-0005-0000-0000-0000540A0000}"/>
    <cellStyle name="Explanatory Text 2 14" xfId="2624" xr:uid="{00000000-0005-0000-0000-0000550A0000}"/>
    <cellStyle name="Explanatory Text 2 15" xfId="2625" xr:uid="{00000000-0005-0000-0000-0000560A0000}"/>
    <cellStyle name="Explanatory Text 2 2" xfId="2626" xr:uid="{00000000-0005-0000-0000-0000570A0000}"/>
    <cellStyle name="Explanatory Text 2 3" xfId="2627" xr:uid="{00000000-0005-0000-0000-0000580A0000}"/>
    <cellStyle name="Explanatory Text 2 4" xfId="2628" xr:uid="{00000000-0005-0000-0000-0000590A0000}"/>
    <cellStyle name="Explanatory Text 2 5" xfId="2629" xr:uid="{00000000-0005-0000-0000-00005A0A0000}"/>
    <cellStyle name="Explanatory Text 2 6" xfId="2630" xr:uid="{00000000-0005-0000-0000-00005B0A0000}"/>
    <cellStyle name="Explanatory Text 2 7" xfId="2631" xr:uid="{00000000-0005-0000-0000-00005C0A0000}"/>
    <cellStyle name="Explanatory Text 2 8" xfId="2632" xr:uid="{00000000-0005-0000-0000-00005D0A0000}"/>
    <cellStyle name="Explanatory Text 2 9" xfId="2633" xr:uid="{00000000-0005-0000-0000-00005E0A0000}"/>
    <cellStyle name="Explanatory Text 3" xfId="2634" xr:uid="{00000000-0005-0000-0000-00005F0A0000}"/>
    <cellStyle name="Explanatory Text 3 2" xfId="2635" xr:uid="{00000000-0005-0000-0000-0000600A0000}"/>
    <cellStyle name="Explanatory Text 3 3" xfId="2636" xr:uid="{00000000-0005-0000-0000-0000610A0000}"/>
    <cellStyle name="Explanatory Text 3 4" xfId="2637" xr:uid="{00000000-0005-0000-0000-0000620A0000}"/>
    <cellStyle name="Explanatory Text 3 5" xfId="2638" xr:uid="{00000000-0005-0000-0000-0000630A0000}"/>
    <cellStyle name="Explanatory Text 3 6" xfId="2639" xr:uid="{00000000-0005-0000-0000-0000640A0000}"/>
    <cellStyle name="Explanatory Text 3 7" xfId="2640" xr:uid="{00000000-0005-0000-0000-0000650A0000}"/>
    <cellStyle name="Explanatory Text 3 8" xfId="2641" xr:uid="{00000000-0005-0000-0000-0000660A0000}"/>
    <cellStyle name="Explanatory Text 4" xfId="2642" xr:uid="{00000000-0005-0000-0000-0000670A0000}"/>
    <cellStyle name="Explanatory Text 4 2" xfId="2643" xr:uid="{00000000-0005-0000-0000-0000680A0000}"/>
    <cellStyle name="Explanatory Text 5" xfId="2644" xr:uid="{00000000-0005-0000-0000-0000690A0000}"/>
    <cellStyle name="Explanatory Text 5 2" xfId="2645" xr:uid="{00000000-0005-0000-0000-00006A0A0000}"/>
    <cellStyle name="Explanatory Text 6" xfId="2646" xr:uid="{00000000-0005-0000-0000-00006B0A0000}"/>
    <cellStyle name="Explanatory Text 6 2" xfId="2647" xr:uid="{00000000-0005-0000-0000-00006C0A0000}"/>
    <cellStyle name="Explanatory Text 7" xfId="2648" xr:uid="{00000000-0005-0000-0000-00006D0A0000}"/>
    <cellStyle name="Explanatory Text 8" xfId="2649" xr:uid="{00000000-0005-0000-0000-00006E0A0000}"/>
    <cellStyle name="Explanatory Text 9" xfId="2650" xr:uid="{00000000-0005-0000-0000-00006F0A0000}"/>
    <cellStyle name="Explanatory Text 9 2" xfId="2651" xr:uid="{00000000-0005-0000-0000-0000700A0000}"/>
    <cellStyle name="Explanatory Text 9 3" xfId="2652" xr:uid="{00000000-0005-0000-0000-0000710A0000}"/>
    <cellStyle name="Explanatory Text 9 4" xfId="2653" xr:uid="{00000000-0005-0000-0000-0000720A0000}"/>
    <cellStyle name="Ezres [0]_Cable" xfId="2654" xr:uid="{00000000-0005-0000-0000-0000730A0000}"/>
    <cellStyle name="Ezres_Cable" xfId="2655" xr:uid="{00000000-0005-0000-0000-0000740A0000}"/>
    <cellStyle name="F H.T." xfId="2656" xr:uid="{00000000-0005-0000-0000-0000750A0000}"/>
    <cellStyle name="fa_column_header_bottom" xfId="3" xr:uid="{00000000-0005-0000-0000-000002000000}"/>
    <cellStyle name="FF_EURO" xfId="2657" xr:uid="{00000000-0005-0000-0000-0000760A0000}"/>
    <cellStyle name="Fixed" xfId="2658" xr:uid="{00000000-0005-0000-0000-0000770A0000}"/>
    <cellStyle name="Fixed [0]" xfId="2659" xr:uid="{00000000-0005-0000-0000-0000780A0000}"/>
    <cellStyle name="Fixed 2" xfId="2660" xr:uid="{00000000-0005-0000-0000-0000790A0000}"/>
    <cellStyle name="Fixed_Cashflow Q1 CY09" xfId="2661" xr:uid="{00000000-0005-0000-0000-00007A0A0000}"/>
    <cellStyle name="Footnote" xfId="2662" xr:uid="{00000000-0005-0000-0000-00007B0A0000}"/>
    <cellStyle name="Forecast Cell Column Heading" xfId="2663" xr:uid="{00000000-0005-0000-0000-00007C0A0000}"/>
    <cellStyle name="format - Style1" xfId="2664" xr:uid="{00000000-0005-0000-0000-00007D0A0000}"/>
    <cellStyle name="Formula" xfId="2665" xr:uid="{00000000-0005-0000-0000-00007E0A0000}"/>
    <cellStyle name="Geneva 9" xfId="2666" xr:uid="{00000000-0005-0000-0000-00007F0A0000}"/>
    <cellStyle name="Giga" xfId="2667" xr:uid="{00000000-0005-0000-0000-0000800A0000}"/>
    <cellStyle name="Good 10" xfId="2668" xr:uid="{00000000-0005-0000-0000-0000810A0000}"/>
    <cellStyle name="Good 10 2" xfId="2669" xr:uid="{00000000-0005-0000-0000-0000820A0000}"/>
    <cellStyle name="Good 10 3" xfId="2670" xr:uid="{00000000-0005-0000-0000-0000830A0000}"/>
    <cellStyle name="Good 11" xfId="2671" xr:uid="{00000000-0005-0000-0000-0000840A0000}"/>
    <cellStyle name="Good 11 2" xfId="2672" xr:uid="{00000000-0005-0000-0000-0000850A0000}"/>
    <cellStyle name="Good 11 3" xfId="2673" xr:uid="{00000000-0005-0000-0000-0000860A0000}"/>
    <cellStyle name="Good 12" xfId="2674" xr:uid="{00000000-0005-0000-0000-0000870A0000}"/>
    <cellStyle name="Good 12 2" xfId="2675" xr:uid="{00000000-0005-0000-0000-0000880A0000}"/>
    <cellStyle name="Good 12 3" xfId="2676" xr:uid="{00000000-0005-0000-0000-0000890A0000}"/>
    <cellStyle name="Good 13" xfId="2677" xr:uid="{00000000-0005-0000-0000-00008A0A0000}"/>
    <cellStyle name="Good 13 2" xfId="2678" xr:uid="{00000000-0005-0000-0000-00008B0A0000}"/>
    <cellStyle name="Good 13 3" xfId="2679" xr:uid="{00000000-0005-0000-0000-00008C0A0000}"/>
    <cellStyle name="Good 14" xfId="2680" xr:uid="{00000000-0005-0000-0000-00008D0A0000}"/>
    <cellStyle name="Good 14 2" xfId="2681" xr:uid="{00000000-0005-0000-0000-00008E0A0000}"/>
    <cellStyle name="Good 14 3" xfId="2682" xr:uid="{00000000-0005-0000-0000-00008F0A0000}"/>
    <cellStyle name="Good 15" xfId="2683" xr:uid="{00000000-0005-0000-0000-0000900A0000}"/>
    <cellStyle name="Good 15 2" xfId="2684" xr:uid="{00000000-0005-0000-0000-0000910A0000}"/>
    <cellStyle name="Good 15 3" xfId="2685" xr:uid="{00000000-0005-0000-0000-0000920A0000}"/>
    <cellStyle name="Good 16" xfId="2686" xr:uid="{00000000-0005-0000-0000-0000930A0000}"/>
    <cellStyle name="Good 17" xfId="2687" xr:uid="{00000000-0005-0000-0000-0000940A0000}"/>
    <cellStyle name="Good 18" xfId="2688" xr:uid="{00000000-0005-0000-0000-0000950A0000}"/>
    <cellStyle name="Good 19" xfId="2689" xr:uid="{00000000-0005-0000-0000-0000960A0000}"/>
    <cellStyle name="Good 2" xfId="2690" xr:uid="{00000000-0005-0000-0000-0000970A0000}"/>
    <cellStyle name="Good 2 10" xfId="2691" xr:uid="{00000000-0005-0000-0000-0000980A0000}"/>
    <cellStyle name="Good 2 11" xfId="2692" xr:uid="{00000000-0005-0000-0000-0000990A0000}"/>
    <cellStyle name="Good 2 12" xfId="2693" xr:uid="{00000000-0005-0000-0000-00009A0A0000}"/>
    <cellStyle name="Good 2 13" xfId="2694" xr:uid="{00000000-0005-0000-0000-00009B0A0000}"/>
    <cellStyle name="Good 2 14" xfId="2695" xr:uid="{00000000-0005-0000-0000-00009C0A0000}"/>
    <cellStyle name="Good 2 15" xfId="2696" xr:uid="{00000000-0005-0000-0000-00009D0A0000}"/>
    <cellStyle name="Good 2 2" xfId="2697" xr:uid="{00000000-0005-0000-0000-00009E0A0000}"/>
    <cellStyle name="Good 2 3" xfId="2698" xr:uid="{00000000-0005-0000-0000-00009F0A0000}"/>
    <cellStyle name="Good 2 4" xfId="2699" xr:uid="{00000000-0005-0000-0000-0000A00A0000}"/>
    <cellStyle name="Good 2 5" xfId="2700" xr:uid="{00000000-0005-0000-0000-0000A10A0000}"/>
    <cellStyle name="Good 2 6" xfId="2701" xr:uid="{00000000-0005-0000-0000-0000A20A0000}"/>
    <cellStyle name="Good 2 7" xfId="2702" xr:uid="{00000000-0005-0000-0000-0000A30A0000}"/>
    <cellStyle name="Good 2 8" xfId="2703" xr:uid="{00000000-0005-0000-0000-0000A40A0000}"/>
    <cellStyle name="Good 2 9" xfId="2704" xr:uid="{00000000-0005-0000-0000-0000A50A0000}"/>
    <cellStyle name="Good 20" xfId="4345" xr:uid="{00000000-0005-0000-0000-0000A60A0000}"/>
    <cellStyle name="Good 3" xfId="2705" xr:uid="{00000000-0005-0000-0000-0000A70A0000}"/>
    <cellStyle name="Good 3 2" xfId="2706" xr:uid="{00000000-0005-0000-0000-0000A80A0000}"/>
    <cellStyle name="Good 3 3" xfId="2707" xr:uid="{00000000-0005-0000-0000-0000A90A0000}"/>
    <cellStyle name="Good 3 4" xfId="2708" xr:uid="{00000000-0005-0000-0000-0000AA0A0000}"/>
    <cellStyle name="Good 3 5" xfId="2709" xr:uid="{00000000-0005-0000-0000-0000AB0A0000}"/>
    <cellStyle name="Good 3 6" xfId="2710" xr:uid="{00000000-0005-0000-0000-0000AC0A0000}"/>
    <cellStyle name="Good 3 7" xfId="2711" xr:uid="{00000000-0005-0000-0000-0000AD0A0000}"/>
    <cellStyle name="Good 3 8" xfId="2712" xr:uid="{00000000-0005-0000-0000-0000AE0A0000}"/>
    <cellStyle name="Good 4" xfId="2713" xr:uid="{00000000-0005-0000-0000-0000AF0A0000}"/>
    <cellStyle name="Good 4 2" xfId="2714" xr:uid="{00000000-0005-0000-0000-0000B00A0000}"/>
    <cellStyle name="Good 5" xfId="2715" xr:uid="{00000000-0005-0000-0000-0000B10A0000}"/>
    <cellStyle name="Good 5 2" xfId="2716" xr:uid="{00000000-0005-0000-0000-0000B20A0000}"/>
    <cellStyle name="Good 6" xfId="2717" xr:uid="{00000000-0005-0000-0000-0000B30A0000}"/>
    <cellStyle name="Good 6 2" xfId="2718" xr:uid="{00000000-0005-0000-0000-0000B40A0000}"/>
    <cellStyle name="Good 7" xfId="2719" xr:uid="{00000000-0005-0000-0000-0000B50A0000}"/>
    <cellStyle name="Good 8" xfId="2720" xr:uid="{00000000-0005-0000-0000-0000B60A0000}"/>
    <cellStyle name="Good 9" xfId="2721" xr:uid="{00000000-0005-0000-0000-0000B70A0000}"/>
    <cellStyle name="Good 9 2" xfId="2722" xr:uid="{00000000-0005-0000-0000-0000B80A0000}"/>
    <cellStyle name="Good 9 3" xfId="2723" xr:uid="{00000000-0005-0000-0000-0000B90A0000}"/>
    <cellStyle name="Good 9 4" xfId="2724" xr:uid="{00000000-0005-0000-0000-0000BA0A0000}"/>
    <cellStyle name="Grey" xfId="2725" xr:uid="{00000000-0005-0000-0000-0000BB0A0000}"/>
    <cellStyle name="Grün_Ausgabe" xfId="2726" xr:uid="{00000000-0005-0000-0000-0000BC0A0000}"/>
    <cellStyle name="Hard Percent" xfId="2727" xr:uid="{00000000-0005-0000-0000-0000BD0A0000}"/>
    <cellStyle name="HEADER" xfId="2728" xr:uid="{00000000-0005-0000-0000-0000BE0A0000}"/>
    <cellStyle name="Header 2" xfId="2729" xr:uid="{00000000-0005-0000-0000-0000BF0A0000}"/>
    <cellStyle name="Header Total" xfId="2730" xr:uid="{00000000-0005-0000-0000-0000C00A0000}"/>
    <cellStyle name="header_Balance Sheet July 9 IFRS Sept 18" xfId="2731" xr:uid="{00000000-0005-0000-0000-0000C10A0000}"/>
    <cellStyle name="Header1" xfId="2732" xr:uid="{00000000-0005-0000-0000-0000C20A0000}"/>
    <cellStyle name="Header2" xfId="2733" xr:uid="{00000000-0005-0000-0000-0000C30A0000}"/>
    <cellStyle name="Header3" xfId="2734" xr:uid="{00000000-0005-0000-0000-0000C40A0000}"/>
    <cellStyle name="Header4" xfId="2735" xr:uid="{00000000-0005-0000-0000-0000C50A0000}"/>
    <cellStyle name="Header4 10" xfId="2736" xr:uid="{00000000-0005-0000-0000-0000C60A0000}"/>
    <cellStyle name="Header4 11" xfId="2737" xr:uid="{00000000-0005-0000-0000-0000C70A0000}"/>
    <cellStyle name="Header4 12" xfId="2738" xr:uid="{00000000-0005-0000-0000-0000C80A0000}"/>
    <cellStyle name="Header4 2" xfId="2739" xr:uid="{00000000-0005-0000-0000-0000C90A0000}"/>
    <cellStyle name="Header4 3" xfId="2740" xr:uid="{00000000-0005-0000-0000-0000CA0A0000}"/>
    <cellStyle name="Header4 4" xfId="2741" xr:uid="{00000000-0005-0000-0000-0000CB0A0000}"/>
    <cellStyle name="Header4 5" xfId="2742" xr:uid="{00000000-0005-0000-0000-0000CC0A0000}"/>
    <cellStyle name="Header4 6" xfId="2743" xr:uid="{00000000-0005-0000-0000-0000CD0A0000}"/>
    <cellStyle name="Header4 7" xfId="2744" xr:uid="{00000000-0005-0000-0000-0000CE0A0000}"/>
    <cellStyle name="Header4 8" xfId="2745" xr:uid="{00000000-0005-0000-0000-0000CF0A0000}"/>
    <cellStyle name="Header4 9" xfId="2746" xr:uid="{00000000-0005-0000-0000-0000D00A0000}"/>
    <cellStyle name="Heading" xfId="2747" xr:uid="{00000000-0005-0000-0000-0000D10A0000}"/>
    <cellStyle name="Heading 1 10" xfId="2748" xr:uid="{00000000-0005-0000-0000-0000D20A0000}"/>
    <cellStyle name="Heading 1 10 2" xfId="2749" xr:uid="{00000000-0005-0000-0000-0000D30A0000}"/>
    <cellStyle name="Heading 1 10 3" xfId="2750" xr:uid="{00000000-0005-0000-0000-0000D40A0000}"/>
    <cellStyle name="Heading 1 10 4" xfId="2751" xr:uid="{00000000-0005-0000-0000-0000D50A0000}"/>
    <cellStyle name="Heading 1 11" xfId="2752" xr:uid="{00000000-0005-0000-0000-0000D60A0000}"/>
    <cellStyle name="Heading 1 11 2" xfId="2753" xr:uid="{00000000-0005-0000-0000-0000D70A0000}"/>
    <cellStyle name="Heading 1 11 3" xfId="2754" xr:uid="{00000000-0005-0000-0000-0000D80A0000}"/>
    <cellStyle name="Heading 1 11 4" xfId="2755" xr:uid="{00000000-0005-0000-0000-0000D90A0000}"/>
    <cellStyle name="Heading 1 12" xfId="2756" xr:uid="{00000000-0005-0000-0000-0000DA0A0000}"/>
    <cellStyle name="Heading 1 12 2" xfId="2757" xr:uid="{00000000-0005-0000-0000-0000DB0A0000}"/>
    <cellStyle name="Heading 1 12 3" xfId="2758" xr:uid="{00000000-0005-0000-0000-0000DC0A0000}"/>
    <cellStyle name="Heading 1 12 4" xfId="2759" xr:uid="{00000000-0005-0000-0000-0000DD0A0000}"/>
    <cellStyle name="Heading 1 13" xfId="2760" xr:uid="{00000000-0005-0000-0000-0000DE0A0000}"/>
    <cellStyle name="Heading 1 13 2" xfId="2761" xr:uid="{00000000-0005-0000-0000-0000DF0A0000}"/>
    <cellStyle name="Heading 1 13 3" xfId="2762" xr:uid="{00000000-0005-0000-0000-0000E00A0000}"/>
    <cellStyle name="Heading 1 13 4" xfId="2763" xr:uid="{00000000-0005-0000-0000-0000E10A0000}"/>
    <cellStyle name="Heading 1 14" xfId="2764" xr:uid="{00000000-0005-0000-0000-0000E20A0000}"/>
    <cellStyle name="Heading 1 14 2" xfId="2765" xr:uid="{00000000-0005-0000-0000-0000E30A0000}"/>
    <cellStyle name="Heading 1 14 3" xfId="2766" xr:uid="{00000000-0005-0000-0000-0000E40A0000}"/>
    <cellStyle name="Heading 1 14 4" xfId="2767" xr:uid="{00000000-0005-0000-0000-0000E50A0000}"/>
    <cellStyle name="Heading 1 15" xfId="2768" xr:uid="{00000000-0005-0000-0000-0000E60A0000}"/>
    <cellStyle name="Heading 1 15 2" xfId="2769" xr:uid="{00000000-0005-0000-0000-0000E70A0000}"/>
    <cellStyle name="Heading 1 15 3" xfId="2770" xr:uid="{00000000-0005-0000-0000-0000E80A0000}"/>
    <cellStyle name="Heading 1 15 4" xfId="2771" xr:uid="{00000000-0005-0000-0000-0000E90A0000}"/>
    <cellStyle name="Heading 1 16" xfId="2772" xr:uid="{00000000-0005-0000-0000-0000EA0A0000}"/>
    <cellStyle name="Heading 1 17" xfId="2773" xr:uid="{00000000-0005-0000-0000-0000EB0A0000}"/>
    <cellStyle name="Heading 1 18" xfId="2774" xr:uid="{00000000-0005-0000-0000-0000EC0A0000}"/>
    <cellStyle name="Heading 1 19" xfId="4346" xr:uid="{00000000-0005-0000-0000-0000ED0A0000}"/>
    <cellStyle name="Heading 1 2" xfId="2775" xr:uid="{00000000-0005-0000-0000-0000EE0A0000}"/>
    <cellStyle name="Heading 1 2 10" xfId="2776" xr:uid="{00000000-0005-0000-0000-0000EF0A0000}"/>
    <cellStyle name="Heading 1 2 10 2" xfId="2777" xr:uid="{00000000-0005-0000-0000-0000F00A0000}"/>
    <cellStyle name="Heading 1 2 11" xfId="2778" xr:uid="{00000000-0005-0000-0000-0000F10A0000}"/>
    <cellStyle name="Heading 1 2 12" xfId="2779" xr:uid="{00000000-0005-0000-0000-0000F20A0000}"/>
    <cellStyle name="Heading 1 2 13" xfId="2780" xr:uid="{00000000-0005-0000-0000-0000F30A0000}"/>
    <cellStyle name="Heading 1 2 14" xfId="2781" xr:uid="{00000000-0005-0000-0000-0000F40A0000}"/>
    <cellStyle name="Heading 1 2 15" xfId="2782" xr:uid="{00000000-0005-0000-0000-0000F50A0000}"/>
    <cellStyle name="Heading 1 2 2" xfId="2783" xr:uid="{00000000-0005-0000-0000-0000F60A0000}"/>
    <cellStyle name="Heading 1 2 3" xfId="2784" xr:uid="{00000000-0005-0000-0000-0000F70A0000}"/>
    <cellStyle name="Heading 1 2 4" xfId="2785" xr:uid="{00000000-0005-0000-0000-0000F80A0000}"/>
    <cellStyle name="Heading 1 2 5" xfId="2786" xr:uid="{00000000-0005-0000-0000-0000F90A0000}"/>
    <cellStyle name="Heading 1 2 6" xfId="2787" xr:uid="{00000000-0005-0000-0000-0000FA0A0000}"/>
    <cellStyle name="Heading 1 2 7" xfId="2788" xr:uid="{00000000-0005-0000-0000-0000FB0A0000}"/>
    <cellStyle name="Heading 1 2 8" xfId="2789" xr:uid="{00000000-0005-0000-0000-0000FC0A0000}"/>
    <cellStyle name="Heading 1 2 9" xfId="2790" xr:uid="{00000000-0005-0000-0000-0000FD0A0000}"/>
    <cellStyle name="Heading 1 3" xfId="2791" xr:uid="{00000000-0005-0000-0000-0000FE0A0000}"/>
    <cellStyle name="Heading 1 3 2" xfId="2792" xr:uid="{00000000-0005-0000-0000-0000FF0A0000}"/>
    <cellStyle name="Heading 1 3 2 2" xfId="2793" xr:uid="{00000000-0005-0000-0000-0000000B0000}"/>
    <cellStyle name="Heading 1 3 2 3" xfId="2794" xr:uid="{00000000-0005-0000-0000-0000010B0000}"/>
    <cellStyle name="Heading 1 3 3" xfId="2795" xr:uid="{00000000-0005-0000-0000-0000020B0000}"/>
    <cellStyle name="Heading 1 3 4" xfId="2796" xr:uid="{00000000-0005-0000-0000-0000030B0000}"/>
    <cellStyle name="Heading 1 3 5" xfId="2797" xr:uid="{00000000-0005-0000-0000-0000040B0000}"/>
    <cellStyle name="Heading 1 3 5 2" xfId="2798" xr:uid="{00000000-0005-0000-0000-0000050B0000}"/>
    <cellStyle name="Heading 1 3 6" xfId="2799" xr:uid="{00000000-0005-0000-0000-0000060B0000}"/>
    <cellStyle name="Heading 1 3 7" xfId="2800" xr:uid="{00000000-0005-0000-0000-0000070B0000}"/>
    <cellStyle name="Heading 1 3 8" xfId="2801" xr:uid="{00000000-0005-0000-0000-0000080B0000}"/>
    <cellStyle name="Heading 1 3 9" xfId="2802" xr:uid="{00000000-0005-0000-0000-0000090B0000}"/>
    <cellStyle name="Heading 1 4" xfId="2803" xr:uid="{00000000-0005-0000-0000-00000A0B0000}"/>
    <cellStyle name="Heading 1 4 2" xfId="2804" xr:uid="{00000000-0005-0000-0000-00000B0B0000}"/>
    <cellStyle name="Heading 1 4 3" xfId="2805" xr:uid="{00000000-0005-0000-0000-00000C0B0000}"/>
    <cellStyle name="Heading 1 5" xfId="2806" xr:uid="{00000000-0005-0000-0000-00000D0B0000}"/>
    <cellStyle name="Heading 1 5 2" xfId="2807" xr:uid="{00000000-0005-0000-0000-00000E0B0000}"/>
    <cellStyle name="Heading 1 5 3" xfId="2808" xr:uid="{00000000-0005-0000-0000-00000F0B0000}"/>
    <cellStyle name="Heading 1 6" xfId="2809" xr:uid="{00000000-0005-0000-0000-0000100B0000}"/>
    <cellStyle name="Heading 1 6 2" xfId="2810" xr:uid="{00000000-0005-0000-0000-0000110B0000}"/>
    <cellStyle name="Heading 1 6 3" xfId="2811" xr:uid="{00000000-0005-0000-0000-0000120B0000}"/>
    <cellStyle name="Heading 1 7" xfId="2812" xr:uid="{00000000-0005-0000-0000-0000130B0000}"/>
    <cellStyle name="Heading 1 7 2" xfId="2813" xr:uid="{00000000-0005-0000-0000-0000140B0000}"/>
    <cellStyle name="Heading 1 7 3" xfId="2814" xr:uid="{00000000-0005-0000-0000-0000150B0000}"/>
    <cellStyle name="Heading 1 8" xfId="2815" xr:uid="{00000000-0005-0000-0000-0000160B0000}"/>
    <cellStyle name="Heading 1 8 2" xfId="2816" xr:uid="{00000000-0005-0000-0000-0000170B0000}"/>
    <cellStyle name="Heading 1 8 3" xfId="2817" xr:uid="{00000000-0005-0000-0000-0000180B0000}"/>
    <cellStyle name="Heading 1 9" xfId="2818" xr:uid="{00000000-0005-0000-0000-0000190B0000}"/>
    <cellStyle name="Heading 1 9 2" xfId="2819" xr:uid="{00000000-0005-0000-0000-00001A0B0000}"/>
    <cellStyle name="Heading 1 9 2 2" xfId="2820" xr:uid="{00000000-0005-0000-0000-00001B0B0000}"/>
    <cellStyle name="Heading 1 9 3" xfId="2821" xr:uid="{00000000-0005-0000-0000-00001C0B0000}"/>
    <cellStyle name="Heading 1 9 4" xfId="2822" xr:uid="{00000000-0005-0000-0000-00001D0B0000}"/>
    <cellStyle name="Heading 1 9 5" xfId="2823" xr:uid="{00000000-0005-0000-0000-00001E0B0000}"/>
    <cellStyle name="Heading 10" xfId="2824" xr:uid="{00000000-0005-0000-0000-00001F0B0000}"/>
    <cellStyle name="Heading 11" xfId="2825" xr:uid="{00000000-0005-0000-0000-0000200B0000}"/>
    <cellStyle name="Heading 12" xfId="2826" xr:uid="{00000000-0005-0000-0000-0000210B0000}"/>
    <cellStyle name="Heading 13" xfId="2827" xr:uid="{00000000-0005-0000-0000-0000220B0000}"/>
    <cellStyle name="Heading 14" xfId="2828" xr:uid="{00000000-0005-0000-0000-0000230B0000}"/>
    <cellStyle name="Heading 15" xfId="2829" xr:uid="{00000000-0005-0000-0000-0000240B0000}"/>
    <cellStyle name="Heading 2 10" xfId="2830" xr:uid="{00000000-0005-0000-0000-0000250B0000}"/>
    <cellStyle name="Heading 2 10 2" xfId="2831" xr:uid="{00000000-0005-0000-0000-0000260B0000}"/>
    <cellStyle name="Heading 2 10 3" xfId="2832" xr:uid="{00000000-0005-0000-0000-0000270B0000}"/>
    <cellStyle name="Heading 2 10 4" xfId="2833" xr:uid="{00000000-0005-0000-0000-0000280B0000}"/>
    <cellStyle name="Heading 2 11" xfId="2834" xr:uid="{00000000-0005-0000-0000-0000290B0000}"/>
    <cellStyle name="Heading 2 11 2" xfId="2835" xr:uid="{00000000-0005-0000-0000-00002A0B0000}"/>
    <cellStyle name="Heading 2 11 3" xfId="2836" xr:uid="{00000000-0005-0000-0000-00002B0B0000}"/>
    <cellStyle name="Heading 2 11 4" xfId="2837" xr:uid="{00000000-0005-0000-0000-00002C0B0000}"/>
    <cellStyle name="Heading 2 12" xfId="2838" xr:uid="{00000000-0005-0000-0000-00002D0B0000}"/>
    <cellStyle name="Heading 2 12 2" xfId="2839" xr:uid="{00000000-0005-0000-0000-00002E0B0000}"/>
    <cellStyle name="Heading 2 12 3" xfId="2840" xr:uid="{00000000-0005-0000-0000-00002F0B0000}"/>
    <cellStyle name="Heading 2 12 4" xfId="2841" xr:uid="{00000000-0005-0000-0000-0000300B0000}"/>
    <cellStyle name="Heading 2 13" xfId="2842" xr:uid="{00000000-0005-0000-0000-0000310B0000}"/>
    <cellStyle name="Heading 2 13 2" xfId="2843" xr:uid="{00000000-0005-0000-0000-0000320B0000}"/>
    <cellStyle name="Heading 2 13 3" xfId="2844" xr:uid="{00000000-0005-0000-0000-0000330B0000}"/>
    <cellStyle name="Heading 2 13 4" xfId="2845" xr:uid="{00000000-0005-0000-0000-0000340B0000}"/>
    <cellStyle name="Heading 2 14" xfId="2846" xr:uid="{00000000-0005-0000-0000-0000350B0000}"/>
    <cellStyle name="Heading 2 14 2" xfId="2847" xr:uid="{00000000-0005-0000-0000-0000360B0000}"/>
    <cellStyle name="Heading 2 14 3" xfId="2848" xr:uid="{00000000-0005-0000-0000-0000370B0000}"/>
    <cellStyle name="Heading 2 14 4" xfId="2849" xr:uid="{00000000-0005-0000-0000-0000380B0000}"/>
    <cellStyle name="Heading 2 15" xfId="2850" xr:uid="{00000000-0005-0000-0000-0000390B0000}"/>
    <cellStyle name="Heading 2 15 2" xfId="2851" xr:uid="{00000000-0005-0000-0000-00003A0B0000}"/>
    <cellStyle name="Heading 2 15 3" xfId="2852" xr:uid="{00000000-0005-0000-0000-00003B0B0000}"/>
    <cellStyle name="Heading 2 15 4" xfId="2853" xr:uid="{00000000-0005-0000-0000-00003C0B0000}"/>
    <cellStyle name="Heading 2 16" xfId="2854" xr:uid="{00000000-0005-0000-0000-00003D0B0000}"/>
    <cellStyle name="Heading 2 17" xfId="2855" xr:uid="{00000000-0005-0000-0000-00003E0B0000}"/>
    <cellStyle name="Heading 2 18" xfId="2856" xr:uid="{00000000-0005-0000-0000-00003F0B0000}"/>
    <cellStyle name="Heading 2 19" xfId="4347" xr:uid="{00000000-0005-0000-0000-0000400B0000}"/>
    <cellStyle name="Heading 2 2" xfId="2857" xr:uid="{00000000-0005-0000-0000-0000410B0000}"/>
    <cellStyle name="Heading 2 2 10" xfId="2858" xr:uid="{00000000-0005-0000-0000-0000420B0000}"/>
    <cellStyle name="Heading 2 2 10 2" xfId="2859" xr:uid="{00000000-0005-0000-0000-0000430B0000}"/>
    <cellStyle name="Heading 2 2 11" xfId="2860" xr:uid="{00000000-0005-0000-0000-0000440B0000}"/>
    <cellStyle name="Heading 2 2 12" xfId="2861" xr:uid="{00000000-0005-0000-0000-0000450B0000}"/>
    <cellStyle name="Heading 2 2 13" xfId="2862" xr:uid="{00000000-0005-0000-0000-0000460B0000}"/>
    <cellStyle name="Heading 2 2 14" xfId="2863" xr:uid="{00000000-0005-0000-0000-0000470B0000}"/>
    <cellStyle name="Heading 2 2 15" xfId="2864" xr:uid="{00000000-0005-0000-0000-0000480B0000}"/>
    <cellStyle name="Heading 2 2 2" xfId="2865" xr:uid="{00000000-0005-0000-0000-0000490B0000}"/>
    <cellStyle name="Heading 2 2 3" xfId="2866" xr:uid="{00000000-0005-0000-0000-00004A0B0000}"/>
    <cellStyle name="Heading 2 2 4" xfId="2867" xr:uid="{00000000-0005-0000-0000-00004B0B0000}"/>
    <cellStyle name="Heading 2 2 5" xfId="2868" xr:uid="{00000000-0005-0000-0000-00004C0B0000}"/>
    <cellStyle name="Heading 2 2 6" xfId="2869" xr:uid="{00000000-0005-0000-0000-00004D0B0000}"/>
    <cellStyle name="Heading 2 2 7" xfId="2870" xr:uid="{00000000-0005-0000-0000-00004E0B0000}"/>
    <cellStyle name="Heading 2 2 8" xfId="2871" xr:uid="{00000000-0005-0000-0000-00004F0B0000}"/>
    <cellStyle name="Heading 2 2 9" xfId="2872" xr:uid="{00000000-0005-0000-0000-0000500B0000}"/>
    <cellStyle name="Heading 2 3" xfId="2873" xr:uid="{00000000-0005-0000-0000-0000510B0000}"/>
    <cellStyle name="Heading 2 3 2" xfId="2874" xr:uid="{00000000-0005-0000-0000-0000520B0000}"/>
    <cellStyle name="Heading 2 3 2 2" xfId="2875" xr:uid="{00000000-0005-0000-0000-0000530B0000}"/>
    <cellStyle name="Heading 2 3 2 3" xfId="2876" xr:uid="{00000000-0005-0000-0000-0000540B0000}"/>
    <cellStyle name="Heading 2 3 3" xfId="2877" xr:uid="{00000000-0005-0000-0000-0000550B0000}"/>
    <cellStyle name="Heading 2 3 4" xfId="2878" xr:uid="{00000000-0005-0000-0000-0000560B0000}"/>
    <cellStyle name="Heading 2 3 5" xfId="2879" xr:uid="{00000000-0005-0000-0000-0000570B0000}"/>
    <cellStyle name="Heading 2 3 5 2" xfId="2880" xr:uid="{00000000-0005-0000-0000-0000580B0000}"/>
    <cellStyle name="Heading 2 3 6" xfId="2881" xr:uid="{00000000-0005-0000-0000-0000590B0000}"/>
    <cellStyle name="Heading 2 3 7" xfId="2882" xr:uid="{00000000-0005-0000-0000-00005A0B0000}"/>
    <cellStyle name="Heading 2 3 8" xfId="2883" xr:uid="{00000000-0005-0000-0000-00005B0B0000}"/>
    <cellStyle name="Heading 2 3 9" xfId="2884" xr:uid="{00000000-0005-0000-0000-00005C0B0000}"/>
    <cellStyle name="Heading 2 4" xfId="2885" xr:uid="{00000000-0005-0000-0000-00005D0B0000}"/>
    <cellStyle name="Heading 2 4 2" xfId="2886" xr:uid="{00000000-0005-0000-0000-00005E0B0000}"/>
    <cellStyle name="Heading 2 4 3" xfId="2887" xr:uid="{00000000-0005-0000-0000-00005F0B0000}"/>
    <cellStyle name="Heading 2 5" xfId="2888" xr:uid="{00000000-0005-0000-0000-0000600B0000}"/>
    <cellStyle name="Heading 2 5 2" xfId="2889" xr:uid="{00000000-0005-0000-0000-0000610B0000}"/>
    <cellStyle name="Heading 2 5 3" xfId="2890" xr:uid="{00000000-0005-0000-0000-0000620B0000}"/>
    <cellStyle name="Heading 2 6" xfId="2891" xr:uid="{00000000-0005-0000-0000-0000630B0000}"/>
    <cellStyle name="Heading 2 6 2" xfId="2892" xr:uid="{00000000-0005-0000-0000-0000640B0000}"/>
    <cellStyle name="Heading 2 6 3" xfId="2893" xr:uid="{00000000-0005-0000-0000-0000650B0000}"/>
    <cellStyle name="Heading 2 7" xfId="2894" xr:uid="{00000000-0005-0000-0000-0000660B0000}"/>
    <cellStyle name="Heading 2 7 2" xfId="2895" xr:uid="{00000000-0005-0000-0000-0000670B0000}"/>
    <cellStyle name="Heading 2 7 3" xfId="2896" xr:uid="{00000000-0005-0000-0000-0000680B0000}"/>
    <cellStyle name="Heading 2 8" xfId="2897" xr:uid="{00000000-0005-0000-0000-0000690B0000}"/>
    <cellStyle name="Heading 2 8 2" xfId="2898" xr:uid="{00000000-0005-0000-0000-00006A0B0000}"/>
    <cellStyle name="Heading 2 8 3" xfId="2899" xr:uid="{00000000-0005-0000-0000-00006B0B0000}"/>
    <cellStyle name="Heading 2 9" xfId="2900" xr:uid="{00000000-0005-0000-0000-00006C0B0000}"/>
    <cellStyle name="Heading 2 9 2" xfId="2901" xr:uid="{00000000-0005-0000-0000-00006D0B0000}"/>
    <cellStyle name="Heading 2 9 2 2" xfId="2902" xr:uid="{00000000-0005-0000-0000-00006E0B0000}"/>
    <cellStyle name="Heading 2 9 3" xfId="2903" xr:uid="{00000000-0005-0000-0000-00006F0B0000}"/>
    <cellStyle name="Heading 2 9 4" xfId="2904" xr:uid="{00000000-0005-0000-0000-0000700B0000}"/>
    <cellStyle name="Heading 2 9 5" xfId="2905" xr:uid="{00000000-0005-0000-0000-0000710B0000}"/>
    <cellStyle name="Heading 3 10" xfId="2906" xr:uid="{00000000-0005-0000-0000-0000720B0000}"/>
    <cellStyle name="Heading 3 10 2" xfId="2907" xr:uid="{00000000-0005-0000-0000-0000730B0000}"/>
    <cellStyle name="Heading 3 10 3" xfId="2908" xr:uid="{00000000-0005-0000-0000-0000740B0000}"/>
    <cellStyle name="Heading 3 10 4" xfId="2909" xr:uid="{00000000-0005-0000-0000-0000750B0000}"/>
    <cellStyle name="Heading 3 11" xfId="2910" xr:uid="{00000000-0005-0000-0000-0000760B0000}"/>
    <cellStyle name="Heading 3 11 2" xfId="2911" xr:uid="{00000000-0005-0000-0000-0000770B0000}"/>
    <cellStyle name="Heading 3 11 3" xfId="2912" xr:uid="{00000000-0005-0000-0000-0000780B0000}"/>
    <cellStyle name="Heading 3 11 4" xfId="2913" xr:uid="{00000000-0005-0000-0000-0000790B0000}"/>
    <cellStyle name="Heading 3 12" xfId="2914" xr:uid="{00000000-0005-0000-0000-00007A0B0000}"/>
    <cellStyle name="Heading 3 12 2" xfId="2915" xr:uid="{00000000-0005-0000-0000-00007B0B0000}"/>
    <cellStyle name="Heading 3 12 3" xfId="2916" xr:uid="{00000000-0005-0000-0000-00007C0B0000}"/>
    <cellStyle name="Heading 3 12 4" xfId="2917" xr:uid="{00000000-0005-0000-0000-00007D0B0000}"/>
    <cellStyle name="Heading 3 13" xfId="2918" xr:uid="{00000000-0005-0000-0000-00007E0B0000}"/>
    <cellStyle name="Heading 3 13 2" xfId="2919" xr:uid="{00000000-0005-0000-0000-00007F0B0000}"/>
    <cellStyle name="Heading 3 13 3" xfId="2920" xr:uid="{00000000-0005-0000-0000-0000800B0000}"/>
    <cellStyle name="Heading 3 13 4" xfId="2921" xr:uid="{00000000-0005-0000-0000-0000810B0000}"/>
    <cellStyle name="Heading 3 14" xfId="2922" xr:uid="{00000000-0005-0000-0000-0000820B0000}"/>
    <cellStyle name="Heading 3 14 2" xfId="2923" xr:uid="{00000000-0005-0000-0000-0000830B0000}"/>
    <cellStyle name="Heading 3 14 3" xfId="2924" xr:uid="{00000000-0005-0000-0000-0000840B0000}"/>
    <cellStyle name="Heading 3 14 4" xfId="2925" xr:uid="{00000000-0005-0000-0000-0000850B0000}"/>
    <cellStyle name="Heading 3 15" xfId="2926" xr:uid="{00000000-0005-0000-0000-0000860B0000}"/>
    <cellStyle name="Heading 3 15 2" xfId="2927" xr:uid="{00000000-0005-0000-0000-0000870B0000}"/>
    <cellStyle name="Heading 3 15 3" xfId="2928" xr:uid="{00000000-0005-0000-0000-0000880B0000}"/>
    <cellStyle name="Heading 3 15 4" xfId="2929" xr:uid="{00000000-0005-0000-0000-0000890B0000}"/>
    <cellStyle name="Heading 3 16" xfId="2930" xr:uid="{00000000-0005-0000-0000-00008A0B0000}"/>
    <cellStyle name="Heading 3 17" xfId="2931" xr:uid="{00000000-0005-0000-0000-00008B0B0000}"/>
    <cellStyle name="Heading 3 18" xfId="2932" xr:uid="{00000000-0005-0000-0000-00008C0B0000}"/>
    <cellStyle name="Heading 3 19" xfId="4348" xr:uid="{00000000-0005-0000-0000-00008D0B0000}"/>
    <cellStyle name="Heading 3 2" xfId="2933" xr:uid="{00000000-0005-0000-0000-00008E0B0000}"/>
    <cellStyle name="Heading 3 2 10" xfId="2934" xr:uid="{00000000-0005-0000-0000-00008F0B0000}"/>
    <cellStyle name="Heading 3 2 10 2" xfId="2935" xr:uid="{00000000-0005-0000-0000-0000900B0000}"/>
    <cellStyle name="Heading 3 2 11" xfId="2936" xr:uid="{00000000-0005-0000-0000-0000910B0000}"/>
    <cellStyle name="Heading 3 2 12" xfId="2937" xr:uid="{00000000-0005-0000-0000-0000920B0000}"/>
    <cellStyle name="Heading 3 2 13" xfId="2938" xr:uid="{00000000-0005-0000-0000-0000930B0000}"/>
    <cellStyle name="Heading 3 2 14" xfId="2939" xr:uid="{00000000-0005-0000-0000-0000940B0000}"/>
    <cellStyle name="Heading 3 2 15" xfId="2940" xr:uid="{00000000-0005-0000-0000-0000950B0000}"/>
    <cellStyle name="Heading 3 2 2" xfId="2941" xr:uid="{00000000-0005-0000-0000-0000960B0000}"/>
    <cellStyle name="Heading 3 2 3" xfId="2942" xr:uid="{00000000-0005-0000-0000-0000970B0000}"/>
    <cellStyle name="Heading 3 2 4" xfId="2943" xr:uid="{00000000-0005-0000-0000-0000980B0000}"/>
    <cellStyle name="Heading 3 2 5" xfId="2944" xr:uid="{00000000-0005-0000-0000-0000990B0000}"/>
    <cellStyle name="Heading 3 2 6" xfId="2945" xr:uid="{00000000-0005-0000-0000-00009A0B0000}"/>
    <cellStyle name="Heading 3 2 7" xfId="2946" xr:uid="{00000000-0005-0000-0000-00009B0B0000}"/>
    <cellStyle name="Heading 3 2 8" xfId="2947" xr:uid="{00000000-0005-0000-0000-00009C0B0000}"/>
    <cellStyle name="Heading 3 2 9" xfId="2948" xr:uid="{00000000-0005-0000-0000-00009D0B0000}"/>
    <cellStyle name="Heading 3 3" xfId="2949" xr:uid="{00000000-0005-0000-0000-00009E0B0000}"/>
    <cellStyle name="Heading 3 3 2" xfId="2950" xr:uid="{00000000-0005-0000-0000-00009F0B0000}"/>
    <cellStyle name="Heading 3 3 2 2" xfId="2951" xr:uid="{00000000-0005-0000-0000-0000A00B0000}"/>
    <cellStyle name="Heading 3 3 2 3" xfId="2952" xr:uid="{00000000-0005-0000-0000-0000A10B0000}"/>
    <cellStyle name="Heading 3 3 3" xfId="2953" xr:uid="{00000000-0005-0000-0000-0000A20B0000}"/>
    <cellStyle name="Heading 3 3 4" xfId="2954" xr:uid="{00000000-0005-0000-0000-0000A30B0000}"/>
    <cellStyle name="Heading 3 3 5" xfId="2955" xr:uid="{00000000-0005-0000-0000-0000A40B0000}"/>
    <cellStyle name="Heading 3 3 5 2" xfId="2956" xr:uid="{00000000-0005-0000-0000-0000A50B0000}"/>
    <cellStyle name="Heading 3 3 6" xfId="2957" xr:uid="{00000000-0005-0000-0000-0000A60B0000}"/>
    <cellStyle name="Heading 3 3 7" xfId="2958" xr:uid="{00000000-0005-0000-0000-0000A70B0000}"/>
    <cellStyle name="Heading 3 3 8" xfId="2959" xr:uid="{00000000-0005-0000-0000-0000A80B0000}"/>
    <cellStyle name="Heading 3 3 9" xfId="2960" xr:uid="{00000000-0005-0000-0000-0000A90B0000}"/>
    <cellStyle name="Heading 3 4" xfId="2961" xr:uid="{00000000-0005-0000-0000-0000AA0B0000}"/>
    <cellStyle name="Heading 3 4 2" xfId="2962" xr:uid="{00000000-0005-0000-0000-0000AB0B0000}"/>
    <cellStyle name="Heading 3 4 3" xfId="2963" xr:uid="{00000000-0005-0000-0000-0000AC0B0000}"/>
    <cellStyle name="Heading 3 5" xfId="2964" xr:uid="{00000000-0005-0000-0000-0000AD0B0000}"/>
    <cellStyle name="Heading 3 5 2" xfId="2965" xr:uid="{00000000-0005-0000-0000-0000AE0B0000}"/>
    <cellStyle name="Heading 3 5 3" xfId="2966" xr:uid="{00000000-0005-0000-0000-0000AF0B0000}"/>
    <cellStyle name="Heading 3 6" xfId="2967" xr:uid="{00000000-0005-0000-0000-0000B00B0000}"/>
    <cellStyle name="Heading 3 6 2" xfId="2968" xr:uid="{00000000-0005-0000-0000-0000B10B0000}"/>
    <cellStyle name="Heading 3 6 3" xfId="2969" xr:uid="{00000000-0005-0000-0000-0000B20B0000}"/>
    <cellStyle name="Heading 3 7" xfId="2970" xr:uid="{00000000-0005-0000-0000-0000B30B0000}"/>
    <cellStyle name="Heading 3 7 2" xfId="2971" xr:uid="{00000000-0005-0000-0000-0000B40B0000}"/>
    <cellStyle name="Heading 3 7 3" xfId="2972" xr:uid="{00000000-0005-0000-0000-0000B50B0000}"/>
    <cellStyle name="Heading 3 8" xfId="2973" xr:uid="{00000000-0005-0000-0000-0000B60B0000}"/>
    <cellStyle name="Heading 3 8 2" xfId="2974" xr:uid="{00000000-0005-0000-0000-0000B70B0000}"/>
    <cellStyle name="Heading 3 8 3" xfId="2975" xr:uid="{00000000-0005-0000-0000-0000B80B0000}"/>
    <cellStyle name="Heading 3 9" xfId="2976" xr:uid="{00000000-0005-0000-0000-0000B90B0000}"/>
    <cellStyle name="Heading 3 9 2" xfId="2977" xr:uid="{00000000-0005-0000-0000-0000BA0B0000}"/>
    <cellStyle name="Heading 3 9 2 2" xfId="2978" xr:uid="{00000000-0005-0000-0000-0000BB0B0000}"/>
    <cellStyle name="Heading 3 9 3" xfId="2979" xr:uid="{00000000-0005-0000-0000-0000BC0B0000}"/>
    <cellStyle name="Heading 3 9 4" xfId="2980" xr:uid="{00000000-0005-0000-0000-0000BD0B0000}"/>
    <cellStyle name="Heading 3 9 5" xfId="2981" xr:uid="{00000000-0005-0000-0000-0000BE0B0000}"/>
    <cellStyle name="Heading 4 10" xfId="2982" xr:uid="{00000000-0005-0000-0000-0000BF0B0000}"/>
    <cellStyle name="Heading 4 10 2" xfId="2983" xr:uid="{00000000-0005-0000-0000-0000C00B0000}"/>
    <cellStyle name="Heading 4 10 3" xfId="2984" xr:uid="{00000000-0005-0000-0000-0000C10B0000}"/>
    <cellStyle name="Heading 4 10 4" xfId="2985" xr:uid="{00000000-0005-0000-0000-0000C20B0000}"/>
    <cellStyle name="Heading 4 11" xfId="2986" xr:uid="{00000000-0005-0000-0000-0000C30B0000}"/>
    <cellStyle name="Heading 4 11 2" xfId="2987" xr:uid="{00000000-0005-0000-0000-0000C40B0000}"/>
    <cellStyle name="Heading 4 11 3" xfId="2988" xr:uid="{00000000-0005-0000-0000-0000C50B0000}"/>
    <cellStyle name="Heading 4 11 4" xfId="2989" xr:uid="{00000000-0005-0000-0000-0000C60B0000}"/>
    <cellStyle name="Heading 4 12" xfId="2990" xr:uid="{00000000-0005-0000-0000-0000C70B0000}"/>
    <cellStyle name="Heading 4 12 2" xfId="2991" xr:uid="{00000000-0005-0000-0000-0000C80B0000}"/>
    <cellStyle name="Heading 4 12 3" xfId="2992" xr:uid="{00000000-0005-0000-0000-0000C90B0000}"/>
    <cellStyle name="Heading 4 12 4" xfId="2993" xr:uid="{00000000-0005-0000-0000-0000CA0B0000}"/>
    <cellStyle name="Heading 4 13" xfId="2994" xr:uid="{00000000-0005-0000-0000-0000CB0B0000}"/>
    <cellStyle name="Heading 4 13 2" xfId="2995" xr:uid="{00000000-0005-0000-0000-0000CC0B0000}"/>
    <cellStyle name="Heading 4 13 3" xfId="2996" xr:uid="{00000000-0005-0000-0000-0000CD0B0000}"/>
    <cellStyle name="Heading 4 13 4" xfId="2997" xr:uid="{00000000-0005-0000-0000-0000CE0B0000}"/>
    <cellStyle name="Heading 4 14" xfId="2998" xr:uid="{00000000-0005-0000-0000-0000CF0B0000}"/>
    <cellStyle name="Heading 4 14 2" xfId="2999" xr:uid="{00000000-0005-0000-0000-0000D00B0000}"/>
    <cellStyle name="Heading 4 14 3" xfId="3000" xr:uid="{00000000-0005-0000-0000-0000D10B0000}"/>
    <cellStyle name="Heading 4 14 4" xfId="3001" xr:uid="{00000000-0005-0000-0000-0000D20B0000}"/>
    <cellStyle name="Heading 4 15" xfId="3002" xr:uid="{00000000-0005-0000-0000-0000D30B0000}"/>
    <cellStyle name="Heading 4 15 2" xfId="3003" xr:uid="{00000000-0005-0000-0000-0000D40B0000}"/>
    <cellStyle name="Heading 4 15 3" xfId="3004" xr:uid="{00000000-0005-0000-0000-0000D50B0000}"/>
    <cellStyle name="Heading 4 15 4" xfId="3005" xr:uid="{00000000-0005-0000-0000-0000D60B0000}"/>
    <cellStyle name="Heading 4 16" xfId="3006" xr:uid="{00000000-0005-0000-0000-0000D70B0000}"/>
    <cellStyle name="Heading 4 17" xfId="3007" xr:uid="{00000000-0005-0000-0000-0000D80B0000}"/>
    <cellStyle name="Heading 4 18" xfId="3008" xr:uid="{00000000-0005-0000-0000-0000D90B0000}"/>
    <cellStyle name="Heading 4 19" xfId="4349" xr:uid="{00000000-0005-0000-0000-0000DA0B0000}"/>
    <cellStyle name="Heading 4 2" xfId="3009" xr:uid="{00000000-0005-0000-0000-0000DB0B0000}"/>
    <cellStyle name="Heading 4 2 10" xfId="3010" xr:uid="{00000000-0005-0000-0000-0000DC0B0000}"/>
    <cellStyle name="Heading 4 2 10 2" xfId="3011" xr:uid="{00000000-0005-0000-0000-0000DD0B0000}"/>
    <cellStyle name="Heading 4 2 11" xfId="3012" xr:uid="{00000000-0005-0000-0000-0000DE0B0000}"/>
    <cellStyle name="Heading 4 2 12" xfId="3013" xr:uid="{00000000-0005-0000-0000-0000DF0B0000}"/>
    <cellStyle name="Heading 4 2 13" xfId="3014" xr:uid="{00000000-0005-0000-0000-0000E00B0000}"/>
    <cellStyle name="Heading 4 2 14" xfId="3015" xr:uid="{00000000-0005-0000-0000-0000E10B0000}"/>
    <cellStyle name="Heading 4 2 15" xfId="3016" xr:uid="{00000000-0005-0000-0000-0000E20B0000}"/>
    <cellStyle name="Heading 4 2 2" xfId="3017" xr:uid="{00000000-0005-0000-0000-0000E30B0000}"/>
    <cellStyle name="Heading 4 2 3" xfId="3018" xr:uid="{00000000-0005-0000-0000-0000E40B0000}"/>
    <cellStyle name="Heading 4 2 4" xfId="3019" xr:uid="{00000000-0005-0000-0000-0000E50B0000}"/>
    <cellStyle name="Heading 4 2 5" xfId="3020" xr:uid="{00000000-0005-0000-0000-0000E60B0000}"/>
    <cellStyle name="Heading 4 2 6" xfId="3021" xr:uid="{00000000-0005-0000-0000-0000E70B0000}"/>
    <cellStyle name="Heading 4 2 7" xfId="3022" xr:uid="{00000000-0005-0000-0000-0000E80B0000}"/>
    <cellStyle name="Heading 4 2 8" xfId="3023" xr:uid="{00000000-0005-0000-0000-0000E90B0000}"/>
    <cellStyle name="Heading 4 2 9" xfId="3024" xr:uid="{00000000-0005-0000-0000-0000EA0B0000}"/>
    <cellStyle name="Heading 4 3" xfId="3025" xr:uid="{00000000-0005-0000-0000-0000EB0B0000}"/>
    <cellStyle name="Heading 4 3 2" xfId="3026" xr:uid="{00000000-0005-0000-0000-0000EC0B0000}"/>
    <cellStyle name="Heading 4 3 2 2" xfId="3027" xr:uid="{00000000-0005-0000-0000-0000ED0B0000}"/>
    <cellStyle name="Heading 4 3 2 3" xfId="3028" xr:uid="{00000000-0005-0000-0000-0000EE0B0000}"/>
    <cellStyle name="Heading 4 3 3" xfId="3029" xr:uid="{00000000-0005-0000-0000-0000EF0B0000}"/>
    <cellStyle name="Heading 4 3 4" xfId="3030" xr:uid="{00000000-0005-0000-0000-0000F00B0000}"/>
    <cellStyle name="Heading 4 3 5" xfId="3031" xr:uid="{00000000-0005-0000-0000-0000F10B0000}"/>
    <cellStyle name="Heading 4 3 5 2" xfId="3032" xr:uid="{00000000-0005-0000-0000-0000F20B0000}"/>
    <cellStyle name="Heading 4 3 6" xfId="3033" xr:uid="{00000000-0005-0000-0000-0000F30B0000}"/>
    <cellStyle name="Heading 4 3 7" xfId="3034" xr:uid="{00000000-0005-0000-0000-0000F40B0000}"/>
    <cellStyle name="Heading 4 3 8" xfId="3035" xr:uid="{00000000-0005-0000-0000-0000F50B0000}"/>
    <cellStyle name="Heading 4 3 9" xfId="3036" xr:uid="{00000000-0005-0000-0000-0000F60B0000}"/>
    <cellStyle name="Heading 4 4" xfId="3037" xr:uid="{00000000-0005-0000-0000-0000F70B0000}"/>
    <cellStyle name="Heading 4 4 2" xfId="3038" xr:uid="{00000000-0005-0000-0000-0000F80B0000}"/>
    <cellStyle name="Heading 4 4 3" xfId="3039" xr:uid="{00000000-0005-0000-0000-0000F90B0000}"/>
    <cellStyle name="Heading 4 5" xfId="3040" xr:uid="{00000000-0005-0000-0000-0000FA0B0000}"/>
    <cellStyle name="Heading 4 5 2" xfId="3041" xr:uid="{00000000-0005-0000-0000-0000FB0B0000}"/>
    <cellStyle name="Heading 4 5 3" xfId="3042" xr:uid="{00000000-0005-0000-0000-0000FC0B0000}"/>
    <cellStyle name="Heading 4 6" xfId="3043" xr:uid="{00000000-0005-0000-0000-0000FD0B0000}"/>
    <cellStyle name="Heading 4 6 2" xfId="3044" xr:uid="{00000000-0005-0000-0000-0000FE0B0000}"/>
    <cellStyle name="Heading 4 6 3" xfId="3045" xr:uid="{00000000-0005-0000-0000-0000FF0B0000}"/>
    <cellStyle name="Heading 4 7" xfId="3046" xr:uid="{00000000-0005-0000-0000-0000000C0000}"/>
    <cellStyle name="Heading 4 7 2" xfId="3047" xr:uid="{00000000-0005-0000-0000-0000010C0000}"/>
    <cellStyle name="Heading 4 7 3" xfId="3048" xr:uid="{00000000-0005-0000-0000-0000020C0000}"/>
    <cellStyle name="Heading 4 8" xfId="3049" xr:uid="{00000000-0005-0000-0000-0000030C0000}"/>
    <cellStyle name="Heading 4 8 2" xfId="3050" xr:uid="{00000000-0005-0000-0000-0000040C0000}"/>
    <cellStyle name="Heading 4 8 3" xfId="3051" xr:uid="{00000000-0005-0000-0000-0000050C0000}"/>
    <cellStyle name="Heading 4 9" xfId="3052" xr:uid="{00000000-0005-0000-0000-0000060C0000}"/>
    <cellStyle name="Heading 4 9 2" xfId="3053" xr:uid="{00000000-0005-0000-0000-0000070C0000}"/>
    <cellStyle name="Heading 4 9 2 2" xfId="3054" xr:uid="{00000000-0005-0000-0000-0000080C0000}"/>
    <cellStyle name="Heading 4 9 3" xfId="3055" xr:uid="{00000000-0005-0000-0000-0000090C0000}"/>
    <cellStyle name="Heading 4 9 4" xfId="3056" xr:uid="{00000000-0005-0000-0000-00000A0C0000}"/>
    <cellStyle name="Heading 4 9 5" xfId="3057" xr:uid="{00000000-0005-0000-0000-00000B0C0000}"/>
    <cellStyle name="Heading 5" xfId="3058" xr:uid="{00000000-0005-0000-0000-00000C0C0000}"/>
    <cellStyle name="Heading 6" xfId="3059" xr:uid="{00000000-0005-0000-0000-00000D0C0000}"/>
    <cellStyle name="Heading 7" xfId="3060" xr:uid="{00000000-0005-0000-0000-00000E0C0000}"/>
    <cellStyle name="Heading 8" xfId="3061" xr:uid="{00000000-0005-0000-0000-00000F0C0000}"/>
    <cellStyle name="Heading 9" xfId="3062" xr:uid="{00000000-0005-0000-0000-0000100C0000}"/>
    <cellStyle name="Heading I" xfId="3063" xr:uid="{00000000-0005-0000-0000-0000110C0000}"/>
    <cellStyle name="heading info" xfId="3064" xr:uid="{00000000-0005-0000-0000-0000120C0000}"/>
    <cellStyle name="Heading1" xfId="3065" xr:uid="{00000000-0005-0000-0000-0000130C0000}"/>
    <cellStyle name="Heading1 2" xfId="3066" xr:uid="{00000000-0005-0000-0000-0000140C0000}"/>
    <cellStyle name="Heading2" xfId="3067" xr:uid="{00000000-0005-0000-0000-0000150C0000}"/>
    <cellStyle name="Heading2 2" xfId="3068" xr:uid="{00000000-0005-0000-0000-0000160C0000}"/>
    <cellStyle name="HEADINGS" xfId="3069" xr:uid="{00000000-0005-0000-0000-0000170C0000}"/>
    <cellStyle name="HEADINGS 2" xfId="3070" xr:uid="{00000000-0005-0000-0000-0000180C0000}"/>
    <cellStyle name="HEADINGSTOP" xfId="3071" xr:uid="{00000000-0005-0000-0000-0000190C0000}"/>
    <cellStyle name="HEADINGSTOP 2" xfId="3072" xr:uid="{00000000-0005-0000-0000-00001A0C0000}"/>
    <cellStyle name="Headline1" xfId="3073" xr:uid="{00000000-0005-0000-0000-00001B0C0000}"/>
    <cellStyle name="Headline2" xfId="3074" xr:uid="{00000000-0005-0000-0000-00001C0C0000}"/>
    <cellStyle name="Headline3" xfId="3075" xr:uid="{00000000-0005-0000-0000-00001D0C0000}"/>
    <cellStyle name="Hidden Decimal 0,00" xfId="3076" xr:uid="{00000000-0005-0000-0000-00001E0C0000}"/>
    <cellStyle name="HIGHLIGHT" xfId="3077" xr:uid="{00000000-0005-0000-0000-00001F0C0000}"/>
    <cellStyle name="Id" xfId="3078" xr:uid="{00000000-0005-0000-0000-0000200C0000}"/>
    <cellStyle name="indicatif_nv" xfId="3079" xr:uid="{00000000-0005-0000-0000-0000210C0000}"/>
    <cellStyle name="initial" xfId="3080" xr:uid="{00000000-0005-0000-0000-0000220C0000}"/>
    <cellStyle name="Input [%]" xfId="3081" xr:uid="{00000000-0005-0000-0000-0000230C0000}"/>
    <cellStyle name="Input [%0]" xfId="3082" xr:uid="{00000000-0005-0000-0000-0000240C0000}"/>
    <cellStyle name="Input [%00]" xfId="3083" xr:uid="{00000000-0005-0000-0000-0000250C0000}"/>
    <cellStyle name="Input [0]" xfId="3084" xr:uid="{00000000-0005-0000-0000-0000260C0000}"/>
    <cellStyle name="Input [00]" xfId="3085" xr:uid="{00000000-0005-0000-0000-0000270C0000}"/>
    <cellStyle name="Input [yellow]" xfId="3086" xr:uid="{00000000-0005-0000-0000-0000280C0000}"/>
    <cellStyle name="Input 10" xfId="3087" xr:uid="{00000000-0005-0000-0000-0000290C0000}"/>
    <cellStyle name="Input 10 2" xfId="3088" xr:uid="{00000000-0005-0000-0000-00002A0C0000}"/>
    <cellStyle name="Input 10 3" xfId="3089" xr:uid="{00000000-0005-0000-0000-00002B0C0000}"/>
    <cellStyle name="Input 10 4" xfId="3090" xr:uid="{00000000-0005-0000-0000-00002C0C0000}"/>
    <cellStyle name="Input 11" xfId="3091" xr:uid="{00000000-0005-0000-0000-00002D0C0000}"/>
    <cellStyle name="Input 11 2" xfId="3092" xr:uid="{00000000-0005-0000-0000-00002E0C0000}"/>
    <cellStyle name="Input 11 3" xfId="3093" xr:uid="{00000000-0005-0000-0000-00002F0C0000}"/>
    <cellStyle name="Input 11 4" xfId="3094" xr:uid="{00000000-0005-0000-0000-0000300C0000}"/>
    <cellStyle name="Input 12" xfId="3095" xr:uid="{00000000-0005-0000-0000-0000310C0000}"/>
    <cellStyle name="Input 12 2" xfId="3096" xr:uid="{00000000-0005-0000-0000-0000320C0000}"/>
    <cellStyle name="Input 12 3" xfId="3097" xr:uid="{00000000-0005-0000-0000-0000330C0000}"/>
    <cellStyle name="Input 12 4" xfId="3098" xr:uid="{00000000-0005-0000-0000-0000340C0000}"/>
    <cellStyle name="Input 13" xfId="3099" xr:uid="{00000000-0005-0000-0000-0000350C0000}"/>
    <cellStyle name="Input 13 2" xfId="3100" xr:uid="{00000000-0005-0000-0000-0000360C0000}"/>
    <cellStyle name="Input 13 3" xfId="3101" xr:uid="{00000000-0005-0000-0000-0000370C0000}"/>
    <cellStyle name="Input 13 4" xfId="3102" xr:uid="{00000000-0005-0000-0000-0000380C0000}"/>
    <cellStyle name="Input 14" xfId="3103" xr:uid="{00000000-0005-0000-0000-0000390C0000}"/>
    <cellStyle name="Input 14 2" xfId="3104" xr:uid="{00000000-0005-0000-0000-00003A0C0000}"/>
    <cellStyle name="Input 14 3" xfId="3105" xr:uid="{00000000-0005-0000-0000-00003B0C0000}"/>
    <cellStyle name="Input 14 4" xfId="3106" xr:uid="{00000000-0005-0000-0000-00003C0C0000}"/>
    <cellStyle name="Input 15" xfId="3107" xr:uid="{00000000-0005-0000-0000-00003D0C0000}"/>
    <cellStyle name="Input 15 2" xfId="3108" xr:uid="{00000000-0005-0000-0000-00003E0C0000}"/>
    <cellStyle name="Input 15 3" xfId="3109" xr:uid="{00000000-0005-0000-0000-00003F0C0000}"/>
    <cellStyle name="Input 15 4" xfId="3110" xr:uid="{00000000-0005-0000-0000-0000400C0000}"/>
    <cellStyle name="Input 16" xfId="3111" xr:uid="{00000000-0005-0000-0000-0000410C0000}"/>
    <cellStyle name="Input 17" xfId="3112" xr:uid="{00000000-0005-0000-0000-0000420C0000}"/>
    <cellStyle name="Input 18" xfId="3113" xr:uid="{00000000-0005-0000-0000-0000430C0000}"/>
    <cellStyle name="Input 19" xfId="3114" xr:uid="{00000000-0005-0000-0000-0000440C0000}"/>
    <cellStyle name="Input 2" xfId="3115" xr:uid="{00000000-0005-0000-0000-0000450C0000}"/>
    <cellStyle name="Input 2 10" xfId="3116" xr:uid="{00000000-0005-0000-0000-0000460C0000}"/>
    <cellStyle name="Input 2 10 2" xfId="3117" xr:uid="{00000000-0005-0000-0000-0000470C0000}"/>
    <cellStyle name="Input 2 11" xfId="3118" xr:uid="{00000000-0005-0000-0000-0000480C0000}"/>
    <cellStyle name="Input 2 12" xfId="3119" xr:uid="{00000000-0005-0000-0000-0000490C0000}"/>
    <cellStyle name="Input 2 13" xfId="3120" xr:uid="{00000000-0005-0000-0000-00004A0C0000}"/>
    <cellStyle name="Input 2 14" xfId="3121" xr:uid="{00000000-0005-0000-0000-00004B0C0000}"/>
    <cellStyle name="Input 2 15" xfId="3122" xr:uid="{00000000-0005-0000-0000-00004C0C0000}"/>
    <cellStyle name="Input 2 2" xfId="3123" xr:uid="{00000000-0005-0000-0000-00004D0C0000}"/>
    <cellStyle name="Input 2 3" xfId="3124" xr:uid="{00000000-0005-0000-0000-00004E0C0000}"/>
    <cellStyle name="Input 2 4" xfId="3125" xr:uid="{00000000-0005-0000-0000-00004F0C0000}"/>
    <cellStyle name="Input 2 5" xfId="3126" xr:uid="{00000000-0005-0000-0000-0000500C0000}"/>
    <cellStyle name="Input 2 6" xfId="3127" xr:uid="{00000000-0005-0000-0000-0000510C0000}"/>
    <cellStyle name="Input 2 7" xfId="3128" xr:uid="{00000000-0005-0000-0000-0000520C0000}"/>
    <cellStyle name="Input 2 8" xfId="3129" xr:uid="{00000000-0005-0000-0000-0000530C0000}"/>
    <cellStyle name="Input 2 9" xfId="3130" xr:uid="{00000000-0005-0000-0000-0000540C0000}"/>
    <cellStyle name="Input 20" xfId="3131" xr:uid="{00000000-0005-0000-0000-0000550C0000}"/>
    <cellStyle name="Input 21" xfId="3132" xr:uid="{00000000-0005-0000-0000-0000560C0000}"/>
    <cellStyle name="Input 22" xfId="4350" xr:uid="{00000000-0005-0000-0000-0000570C0000}"/>
    <cellStyle name="Input 3" xfId="3133" xr:uid="{00000000-0005-0000-0000-0000580C0000}"/>
    <cellStyle name="Input 3 2" xfId="3134" xr:uid="{00000000-0005-0000-0000-0000590C0000}"/>
    <cellStyle name="Input 3 3" xfId="3135" xr:uid="{00000000-0005-0000-0000-00005A0C0000}"/>
    <cellStyle name="Input 3 4" xfId="3136" xr:uid="{00000000-0005-0000-0000-00005B0C0000}"/>
    <cellStyle name="Input 3 5" xfId="3137" xr:uid="{00000000-0005-0000-0000-00005C0C0000}"/>
    <cellStyle name="Input 3 6" xfId="3138" xr:uid="{00000000-0005-0000-0000-00005D0C0000}"/>
    <cellStyle name="Input 3 7" xfId="3139" xr:uid="{00000000-0005-0000-0000-00005E0C0000}"/>
    <cellStyle name="Input 3 8" xfId="3140" xr:uid="{00000000-0005-0000-0000-00005F0C0000}"/>
    <cellStyle name="Input 3 9" xfId="3141" xr:uid="{00000000-0005-0000-0000-0000600C0000}"/>
    <cellStyle name="Input 4" xfId="3142" xr:uid="{00000000-0005-0000-0000-0000610C0000}"/>
    <cellStyle name="Input 4 2" xfId="3143" xr:uid="{00000000-0005-0000-0000-0000620C0000}"/>
    <cellStyle name="Input 4 3" xfId="3144" xr:uid="{00000000-0005-0000-0000-0000630C0000}"/>
    <cellStyle name="Input 5" xfId="3145" xr:uid="{00000000-0005-0000-0000-0000640C0000}"/>
    <cellStyle name="Input 5 2" xfId="3146" xr:uid="{00000000-0005-0000-0000-0000650C0000}"/>
    <cellStyle name="Input 5 3" xfId="3147" xr:uid="{00000000-0005-0000-0000-0000660C0000}"/>
    <cellStyle name="Input 6" xfId="3148" xr:uid="{00000000-0005-0000-0000-0000670C0000}"/>
    <cellStyle name="Input 6 2" xfId="3149" xr:uid="{00000000-0005-0000-0000-0000680C0000}"/>
    <cellStyle name="Input 6 3" xfId="3150" xr:uid="{00000000-0005-0000-0000-0000690C0000}"/>
    <cellStyle name="Input 7" xfId="3151" xr:uid="{00000000-0005-0000-0000-00006A0C0000}"/>
    <cellStyle name="Input 7 2" xfId="3152" xr:uid="{00000000-0005-0000-0000-00006B0C0000}"/>
    <cellStyle name="Input 7 3" xfId="3153" xr:uid="{00000000-0005-0000-0000-00006C0C0000}"/>
    <cellStyle name="Input 8" xfId="3154" xr:uid="{00000000-0005-0000-0000-00006D0C0000}"/>
    <cellStyle name="Input 8 2" xfId="3155" xr:uid="{00000000-0005-0000-0000-00006E0C0000}"/>
    <cellStyle name="Input 8 3" xfId="3156" xr:uid="{00000000-0005-0000-0000-00006F0C0000}"/>
    <cellStyle name="Input 9" xfId="3157" xr:uid="{00000000-0005-0000-0000-0000700C0000}"/>
    <cellStyle name="Input 9 2" xfId="3158" xr:uid="{00000000-0005-0000-0000-0000710C0000}"/>
    <cellStyle name="Input 9 3" xfId="3159" xr:uid="{00000000-0005-0000-0000-0000720C0000}"/>
    <cellStyle name="Input 9 4" xfId="3160" xr:uid="{00000000-0005-0000-0000-0000730C0000}"/>
    <cellStyle name="Input 9 5" xfId="3161" xr:uid="{00000000-0005-0000-0000-0000740C0000}"/>
    <cellStyle name="Input Cells" xfId="3162" xr:uid="{00000000-0005-0000-0000-0000750C0000}"/>
    <cellStyle name="Input Col_Heading" xfId="3163" xr:uid="{00000000-0005-0000-0000-0000760C0000}"/>
    <cellStyle name="Input Currency" xfId="3164" xr:uid="{00000000-0005-0000-0000-0000770C0000}"/>
    <cellStyle name="Input Decimal 0" xfId="3165" xr:uid="{00000000-0005-0000-0000-0000780C0000}"/>
    <cellStyle name="Input Decimal 0 10" xfId="3166" xr:uid="{00000000-0005-0000-0000-0000790C0000}"/>
    <cellStyle name="Input Decimal 0 11" xfId="3167" xr:uid="{00000000-0005-0000-0000-00007A0C0000}"/>
    <cellStyle name="Input Decimal 0 12" xfId="3168" xr:uid="{00000000-0005-0000-0000-00007B0C0000}"/>
    <cellStyle name="Input Decimal 0 2" xfId="3169" xr:uid="{00000000-0005-0000-0000-00007C0C0000}"/>
    <cellStyle name="Input Decimal 0 3" xfId="3170" xr:uid="{00000000-0005-0000-0000-00007D0C0000}"/>
    <cellStyle name="Input Decimal 0 4" xfId="3171" xr:uid="{00000000-0005-0000-0000-00007E0C0000}"/>
    <cellStyle name="Input Decimal 0 5" xfId="3172" xr:uid="{00000000-0005-0000-0000-00007F0C0000}"/>
    <cellStyle name="Input Decimal 0 6" xfId="3173" xr:uid="{00000000-0005-0000-0000-0000800C0000}"/>
    <cellStyle name="Input Decimal 0 7" xfId="3174" xr:uid="{00000000-0005-0000-0000-0000810C0000}"/>
    <cellStyle name="Input Decimal 0 8" xfId="3175" xr:uid="{00000000-0005-0000-0000-0000820C0000}"/>
    <cellStyle name="Input Decimal 0 9" xfId="3176" xr:uid="{00000000-0005-0000-0000-0000830C0000}"/>
    <cellStyle name="Input Decimal 0,00" xfId="3177" xr:uid="{00000000-0005-0000-0000-0000840C0000}"/>
    <cellStyle name="Input Decimal 0,00 10" xfId="3178" xr:uid="{00000000-0005-0000-0000-0000850C0000}"/>
    <cellStyle name="Input Decimal 0,00 11" xfId="3179" xr:uid="{00000000-0005-0000-0000-0000860C0000}"/>
    <cellStyle name="Input Decimal 0,00 12" xfId="3180" xr:uid="{00000000-0005-0000-0000-0000870C0000}"/>
    <cellStyle name="Input Decimal 0,00 2" xfId="3181" xr:uid="{00000000-0005-0000-0000-0000880C0000}"/>
    <cellStyle name="Input Decimal 0,00 3" xfId="3182" xr:uid="{00000000-0005-0000-0000-0000890C0000}"/>
    <cellStyle name="Input Decimal 0,00 4" xfId="3183" xr:uid="{00000000-0005-0000-0000-00008A0C0000}"/>
    <cellStyle name="Input Decimal 0,00 5" xfId="3184" xr:uid="{00000000-0005-0000-0000-00008B0C0000}"/>
    <cellStyle name="Input Decimal 0,00 6" xfId="3185" xr:uid="{00000000-0005-0000-0000-00008C0C0000}"/>
    <cellStyle name="Input Decimal 0,00 7" xfId="3186" xr:uid="{00000000-0005-0000-0000-00008D0C0000}"/>
    <cellStyle name="Input Decimal 0,00 8" xfId="3187" xr:uid="{00000000-0005-0000-0000-00008E0C0000}"/>
    <cellStyle name="Input Decimal 0,00 9" xfId="3188" xr:uid="{00000000-0005-0000-0000-00008F0C0000}"/>
    <cellStyle name="Input Decimal 0_7.2.3. CAPEX" xfId="3189" xr:uid="{00000000-0005-0000-0000-0000900C0000}"/>
    <cellStyle name="Input Normal" xfId="3190" xr:uid="{00000000-0005-0000-0000-0000910C0000}"/>
    <cellStyle name="Input Percent" xfId="3191" xr:uid="{00000000-0005-0000-0000-0000920C0000}"/>
    <cellStyle name="Input Percent 0" xfId="3192" xr:uid="{00000000-0005-0000-0000-0000930C0000}"/>
    <cellStyle name="Input Percent 0 10" xfId="3193" xr:uid="{00000000-0005-0000-0000-0000940C0000}"/>
    <cellStyle name="Input Percent 0 11" xfId="3194" xr:uid="{00000000-0005-0000-0000-0000950C0000}"/>
    <cellStyle name="Input Percent 0 12" xfId="3195" xr:uid="{00000000-0005-0000-0000-0000960C0000}"/>
    <cellStyle name="Input Percent 0 2" xfId="3196" xr:uid="{00000000-0005-0000-0000-0000970C0000}"/>
    <cellStyle name="Input Percent 0 3" xfId="3197" xr:uid="{00000000-0005-0000-0000-0000980C0000}"/>
    <cellStyle name="Input Percent 0 4" xfId="3198" xr:uid="{00000000-0005-0000-0000-0000990C0000}"/>
    <cellStyle name="Input Percent 0 5" xfId="3199" xr:uid="{00000000-0005-0000-0000-00009A0C0000}"/>
    <cellStyle name="Input Percent 0 6" xfId="3200" xr:uid="{00000000-0005-0000-0000-00009B0C0000}"/>
    <cellStyle name="Input Percent 0 7" xfId="3201" xr:uid="{00000000-0005-0000-0000-00009C0C0000}"/>
    <cellStyle name="Input Percent 0 8" xfId="3202" xr:uid="{00000000-0005-0000-0000-00009D0C0000}"/>
    <cellStyle name="Input Percent 0 9" xfId="3203" xr:uid="{00000000-0005-0000-0000-00009E0C0000}"/>
    <cellStyle name="Input Percent 0,00" xfId="3204" xr:uid="{00000000-0005-0000-0000-00009F0C0000}"/>
    <cellStyle name="Input Percent 0,00 10" xfId="3205" xr:uid="{00000000-0005-0000-0000-0000A00C0000}"/>
    <cellStyle name="Input Percent 0,00 11" xfId="3206" xr:uid="{00000000-0005-0000-0000-0000A10C0000}"/>
    <cellStyle name="Input Percent 0,00 12" xfId="3207" xr:uid="{00000000-0005-0000-0000-0000A20C0000}"/>
    <cellStyle name="Input Percent 0,00 2" xfId="3208" xr:uid="{00000000-0005-0000-0000-0000A30C0000}"/>
    <cellStyle name="Input Percent 0,00 3" xfId="3209" xr:uid="{00000000-0005-0000-0000-0000A40C0000}"/>
    <cellStyle name="Input Percent 0,00 4" xfId="3210" xr:uid="{00000000-0005-0000-0000-0000A50C0000}"/>
    <cellStyle name="Input Percent 0,00 5" xfId="3211" xr:uid="{00000000-0005-0000-0000-0000A60C0000}"/>
    <cellStyle name="Input Percent 0,00 6" xfId="3212" xr:uid="{00000000-0005-0000-0000-0000A70C0000}"/>
    <cellStyle name="Input Percent 0,00 7" xfId="3213" xr:uid="{00000000-0005-0000-0000-0000A80C0000}"/>
    <cellStyle name="Input Percent 0,00 8" xfId="3214" xr:uid="{00000000-0005-0000-0000-0000A90C0000}"/>
    <cellStyle name="Input Percent 0,00 9" xfId="3215" xr:uid="{00000000-0005-0000-0000-0000AA0C0000}"/>
    <cellStyle name="Input Percent 0_7.2.3. CAPEX" xfId="3216" xr:uid="{00000000-0005-0000-0000-0000AB0C0000}"/>
    <cellStyle name="Input Titles" xfId="3217" xr:uid="{00000000-0005-0000-0000-0000AC0C0000}"/>
    <cellStyle name="InputDetailDate" xfId="3218" xr:uid="{00000000-0005-0000-0000-0000AD0C0000}"/>
    <cellStyle name="InputDetailInt" xfId="3219" xr:uid="{00000000-0005-0000-0000-0000AE0C0000}"/>
    <cellStyle name="InputDetailPct" xfId="3220" xr:uid="{00000000-0005-0000-0000-0000AF0C0000}"/>
    <cellStyle name="InputLockedInt" xfId="3221" xr:uid="{00000000-0005-0000-0000-0000B00C0000}"/>
    <cellStyle name="InputLockedPct" xfId="3222" xr:uid="{00000000-0005-0000-0000-0000B10C0000}"/>
    <cellStyle name="Invisible" xfId="3223" xr:uid="{00000000-0005-0000-0000-0000B20C0000}"/>
    <cellStyle name="Kilo" xfId="3224" xr:uid="{00000000-0005-0000-0000-0000B30C0000}"/>
    <cellStyle name="kopregel" xfId="3225" xr:uid="{00000000-0005-0000-0000-0000B40C0000}"/>
    <cellStyle name="LB Style" xfId="3226" xr:uid="{00000000-0005-0000-0000-0000B50C0000}"/>
    <cellStyle name="Lien hypertexte_PERSONAL" xfId="3227" xr:uid="{00000000-0005-0000-0000-0000B60C0000}"/>
    <cellStyle name="LineItemPrompt" xfId="3228" xr:uid="{00000000-0005-0000-0000-0000B70C0000}"/>
    <cellStyle name="LineItemValue" xfId="3229" xr:uid="{00000000-0005-0000-0000-0000B80C0000}"/>
    <cellStyle name="Link Currency (0)" xfId="3230" xr:uid="{00000000-0005-0000-0000-0000B90C0000}"/>
    <cellStyle name="Link Currency (0) 2" xfId="3231" xr:uid="{00000000-0005-0000-0000-0000BA0C0000}"/>
    <cellStyle name="Link Currency (2)" xfId="3232" xr:uid="{00000000-0005-0000-0000-0000BB0C0000}"/>
    <cellStyle name="Link Currency (2) 2" xfId="3233" xr:uid="{00000000-0005-0000-0000-0000BC0C0000}"/>
    <cellStyle name="Link Units (0)" xfId="3234" xr:uid="{00000000-0005-0000-0000-0000BD0C0000}"/>
    <cellStyle name="Link Units (0) 2" xfId="3235" xr:uid="{00000000-0005-0000-0000-0000BE0C0000}"/>
    <cellStyle name="Link Units (1)" xfId="3236" xr:uid="{00000000-0005-0000-0000-0000BF0C0000}"/>
    <cellStyle name="Link Units (1) 2" xfId="3237" xr:uid="{00000000-0005-0000-0000-0000C00C0000}"/>
    <cellStyle name="Link Units (2)" xfId="3238" xr:uid="{00000000-0005-0000-0000-0000C10C0000}"/>
    <cellStyle name="Link Units (2) 2" xfId="3239" xr:uid="{00000000-0005-0000-0000-0000C20C0000}"/>
    <cellStyle name="Linked" xfId="3240" xr:uid="{00000000-0005-0000-0000-0000C30C0000}"/>
    <cellStyle name="Linked Cell 10" xfId="3241" xr:uid="{00000000-0005-0000-0000-0000C40C0000}"/>
    <cellStyle name="Linked Cell 10 2" xfId="3242" xr:uid="{00000000-0005-0000-0000-0000C50C0000}"/>
    <cellStyle name="Linked Cell 10 3" xfId="3243" xr:uid="{00000000-0005-0000-0000-0000C60C0000}"/>
    <cellStyle name="Linked Cell 11" xfId="3244" xr:uid="{00000000-0005-0000-0000-0000C70C0000}"/>
    <cellStyle name="Linked Cell 11 2" xfId="3245" xr:uid="{00000000-0005-0000-0000-0000C80C0000}"/>
    <cellStyle name="Linked Cell 11 3" xfId="3246" xr:uid="{00000000-0005-0000-0000-0000C90C0000}"/>
    <cellStyle name="Linked Cell 12" xfId="3247" xr:uid="{00000000-0005-0000-0000-0000CA0C0000}"/>
    <cellStyle name="Linked Cell 12 2" xfId="3248" xr:uid="{00000000-0005-0000-0000-0000CB0C0000}"/>
    <cellStyle name="Linked Cell 12 3" xfId="3249" xr:uid="{00000000-0005-0000-0000-0000CC0C0000}"/>
    <cellStyle name="Linked Cell 13" xfId="3250" xr:uid="{00000000-0005-0000-0000-0000CD0C0000}"/>
    <cellStyle name="Linked Cell 13 2" xfId="3251" xr:uid="{00000000-0005-0000-0000-0000CE0C0000}"/>
    <cellStyle name="Linked Cell 13 3" xfId="3252" xr:uid="{00000000-0005-0000-0000-0000CF0C0000}"/>
    <cellStyle name="Linked Cell 14" xfId="3253" xr:uid="{00000000-0005-0000-0000-0000D00C0000}"/>
    <cellStyle name="Linked Cell 14 2" xfId="3254" xr:uid="{00000000-0005-0000-0000-0000D10C0000}"/>
    <cellStyle name="Linked Cell 14 3" xfId="3255" xr:uid="{00000000-0005-0000-0000-0000D20C0000}"/>
    <cellStyle name="Linked Cell 15" xfId="3256" xr:uid="{00000000-0005-0000-0000-0000D30C0000}"/>
    <cellStyle name="Linked Cell 15 2" xfId="3257" xr:uid="{00000000-0005-0000-0000-0000D40C0000}"/>
    <cellStyle name="Linked Cell 15 3" xfId="3258" xr:uid="{00000000-0005-0000-0000-0000D50C0000}"/>
    <cellStyle name="Linked Cell 16" xfId="3259" xr:uid="{00000000-0005-0000-0000-0000D60C0000}"/>
    <cellStyle name="Linked Cell 17" xfId="3260" xr:uid="{00000000-0005-0000-0000-0000D70C0000}"/>
    <cellStyle name="Linked Cell 18" xfId="3261" xr:uid="{00000000-0005-0000-0000-0000D80C0000}"/>
    <cellStyle name="Linked Cell 19" xfId="4351" xr:uid="{00000000-0005-0000-0000-0000D90C0000}"/>
    <cellStyle name="Linked Cell 2" xfId="3262" xr:uid="{00000000-0005-0000-0000-0000DA0C0000}"/>
    <cellStyle name="Linked Cell 2 10" xfId="3263" xr:uid="{00000000-0005-0000-0000-0000DB0C0000}"/>
    <cellStyle name="Linked Cell 2 11" xfId="3264" xr:uid="{00000000-0005-0000-0000-0000DC0C0000}"/>
    <cellStyle name="Linked Cell 2 12" xfId="3265" xr:uid="{00000000-0005-0000-0000-0000DD0C0000}"/>
    <cellStyle name="Linked Cell 2 13" xfId="3266" xr:uid="{00000000-0005-0000-0000-0000DE0C0000}"/>
    <cellStyle name="Linked Cell 2 14" xfId="3267" xr:uid="{00000000-0005-0000-0000-0000DF0C0000}"/>
    <cellStyle name="Linked Cell 2 15" xfId="3268" xr:uid="{00000000-0005-0000-0000-0000E00C0000}"/>
    <cellStyle name="Linked Cell 2 2" xfId="3269" xr:uid="{00000000-0005-0000-0000-0000E10C0000}"/>
    <cellStyle name="Linked Cell 2 3" xfId="3270" xr:uid="{00000000-0005-0000-0000-0000E20C0000}"/>
    <cellStyle name="Linked Cell 2 4" xfId="3271" xr:uid="{00000000-0005-0000-0000-0000E30C0000}"/>
    <cellStyle name="Linked Cell 2 5" xfId="3272" xr:uid="{00000000-0005-0000-0000-0000E40C0000}"/>
    <cellStyle name="Linked Cell 2 6" xfId="3273" xr:uid="{00000000-0005-0000-0000-0000E50C0000}"/>
    <cellStyle name="Linked Cell 2 7" xfId="3274" xr:uid="{00000000-0005-0000-0000-0000E60C0000}"/>
    <cellStyle name="Linked Cell 2 8" xfId="3275" xr:uid="{00000000-0005-0000-0000-0000E70C0000}"/>
    <cellStyle name="Linked Cell 2 9" xfId="3276" xr:uid="{00000000-0005-0000-0000-0000E80C0000}"/>
    <cellStyle name="Linked Cell 3" xfId="3277" xr:uid="{00000000-0005-0000-0000-0000E90C0000}"/>
    <cellStyle name="Linked Cell 3 2" xfId="3278" xr:uid="{00000000-0005-0000-0000-0000EA0C0000}"/>
    <cellStyle name="Linked Cell 3 3" xfId="3279" xr:uid="{00000000-0005-0000-0000-0000EB0C0000}"/>
    <cellStyle name="Linked Cell 3 4" xfId="3280" xr:uid="{00000000-0005-0000-0000-0000EC0C0000}"/>
    <cellStyle name="Linked Cell 3 5" xfId="3281" xr:uid="{00000000-0005-0000-0000-0000ED0C0000}"/>
    <cellStyle name="Linked Cell 3 5 2" xfId="3282" xr:uid="{00000000-0005-0000-0000-0000EE0C0000}"/>
    <cellStyle name="Linked Cell 3 6" xfId="3283" xr:uid="{00000000-0005-0000-0000-0000EF0C0000}"/>
    <cellStyle name="Linked Cell 3 7" xfId="3284" xr:uid="{00000000-0005-0000-0000-0000F00C0000}"/>
    <cellStyle name="Linked Cell 3 8" xfId="3285" xr:uid="{00000000-0005-0000-0000-0000F10C0000}"/>
    <cellStyle name="Linked Cell 3 9" xfId="3286" xr:uid="{00000000-0005-0000-0000-0000F20C0000}"/>
    <cellStyle name="Linked Cell 4" xfId="3287" xr:uid="{00000000-0005-0000-0000-0000F30C0000}"/>
    <cellStyle name="Linked Cell 4 2" xfId="3288" xr:uid="{00000000-0005-0000-0000-0000F40C0000}"/>
    <cellStyle name="Linked Cell 5" xfId="3289" xr:uid="{00000000-0005-0000-0000-0000F50C0000}"/>
    <cellStyle name="Linked Cell 5 2" xfId="3290" xr:uid="{00000000-0005-0000-0000-0000F60C0000}"/>
    <cellStyle name="Linked Cell 6" xfId="3291" xr:uid="{00000000-0005-0000-0000-0000F70C0000}"/>
    <cellStyle name="Linked Cell 6 2" xfId="3292" xr:uid="{00000000-0005-0000-0000-0000F80C0000}"/>
    <cellStyle name="Linked Cell 7" xfId="3293" xr:uid="{00000000-0005-0000-0000-0000F90C0000}"/>
    <cellStyle name="Linked Cell 8" xfId="3294" xr:uid="{00000000-0005-0000-0000-0000FA0C0000}"/>
    <cellStyle name="Linked Cell 9" xfId="3295" xr:uid="{00000000-0005-0000-0000-0000FB0C0000}"/>
    <cellStyle name="Linked Cell 9 2" xfId="3296" xr:uid="{00000000-0005-0000-0000-0000FC0C0000}"/>
    <cellStyle name="Linked Cell 9 2 2" xfId="3297" xr:uid="{00000000-0005-0000-0000-0000FD0C0000}"/>
    <cellStyle name="Linked Cell 9 3" xfId="3298" xr:uid="{00000000-0005-0000-0000-0000FE0C0000}"/>
    <cellStyle name="Linked Cell 9 4" xfId="3299" xr:uid="{00000000-0005-0000-0000-0000FF0C0000}"/>
    <cellStyle name="Linked Cell 9 5" xfId="3300" xr:uid="{00000000-0005-0000-0000-0000000D0000}"/>
    <cellStyle name="Linked Cells" xfId="3301" xr:uid="{00000000-0005-0000-0000-0000010D0000}"/>
    <cellStyle name="LTM Cell Column Heading" xfId="3302" xr:uid="{00000000-0005-0000-0000-0000020D0000}"/>
    <cellStyle name="Mega" xfId="3303" xr:uid="{00000000-0005-0000-0000-0000030D0000}"/>
    <cellStyle name="Millares [0]_pldt" xfId="3304" xr:uid="{00000000-0005-0000-0000-0000040D0000}"/>
    <cellStyle name="Millares_pldt" xfId="3305" xr:uid="{00000000-0005-0000-0000-0000050D0000}"/>
    <cellStyle name="Milliers [0]_!!!GO" xfId="3306" xr:uid="{00000000-0005-0000-0000-0000060D0000}"/>
    <cellStyle name="Milliers_!!!GO" xfId="3307" xr:uid="{00000000-0005-0000-0000-0000070D0000}"/>
    <cellStyle name="Mon_Year" xfId="3308" xr:uid="{00000000-0005-0000-0000-0000080D0000}"/>
    <cellStyle name="Moneda [0]_pldt" xfId="3309" xr:uid="{00000000-0005-0000-0000-0000090D0000}"/>
    <cellStyle name="Moneda_Coste Fidelizacion" xfId="3310" xr:uid="{00000000-0005-0000-0000-00000A0D0000}"/>
    <cellStyle name="Monétaire [0]_!!!GO" xfId="3311" xr:uid="{00000000-0005-0000-0000-00000B0D0000}"/>
    <cellStyle name="Monétaire_!!!GO" xfId="3312" xr:uid="{00000000-0005-0000-0000-00000C0D0000}"/>
    <cellStyle name="MS Sans Serif" xfId="3313" xr:uid="{00000000-0005-0000-0000-00000D0D0000}"/>
    <cellStyle name="MS_English" xfId="3314" xr:uid="{00000000-0005-0000-0000-00000E0D0000}"/>
    <cellStyle name="Multiple" xfId="3315" xr:uid="{00000000-0005-0000-0000-00000F0D0000}"/>
    <cellStyle name="Multiple Cell Column Heading" xfId="3316" xr:uid="{00000000-0005-0000-0000-0000100D0000}"/>
    <cellStyle name="NA is zero" xfId="3317" xr:uid="{00000000-0005-0000-0000-0000110D0000}"/>
    <cellStyle name="Neutral 10" xfId="3318" xr:uid="{00000000-0005-0000-0000-0000120D0000}"/>
    <cellStyle name="Neutral 10 2" xfId="3319" xr:uid="{00000000-0005-0000-0000-0000130D0000}"/>
    <cellStyle name="Neutral 10 3" xfId="3320" xr:uid="{00000000-0005-0000-0000-0000140D0000}"/>
    <cellStyle name="Neutral 11" xfId="3321" xr:uid="{00000000-0005-0000-0000-0000150D0000}"/>
    <cellStyle name="Neutral 11 2" xfId="3322" xr:uid="{00000000-0005-0000-0000-0000160D0000}"/>
    <cellStyle name="Neutral 11 3" xfId="3323" xr:uid="{00000000-0005-0000-0000-0000170D0000}"/>
    <cellStyle name="Neutral 12" xfId="3324" xr:uid="{00000000-0005-0000-0000-0000180D0000}"/>
    <cellStyle name="Neutral 12 2" xfId="3325" xr:uid="{00000000-0005-0000-0000-0000190D0000}"/>
    <cellStyle name="Neutral 12 3" xfId="3326" xr:uid="{00000000-0005-0000-0000-00001A0D0000}"/>
    <cellStyle name="Neutral 13" xfId="3327" xr:uid="{00000000-0005-0000-0000-00001B0D0000}"/>
    <cellStyle name="Neutral 13 2" xfId="3328" xr:uid="{00000000-0005-0000-0000-00001C0D0000}"/>
    <cellStyle name="Neutral 13 3" xfId="3329" xr:uid="{00000000-0005-0000-0000-00001D0D0000}"/>
    <cellStyle name="Neutral 14" xfId="3330" xr:uid="{00000000-0005-0000-0000-00001E0D0000}"/>
    <cellStyle name="Neutral 14 2" xfId="3331" xr:uid="{00000000-0005-0000-0000-00001F0D0000}"/>
    <cellStyle name="Neutral 14 3" xfId="3332" xr:uid="{00000000-0005-0000-0000-0000200D0000}"/>
    <cellStyle name="Neutral 15" xfId="3333" xr:uid="{00000000-0005-0000-0000-0000210D0000}"/>
    <cellStyle name="Neutral 15 2" xfId="3334" xr:uid="{00000000-0005-0000-0000-0000220D0000}"/>
    <cellStyle name="Neutral 15 3" xfId="3335" xr:uid="{00000000-0005-0000-0000-0000230D0000}"/>
    <cellStyle name="Neutral 16" xfId="3336" xr:uid="{00000000-0005-0000-0000-0000240D0000}"/>
    <cellStyle name="Neutral 17" xfId="3337" xr:uid="{00000000-0005-0000-0000-0000250D0000}"/>
    <cellStyle name="Neutral 18" xfId="3338" xr:uid="{00000000-0005-0000-0000-0000260D0000}"/>
    <cellStyle name="Neutral 19" xfId="3339" xr:uid="{00000000-0005-0000-0000-0000270D0000}"/>
    <cellStyle name="Neutral 2" xfId="3340" xr:uid="{00000000-0005-0000-0000-0000280D0000}"/>
    <cellStyle name="Neutral 2 10" xfId="3341" xr:uid="{00000000-0005-0000-0000-0000290D0000}"/>
    <cellStyle name="Neutral 2 11" xfId="3342" xr:uid="{00000000-0005-0000-0000-00002A0D0000}"/>
    <cellStyle name="Neutral 2 12" xfId="3343" xr:uid="{00000000-0005-0000-0000-00002B0D0000}"/>
    <cellStyle name="Neutral 2 13" xfId="3344" xr:uid="{00000000-0005-0000-0000-00002C0D0000}"/>
    <cellStyle name="Neutral 2 14" xfId="3345" xr:uid="{00000000-0005-0000-0000-00002D0D0000}"/>
    <cellStyle name="Neutral 2 15" xfId="3346" xr:uid="{00000000-0005-0000-0000-00002E0D0000}"/>
    <cellStyle name="Neutral 2 2" xfId="3347" xr:uid="{00000000-0005-0000-0000-00002F0D0000}"/>
    <cellStyle name="Neutral 2 3" xfId="3348" xr:uid="{00000000-0005-0000-0000-0000300D0000}"/>
    <cellStyle name="Neutral 2 4" xfId="3349" xr:uid="{00000000-0005-0000-0000-0000310D0000}"/>
    <cellStyle name="Neutral 2 5" xfId="3350" xr:uid="{00000000-0005-0000-0000-0000320D0000}"/>
    <cellStyle name="Neutral 2 6" xfId="3351" xr:uid="{00000000-0005-0000-0000-0000330D0000}"/>
    <cellStyle name="Neutral 2 7" xfId="3352" xr:uid="{00000000-0005-0000-0000-0000340D0000}"/>
    <cellStyle name="Neutral 2 8" xfId="3353" xr:uid="{00000000-0005-0000-0000-0000350D0000}"/>
    <cellStyle name="Neutral 2 9" xfId="3354" xr:uid="{00000000-0005-0000-0000-0000360D0000}"/>
    <cellStyle name="Neutral 20" xfId="4352" xr:uid="{00000000-0005-0000-0000-0000370D0000}"/>
    <cellStyle name="Neutral 3" xfId="3355" xr:uid="{00000000-0005-0000-0000-0000380D0000}"/>
    <cellStyle name="Neutral 3 2" xfId="3356" xr:uid="{00000000-0005-0000-0000-0000390D0000}"/>
    <cellStyle name="Neutral 3 3" xfId="3357" xr:uid="{00000000-0005-0000-0000-00003A0D0000}"/>
    <cellStyle name="Neutral 3 4" xfId="3358" xr:uid="{00000000-0005-0000-0000-00003B0D0000}"/>
    <cellStyle name="Neutral 3 5" xfId="3359" xr:uid="{00000000-0005-0000-0000-00003C0D0000}"/>
    <cellStyle name="Neutral 3 5 2" xfId="3360" xr:uid="{00000000-0005-0000-0000-00003D0D0000}"/>
    <cellStyle name="Neutral 3 6" xfId="3361" xr:uid="{00000000-0005-0000-0000-00003E0D0000}"/>
    <cellStyle name="Neutral 3 7" xfId="3362" xr:uid="{00000000-0005-0000-0000-00003F0D0000}"/>
    <cellStyle name="Neutral 3 8" xfId="3363" xr:uid="{00000000-0005-0000-0000-0000400D0000}"/>
    <cellStyle name="Neutral 3 9" xfId="3364" xr:uid="{00000000-0005-0000-0000-0000410D0000}"/>
    <cellStyle name="Neutral 4" xfId="3365" xr:uid="{00000000-0005-0000-0000-0000420D0000}"/>
    <cellStyle name="Neutral 4 2" xfId="3366" xr:uid="{00000000-0005-0000-0000-0000430D0000}"/>
    <cellStyle name="Neutral 5" xfId="3367" xr:uid="{00000000-0005-0000-0000-0000440D0000}"/>
    <cellStyle name="Neutral 5 2" xfId="3368" xr:uid="{00000000-0005-0000-0000-0000450D0000}"/>
    <cellStyle name="Neutral 6" xfId="3369" xr:uid="{00000000-0005-0000-0000-0000460D0000}"/>
    <cellStyle name="Neutral 6 2" xfId="3370" xr:uid="{00000000-0005-0000-0000-0000470D0000}"/>
    <cellStyle name="Neutral 7" xfId="3371" xr:uid="{00000000-0005-0000-0000-0000480D0000}"/>
    <cellStyle name="Neutral 8" xfId="3372" xr:uid="{00000000-0005-0000-0000-0000490D0000}"/>
    <cellStyle name="Neutral 9" xfId="3373" xr:uid="{00000000-0005-0000-0000-00004A0D0000}"/>
    <cellStyle name="Neutral 9 2" xfId="3374" xr:uid="{00000000-0005-0000-0000-00004B0D0000}"/>
    <cellStyle name="Neutral 9 2 2" xfId="3375" xr:uid="{00000000-0005-0000-0000-00004C0D0000}"/>
    <cellStyle name="Neutral 9 3" xfId="3376" xr:uid="{00000000-0005-0000-0000-00004D0D0000}"/>
    <cellStyle name="Neutral 9 4" xfId="3377" xr:uid="{00000000-0005-0000-0000-00004E0D0000}"/>
    <cellStyle name="Neutral 9 5" xfId="3378" xr:uid="{00000000-0005-0000-0000-00004F0D0000}"/>
    <cellStyle name="new style" xfId="3379" xr:uid="{00000000-0005-0000-0000-0000500D0000}"/>
    <cellStyle name="New Times Roman" xfId="3380" xr:uid="{00000000-0005-0000-0000-0000510D0000}"/>
    <cellStyle name="NewColumnHeaderNormal" xfId="3381" xr:uid="{00000000-0005-0000-0000-0000520D0000}"/>
    <cellStyle name="NewSectionHeaderNormal" xfId="3382" xr:uid="{00000000-0005-0000-0000-0000530D0000}"/>
    <cellStyle name="NewSectionHeaderNormal 2" xfId="3383" xr:uid="{00000000-0005-0000-0000-0000540D0000}"/>
    <cellStyle name="NewTitleNormal" xfId="3384" xr:uid="{00000000-0005-0000-0000-0000550D0000}"/>
    <cellStyle name="no dec" xfId="3385" xr:uid="{00000000-0005-0000-0000-0000560D0000}"/>
    <cellStyle name="nonmultiple" xfId="3386" xr:uid="{00000000-0005-0000-0000-0000570D0000}"/>
    <cellStyle name="NonPrint_Heading" xfId="3387" xr:uid="{00000000-0005-0000-0000-0000580D0000}"/>
    <cellStyle name="Norm੎੎" xfId="3388" xr:uid="{00000000-0005-0000-0000-0000590D0000}"/>
    <cellStyle name="Normal" xfId="0" builtinId="0"/>
    <cellStyle name="Normal - Style1" xfId="3389" xr:uid="{00000000-0005-0000-0000-00005B0D0000}"/>
    <cellStyle name="Normal - Style1 2" xfId="3390" xr:uid="{00000000-0005-0000-0000-00005C0D0000}"/>
    <cellStyle name="Normal - Style2" xfId="3391" xr:uid="{00000000-0005-0000-0000-00005D0D0000}"/>
    <cellStyle name="Normal - Style3" xfId="3392" xr:uid="{00000000-0005-0000-0000-00005E0D0000}"/>
    <cellStyle name="Normal - Style4" xfId="3393" xr:uid="{00000000-0005-0000-0000-00005F0D0000}"/>
    <cellStyle name="Normal - Style5" xfId="3394" xr:uid="{00000000-0005-0000-0000-0000600D0000}"/>
    <cellStyle name="Normal - Style6" xfId="3395" xr:uid="{00000000-0005-0000-0000-0000610D0000}"/>
    <cellStyle name="Normal - Style7" xfId="3396" xr:uid="{00000000-0005-0000-0000-0000620D0000}"/>
    <cellStyle name="Normal - Style8" xfId="3397" xr:uid="{00000000-0005-0000-0000-0000630D0000}"/>
    <cellStyle name="Normal [0]" xfId="3398" xr:uid="{00000000-0005-0000-0000-0000640D0000}"/>
    <cellStyle name="Normal [1]" xfId="3399" xr:uid="{00000000-0005-0000-0000-0000650D0000}"/>
    <cellStyle name="Normal [2]" xfId="3400" xr:uid="{00000000-0005-0000-0000-0000660D0000}"/>
    <cellStyle name="Normal [3]" xfId="3401" xr:uid="{00000000-0005-0000-0000-0000670D0000}"/>
    <cellStyle name="Normal 10" xfId="3402" xr:uid="{00000000-0005-0000-0000-0000680D0000}"/>
    <cellStyle name="Normal 11" xfId="3403" xr:uid="{00000000-0005-0000-0000-0000690D0000}"/>
    <cellStyle name="Normal 12" xfId="3404" xr:uid="{00000000-0005-0000-0000-00006A0D0000}"/>
    <cellStyle name="Normal 12 2" xfId="3405" xr:uid="{00000000-0005-0000-0000-00006B0D0000}"/>
    <cellStyle name="Normal 13" xfId="3406" xr:uid="{00000000-0005-0000-0000-00006C0D0000}"/>
    <cellStyle name="Normal 13 2" xfId="3407" xr:uid="{00000000-0005-0000-0000-00006D0D0000}"/>
    <cellStyle name="Normal 14" xfId="3408" xr:uid="{00000000-0005-0000-0000-00006E0D0000}"/>
    <cellStyle name="Normal 14 2" xfId="3409" xr:uid="{00000000-0005-0000-0000-00006F0D0000}"/>
    <cellStyle name="Normal 14 3" xfId="3410" xr:uid="{00000000-0005-0000-0000-0000700D0000}"/>
    <cellStyle name="Normal 14 4" xfId="3411" xr:uid="{00000000-0005-0000-0000-0000710D0000}"/>
    <cellStyle name="Normal 15" xfId="3412" xr:uid="{00000000-0005-0000-0000-0000720D0000}"/>
    <cellStyle name="Normal 15 2" xfId="3413" xr:uid="{00000000-0005-0000-0000-0000730D0000}"/>
    <cellStyle name="Normal 15 3" xfId="3414" xr:uid="{00000000-0005-0000-0000-0000740D0000}"/>
    <cellStyle name="Normal 15 4" xfId="3415" xr:uid="{00000000-0005-0000-0000-0000750D0000}"/>
    <cellStyle name="Normal 16" xfId="3416" xr:uid="{00000000-0005-0000-0000-0000760D0000}"/>
    <cellStyle name="Normal 16 2" xfId="3417" xr:uid="{00000000-0005-0000-0000-0000770D0000}"/>
    <cellStyle name="Normal 17" xfId="3418" xr:uid="{00000000-0005-0000-0000-0000780D0000}"/>
    <cellStyle name="Normal 18" xfId="3419" xr:uid="{00000000-0005-0000-0000-0000790D0000}"/>
    <cellStyle name="Normal 18 2" xfId="3420" xr:uid="{00000000-0005-0000-0000-00007A0D0000}"/>
    <cellStyle name="Normal 19" xfId="3421" xr:uid="{00000000-0005-0000-0000-00007B0D0000}"/>
    <cellStyle name="Normal 2" xfId="4" xr:uid="{00000000-0005-0000-0000-000004000000}"/>
    <cellStyle name="Normal 2 10" xfId="3422" xr:uid="{00000000-0005-0000-0000-00007D0D0000}"/>
    <cellStyle name="Normal 2 10 2" xfId="3423" xr:uid="{00000000-0005-0000-0000-00007E0D0000}"/>
    <cellStyle name="Normal 2 10 2 2" xfId="3424" xr:uid="{00000000-0005-0000-0000-00007F0D0000}"/>
    <cellStyle name="Normal 2 10 3" xfId="3425" xr:uid="{00000000-0005-0000-0000-0000800D0000}"/>
    <cellStyle name="Normal 2 10 4" xfId="3426" xr:uid="{00000000-0005-0000-0000-0000810D0000}"/>
    <cellStyle name="Normal 2 10 5" xfId="3427" xr:uid="{00000000-0005-0000-0000-0000820D0000}"/>
    <cellStyle name="Normal 2 11" xfId="3428" xr:uid="{00000000-0005-0000-0000-0000830D0000}"/>
    <cellStyle name="Normal 2 11 2" xfId="3429" xr:uid="{00000000-0005-0000-0000-0000840D0000}"/>
    <cellStyle name="Normal 2 11 3" xfId="3430" xr:uid="{00000000-0005-0000-0000-0000850D0000}"/>
    <cellStyle name="Normal 2 12" xfId="3431" xr:uid="{00000000-0005-0000-0000-0000860D0000}"/>
    <cellStyle name="Normal 2 12 2" xfId="3432" xr:uid="{00000000-0005-0000-0000-0000870D0000}"/>
    <cellStyle name="Normal 2 12 3" xfId="3433" xr:uid="{00000000-0005-0000-0000-0000880D0000}"/>
    <cellStyle name="Normal 2 13" xfId="3434" xr:uid="{00000000-0005-0000-0000-0000890D0000}"/>
    <cellStyle name="Normal 2 13 2" xfId="3435" xr:uid="{00000000-0005-0000-0000-00008A0D0000}"/>
    <cellStyle name="Normal 2 14" xfId="3436" xr:uid="{00000000-0005-0000-0000-00008B0D0000}"/>
    <cellStyle name="Normal 2 14 2" xfId="3437" xr:uid="{00000000-0005-0000-0000-00008C0D0000}"/>
    <cellStyle name="Normal 2 15" xfId="3438" xr:uid="{00000000-0005-0000-0000-00008D0D0000}"/>
    <cellStyle name="Normal 2 15 2" xfId="3439" xr:uid="{00000000-0005-0000-0000-00008E0D0000}"/>
    <cellStyle name="Normal 2 16" xfId="3440" xr:uid="{00000000-0005-0000-0000-00008F0D0000}"/>
    <cellStyle name="Normal 2 17" xfId="3441" xr:uid="{00000000-0005-0000-0000-0000900D0000}"/>
    <cellStyle name="Normal 2 18" xfId="3442" xr:uid="{00000000-0005-0000-0000-0000910D0000}"/>
    <cellStyle name="Normal 2 19" xfId="12" xr:uid="{00000000-0005-0000-0000-00007C0D0000}"/>
    <cellStyle name="Normal 2 2" xfId="13" xr:uid="{00000000-0005-0000-0000-0000920D0000}"/>
    <cellStyle name="Normal 2 2 2" xfId="3443" xr:uid="{00000000-0005-0000-0000-0000930D0000}"/>
    <cellStyle name="Normal 2 2 2 2" xfId="3444" xr:uid="{00000000-0005-0000-0000-0000940D0000}"/>
    <cellStyle name="Normal 2 2 3" xfId="3445" xr:uid="{00000000-0005-0000-0000-0000950D0000}"/>
    <cellStyle name="Normal 2 2 3 2" xfId="3446" xr:uid="{00000000-0005-0000-0000-0000960D0000}"/>
    <cellStyle name="Normal 2 2 4" xfId="3447" xr:uid="{00000000-0005-0000-0000-0000970D0000}"/>
    <cellStyle name="Normal 2 3" xfId="3448" xr:uid="{00000000-0005-0000-0000-0000980D0000}"/>
    <cellStyle name="Normal 2 3 2" xfId="3449" xr:uid="{00000000-0005-0000-0000-0000990D0000}"/>
    <cellStyle name="Normal 2 3 2 2" xfId="3450" xr:uid="{00000000-0005-0000-0000-00009A0D0000}"/>
    <cellStyle name="Normal 2 3 3" xfId="3451" xr:uid="{00000000-0005-0000-0000-00009B0D0000}"/>
    <cellStyle name="Normal 2 3 4" xfId="3452" xr:uid="{00000000-0005-0000-0000-00009C0D0000}"/>
    <cellStyle name="Normal 2 3 5" xfId="3453" xr:uid="{00000000-0005-0000-0000-00009D0D0000}"/>
    <cellStyle name="Normal 2 3 6" xfId="3454" xr:uid="{00000000-0005-0000-0000-00009E0D0000}"/>
    <cellStyle name="Normal 2 3 7" xfId="3455" xr:uid="{00000000-0005-0000-0000-00009F0D0000}"/>
    <cellStyle name="Normal 2 4" xfId="3456" xr:uid="{00000000-0005-0000-0000-0000A00D0000}"/>
    <cellStyle name="Normal 2 4 2" xfId="3457" xr:uid="{00000000-0005-0000-0000-0000A10D0000}"/>
    <cellStyle name="Normal 2 4 3" xfId="3458" xr:uid="{00000000-0005-0000-0000-0000A20D0000}"/>
    <cellStyle name="Normal 2 5" xfId="3459" xr:uid="{00000000-0005-0000-0000-0000A30D0000}"/>
    <cellStyle name="Normal 2 5 2" xfId="3460" xr:uid="{00000000-0005-0000-0000-0000A40D0000}"/>
    <cellStyle name="Normal 2 5 3" xfId="3461" xr:uid="{00000000-0005-0000-0000-0000A50D0000}"/>
    <cellStyle name="Normal 2 6" xfId="3462" xr:uid="{00000000-0005-0000-0000-0000A60D0000}"/>
    <cellStyle name="Normal 2 6 2" xfId="3463" xr:uid="{00000000-0005-0000-0000-0000A70D0000}"/>
    <cellStyle name="Normal 2 6 3" xfId="3464" xr:uid="{00000000-0005-0000-0000-0000A80D0000}"/>
    <cellStyle name="Normal 2 7" xfId="3465" xr:uid="{00000000-0005-0000-0000-0000A90D0000}"/>
    <cellStyle name="Normal 2 7 2" xfId="3466" xr:uid="{00000000-0005-0000-0000-0000AA0D0000}"/>
    <cellStyle name="Normal 2 7 3" xfId="3467" xr:uid="{00000000-0005-0000-0000-0000AB0D0000}"/>
    <cellStyle name="Normal 2 8" xfId="3468" xr:uid="{00000000-0005-0000-0000-0000AC0D0000}"/>
    <cellStyle name="Normal 2 8 2" xfId="3469" xr:uid="{00000000-0005-0000-0000-0000AD0D0000}"/>
    <cellStyle name="Normal 2 8 3" xfId="3470" xr:uid="{00000000-0005-0000-0000-0000AE0D0000}"/>
    <cellStyle name="Normal 2 9" xfId="3471" xr:uid="{00000000-0005-0000-0000-0000AF0D0000}"/>
    <cellStyle name="Normal 2 9 2" xfId="3472" xr:uid="{00000000-0005-0000-0000-0000B00D0000}"/>
    <cellStyle name="Normal 2 9 2 2" xfId="3473" xr:uid="{00000000-0005-0000-0000-0000B10D0000}"/>
    <cellStyle name="Normal 2 9 3" xfId="3474" xr:uid="{00000000-0005-0000-0000-0000B20D0000}"/>
    <cellStyle name="Normal 2 9 4" xfId="3475" xr:uid="{00000000-0005-0000-0000-0000B30D0000}"/>
    <cellStyle name="Normal 2 9 5" xfId="3476" xr:uid="{00000000-0005-0000-0000-0000B40D0000}"/>
    <cellStyle name="Normal 20" xfId="3477" xr:uid="{00000000-0005-0000-0000-0000B50D0000}"/>
    <cellStyle name="Normal 20 2" xfId="3478" xr:uid="{00000000-0005-0000-0000-0000B60D0000}"/>
    <cellStyle name="Normal 21" xfId="3479" xr:uid="{00000000-0005-0000-0000-0000B70D0000}"/>
    <cellStyle name="Normal 22" xfId="3480" xr:uid="{00000000-0005-0000-0000-0000B80D0000}"/>
    <cellStyle name="Normal 23" xfId="3481" xr:uid="{00000000-0005-0000-0000-0000B90D0000}"/>
    <cellStyle name="Normal 24" xfId="3482" xr:uid="{00000000-0005-0000-0000-0000BA0D0000}"/>
    <cellStyle name="Normal 25" xfId="4313" xr:uid="{00000000-0005-0000-0000-0000BB0D0000}"/>
    <cellStyle name="Normal 25 2" xfId="4358" xr:uid="{00000000-0005-0000-0000-0000BC0D0000}"/>
    <cellStyle name="Normal 26" xfId="4362" xr:uid="{00000000-0005-0000-0000-0000BD0D0000}"/>
    <cellStyle name="Normal 27" xfId="4364" xr:uid="{00000000-0005-0000-0000-0000BE0D0000}"/>
    <cellStyle name="Normal 28" xfId="4369" xr:uid="{00000000-0005-0000-0000-0000BF0D0000}"/>
    <cellStyle name="Normal 29" xfId="4365" xr:uid="{00000000-0005-0000-0000-0000C00D0000}"/>
    <cellStyle name="Normal 3" xfId="14" xr:uid="{00000000-0005-0000-0000-0000C10D0000}"/>
    <cellStyle name="Normal 3 2" xfId="3483" xr:uid="{00000000-0005-0000-0000-0000C20D0000}"/>
    <cellStyle name="Normal 3 2 2" xfId="3484" xr:uid="{00000000-0005-0000-0000-0000C30D0000}"/>
    <cellStyle name="Normal 3 2 2 2" xfId="3485" xr:uid="{00000000-0005-0000-0000-0000C40D0000}"/>
    <cellStyle name="Normal 3 2 3" xfId="3486" xr:uid="{00000000-0005-0000-0000-0000C50D0000}"/>
    <cellStyle name="Normal 3 3" xfId="3487" xr:uid="{00000000-0005-0000-0000-0000C60D0000}"/>
    <cellStyle name="Normal 3 4" xfId="3488" xr:uid="{00000000-0005-0000-0000-0000C70D0000}"/>
    <cellStyle name="Normal 3_Display" xfId="3489" xr:uid="{00000000-0005-0000-0000-0000C80D0000}"/>
    <cellStyle name="Normal 30" xfId="4368" xr:uid="{00000000-0005-0000-0000-0000C90D0000}"/>
    <cellStyle name="Normal 31" xfId="4366" xr:uid="{00000000-0005-0000-0000-0000CA0D0000}"/>
    <cellStyle name="Normal 32" xfId="4367" xr:uid="{00000000-0005-0000-0000-0000CB0D0000}"/>
    <cellStyle name="Normal 33" xfId="4370" xr:uid="{00000000-0005-0000-0000-0000CC0D0000}"/>
    <cellStyle name="Normal 34" xfId="4383" xr:uid="{00000000-0005-0000-0000-0000CD0D0000}"/>
    <cellStyle name="Normal 35" xfId="4371" xr:uid="{00000000-0005-0000-0000-0000CE0D0000}"/>
    <cellStyle name="Normal 36" xfId="4382" xr:uid="{00000000-0005-0000-0000-0000CF0D0000}"/>
    <cellStyle name="Normal 37" xfId="4372" xr:uid="{00000000-0005-0000-0000-0000D00D0000}"/>
    <cellStyle name="Normal 38" xfId="4381" xr:uid="{00000000-0005-0000-0000-0000D10D0000}"/>
    <cellStyle name="Normal 39" xfId="4373" xr:uid="{00000000-0005-0000-0000-0000D20D0000}"/>
    <cellStyle name="Normal 4" xfId="5" xr:uid="{00000000-0005-0000-0000-000005000000}"/>
    <cellStyle name="Normal 4 10" xfId="3490" xr:uid="{00000000-0005-0000-0000-0000D30D0000}"/>
    <cellStyle name="Normal 4 2" xfId="3491" xr:uid="{00000000-0005-0000-0000-0000D40D0000}"/>
    <cellStyle name="Normal 4 3" xfId="3492" xr:uid="{00000000-0005-0000-0000-0000D50D0000}"/>
    <cellStyle name="Normal 4 4" xfId="3493" xr:uid="{00000000-0005-0000-0000-0000D60D0000}"/>
    <cellStyle name="Normal 4 5" xfId="3494" xr:uid="{00000000-0005-0000-0000-0000D70D0000}"/>
    <cellStyle name="Normal 4 5 2" xfId="3495" xr:uid="{00000000-0005-0000-0000-0000D80D0000}"/>
    <cellStyle name="Normal 4 6" xfId="3496" xr:uid="{00000000-0005-0000-0000-0000D90D0000}"/>
    <cellStyle name="Normal 4 7" xfId="3497" xr:uid="{00000000-0005-0000-0000-0000DA0D0000}"/>
    <cellStyle name="Normal 4 8" xfId="3498" xr:uid="{00000000-0005-0000-0000-0000DB0D0000}"/>
    <cellStyle name="Normal 4 9" xfId="3499" xr:uid="{00000000-0005-0000-0000-0000DC0D0000}"/>
    <cellStyle name="Normal 4_Display" xfId="3500" xr:uid="{00000000-0005-0000-0000-0000DD0D0000}"/>
    <cellStyle name="Normal 40" xfId="4380" xr:uid="{00000000-0005-0000-0000-0000DE0D0000}"/>
    <cellStyle name="Normal 41" xfId="4374" xr:uid="{00000000-0005-0000-0000-0000DF0D0000}"/>
    <cellStyle name="Normal 42" xfId="4379" xr:uid="{00000000-0005-0000-0000-0000E00D0000}"/>
    <cellStyle name="Normal 43" xfId="4375" xr:uid="{00000000-0005-0000-0000-0000E10D0000}"/>
    <cellStyle name="Normal 44" xfId="4378" xr:uid="{00000000-0005-0000-0000-0000E20D0000}"/>
    <cellStyle name="Normal 45" xfId="4376" xr:uid="{00000000-0005-0000-0000-0000E30D0000}"/>
    <cellStyle name="Normal 46" xfId="4377" xr:uid="{00000000-0005-0000-0000-0000E40D0000}"/>
    <cellStyle name="Normal 47" xfId="4384" xr:uid="{00000000-0005-0000-0000-0000E50D0000}"/>
    <cellStyle name="Normal 48" xfId="4385" xr:uid="{00000000-0005-0000-0000-0000E60D0000}"/>
    <cellStyle name="Normal 5" xfId="3501" xr:uid="{00000000-0005-0000-0000-0000E70D0000}"/>
    <cellStyle name="Normal 5 2" xfId="3502" xr:uid="{00000000-0005-0000-0000-0000E80D0000}"/>
    <cellStyle name="Normal 5 3" xfId="3503" xr:uid="{00000000-0005-0000-0000-0000E90D0000}"/>
    <cellStyle name="Normal 5 4" xfId="3504" xr:uid="{00000000-0005-0000-0000-0000EA0D0000}"/>
    <cellStyle name="Normal 5 5" xfId="3505" xr:uid="{00000000-0005-0000-0000-0000EB0D0000}"/>
    <cellStyle name="Normal 5 5 2" xfId="3506" xr:uid="{00000000-0005-0000-0000-0000EC0D0000}"/>
    <cellStyle name="Normal 5 6" xfId="3507" xr:uid="{00000000-0005-0000-0000-0000ED0D0000}"/>
    <cellStyle name="Normal 5 7" xfId="3508" xr:uid="{00000000-0005-0000-0000-0000EE0D0000}"/>
    <cellStyle name="Normal 5 8" xfId="3509" xr:uid="{00000000-0005-0000-0000-0000EF0D0000}"/>
    <cellStyle name="Normal 5_Display" xfId="3510" xr:uid="{00000000-0005-0000-0000-0000F00D0000}"/>
    <cellStyle name="Normal 6" xfId="3511" xr:uid="{00000000-0005-0000-0000-0000F10D0000}"/>
    <cellStyle name="Normal 6 2" xfId="3512" xr:uid="{00000000-0005-0000-0000-0000F20D0000}"/>
    <cellStyle name="Normal 6_Display" xfId="3513" xr:uid="{00000000-0005-0000-0000-0000F30D0000}"/>
    <cellStyle name="Normal 7" xfId="3514" xr:uid="{00000000-0005-0000-0000-0000F40D0000}"/>
    <cellStyle name="Normal 7 2" xfId="3515" xr:uid="{00000000-0005-0000-0000-0000F50D0000}"/>
    <cellStyle name="Normal 7 2 2" xfId="3516" xr:uid="{00000000-0005-0000-0000-0000F60D0000}"/>
    <cellStyle name="Normal 7 2 3" xfId="3517" xr:uid="{00000000-0005-0000-0000-0000F70D0000}"/>
    <cellStyle name="Normal 7 3" xfId="3518" xr:uid="{00000000-0005-0000-0000-0000F80D0000}"/>
    <cellStyle name="Normal 7 3 2" xfId="3519" xr:uid="{00000000-0005-0000-0000-0000F90D0000}"/>
    <cellStyle name="Normal 7 3 2 2" xfId="3520" xr:uid="{00000000-0005-0000-0000-0000FA0D0000}"/>
    <cellStyle name="Normal 7 3 2 3" xfId="3521" xr:uid="{00000000-0005-0000-0000-0000FB0D0000}"/>
    <cellStyle name="Normal 7 3 3" xfId="3522" xr:uid="{00000000-0005-0000-0000-0000FC0D0000}"/>
    <cellStyle name="Normal 7 3 4" xfId="3523" xr:uid="{00000000-0005-0000-0000-0000FD0D0000}"/>
    <cellStyle name="Normal 7 4" xfId="3524" xr:uid="{00000000-0005-0000-0000-0000FE0D0000}"/>
    <cellStyle name="Normal 7 5" xfId="3525" xr:uid="{00000000-0005-0000-0000-0000FF0D0000}"/>
    <cellStyle name="Normal 7 5 2" xfId="3526" xr:uid="{00000000-0005-0000-0000-0000000E0000}"/>
    <cellStyle name="Normal 7 5 3" xfId="3527" xr:uid="{00000000-0005-0000-0000-0000010E0000}"/>
    <cellStyle name="Normal 7 6" xfId="3528" xr:uid="{00000000-0005-0000-0000-0000020E0000}"/>
    <cellStyle name="Normal 7 7" xfId="3529" xr:uid="{00000000-0005-0000-0000-0000030E0000}"/>
    <cellStyle name="Normal 8" xfId="3530" xr:uid="{00000000-0005-0000-0000-0000040E0000}"/>
    <cellStyle name="Normal 8 2" xfId="3531" xr:uid="{00000000-0005-0000-0000-0000050E0000}"/>
    <cellStyle name="Normal 9" xfId="3532" xr:uid="{00000000-0005-0000-0000-0000060E0000}"/>
    <cellStyle name="Normal Bold" xfId="3533" xr:uid="{00000000-0005-0000-0000-0000070E0000}"/>
    <cellStyle name="Normal millions" xfId="3534" xr:uid="{00000000-0005-0000-0000-0000080E0000}"/>
    <cellStyle name="Normal no decimal" xfId="3535" xr:uid="{00000000-0005-0000-0000-0000090E0000}"/>
    <cellStyle name="Normal Pct" xfId="3536" xr:uid="{00000000-0005-0000-0000-00000A0E0000}"/>
    <cellStyle name="Normal thousands" xfId="3537" xr:uid="{00000000-0005-0000-0000-00000B0E0000}"/>
    <cellStyle name="Normal two decimals" xfId="3538" xr:uid="{00000000-0005-0000-0000-00000C0E0000}"/>
    <cellStyle name="Normál_Book2000" xfId="3539" xr:uid="{00000000-0005-0000-0000-00000D0E0000}"/>
    <cellStyle name="normal1" xfId="3540" xr:uid="{00000000-0005-0000-0000-0000100E0000}"/>
    <cellStyle name="NormalCenter" xfId="3541" xr:uid="{00000000-0005-0000-0000-0000110E0000}"/>
    <cellStyle name="NormalGB" xfId="3542" xr:uid="{00000000-0005-0000-0000-0000120E0000}"/>
    <cellStyle name="NormalItalic" xfId="3543" xr:uid="{00000000-0005-0000-0000-0000130E0000}"/>
    <cellStyle name="NormalLeft" xfId="3544" xr:uid="{00000000-0005-0000-0000-0000140E0000}"/>
    <cellStyle name="NormalLeftBorderMed" xfId="3545" xr:uid="{00000000-0005-0000-0000-0000150E0000}"/>
    <cellStyle name="NormalTopBorder" xfId="3546" xr:uid="{00000000-0005-0000-0000-0000160E0000}"/>
    <cellStyle name="NormalTopBorderMed" xfId="3547" xr:uid="{00000000-0005-0000-0000-0000170E0000}"/>
    <cellStyle name="NormalUnderln" xfId="3548" xr:uid="{00000000-0005-0000-0000-0000180E0000}"/>
    <cellStyle name="NOT" xfId="3549" xr:uid="{00000000-0005-0000-0000-0000190E0000}"/>
    <cellStyle name="Note 10" xfId="3550" xr:uid="{00000000-0005-0000-0000-00001A0E0000}"/>
    <cellStyle name="Note 10 2" xfId="3551" xr:uid="{00000000-0005-0000-0000-00001B0E0000}"/>
    <cellStyle name="Note 10 3" xfId="3552" xr:uid="{00000000-0005-0000-0000-00001C0E0000}"/>
    <cellStyle name="Note 11" xfId="3553" xr:uid="{00000000-0005-0000-0000-00001D0E0000}"/>
    <cellStyle name="Note 11 2" xfId="3554" xr:uid="{00000000-0005-0000-0000-00001E0E0000}"/>
    <cellStyle name="Note 11 3" xfId="3555" xr:uid="{00000000-0005-0000-0000-00001F0E0000}"/>
    <cellStyle name="Note 12" xfId="3556" xr:uid="{00000000-0005-0000-0000-0000200E0000}"/>
    <cellStyle name="Note 12 2" xfId="3557" xr:uid="{00000000-0005-0000-0000-0000210E0000}"/>
    <cellStyle name="Note 12 3" xfId="3558" xr:uid="{00000000-0005-0000-0000-0000220E0000}"/>
    <cellStyle name="Note 13" xfId="3559" xr:uid="{00000000-0005-0000-0000-0000230E0000}"/>
    <cellStyle name="Note 13 2" xfId="3560" xr:uid="{00000000-0005-0000-0000-0000240E0000}"/>
    <cellStyle name="Note 13 3" xfId="3561" xr:uid="{00000000-0005-0000-0000-0000250E0000}"/>
    <cellStyle name="Note 14" xfId="3562" xr:uid="{00000000-0005-0000-0000-0000260E0000}"/>
    <cellStyle name="Note 14 2" xfId="3563" xr:uid="{00000000-0005-0000-0000-0000270E0000}"/>
    <cellStyle name="Note 14 3" xfId="3564" xr:uid="{00000000-0005-0000-0000-0000280E0000}"/>
    <cellStyle name="Note 15" xfId="3565" xr:uid="{00000000-0005-0000-0000-0000290E0000}"/>
    <cellStyle name="Note 15 2" xfId="3566" xr:uid="{00000000-0005-0000-0000-00002A0E0000}"/>
    <cellStyle name="Note 15 3" xfId="3567" xr:uid="{00000000-0005-0000-0000-00002B0E0000}"/>
    <cellStyle name="Note 16" xfId="3568" xr:uid="{00000000-0005-0000-0000-00002C0E0000}"/>
    <cellStyle name="Note 17" xfId="3569" xr:uid="{00000000-0005-0000-0000-00002D0E0000}"/>
    <cellStyle name="Note 18" xfId="3570" xr:uid="{00000000-0005-0000-0000-00002E0E0000}"/>
    <cellStyle name="Note 19" xfId="3571" xr:uid="{00000000-0005-0000-0000-00002F0E0000}"/>
    <cellStyle name="Note 2" xfId="3572" xr:uid="{00000000-0005-0000-0000-0000300E0000}"/>
    <cellStyle name="Note 2 10" xfId="3573" xr:uid="{00000000-0005-0000-0000-0000310E0000}"/>
    <cellStyle name="Note 2 10 2" xfId="3574" xr:uid="{00000000-0005-0000-0000-0000320E0000}"/>
    <cellStyle name="Note 2 11" xfId="3575" xr:uid="{00000000-0005-0000-0000-0000330E0000}"/>
    <cellStyle name="Note 2 12" xfId="3576" xr:uid="{00000000-0005-0000-0000-0000340E0000}"/>
    <cellStyle name="Note 2 13" xfId="3577" xr:uid="{00000000-0005-0000-0000-0000350E0000}"/>
    <cellStyle name="Note 2 14" xfId="3578" xr:uid="{00000000-0005-0000-0000-0000360E0000}"/>
    <cellStyle name="Note 2 15" xfId="3579" xr:uid="{00000000-0005-0000-0000-0000370E0000}"/>
    <cellStyle name="Note 2 16" xfId="3580" xr:uid="{00000000-0005-0000-0000-0000380E0000}"/>
    <cellStyle name="Note 2 2" xfId="3581" xr:uid="{00000000-0005-0000-0000-0000390E0000}"/>
    <cellStyle name="Note 2 3" xfId="3582" xr:uid="{00000000-0005-0000-0000-00003A0E0000}"/>
    <cellStyle name="Note 2 4" xfId="3583" xr:uid="{00000000-0005-0000-0000-00003B0E0000}"/>
    <cellStyle name="Note 2 5" xfId="3584" xr:uid="{00000000-0005-0000-0000-00003C0E0000}"/>
    <cellStyle name="Note 2 6" xfId="3585" xr:uid="{00000000-0005-0000-0000-00003D0E0000}"/>
    <cellStyle name="Note 2 7" xfId="3586" xr:uid="{00000000-0005-0000-0000-00003E0E0000}"/>
    <cellStyle name="Note 2 8" xfId="3587" xr:uid="{00000000-0005-0000-0000-00003F0E0000}"/>
    <cellStyle name="Note 2 9" xfId="3588" xr:uid="{00000000-0005-0000-0000-0000400E0000}"/>
    <cellStyle name="Note 20" xfId="4353" xr:uid="{00000000-0005-0000-0000-0000410E0000}"/>
    <cellStyle name="Note 3" xfId="3589" xr:uid="{00000000-0005-0000-0000-0000420E0000}"/>
    <cellStyle name="Note 3 2" xfId="3590" xr:uid="{00000000-0005-0000-0000-0000430E0000}"/>
    <cellStyle name="Note 3 3" xfId="3591" xr:uid="{00000000-0005-0000-0000-0000440E0000}"/>
    <cellStyle name="Note 3 4" xfId="3592" xr:uid="{00000000-0005-0000-0000-0000450E0000}"/>
    <cellStyle name="Note 3 5" xfId="3593" xr:uid="{00000000-0005-0000-0000-0000460E0000}"/>
    <cellStyle name="Note 3 5 2" xfId="3594" xr:uid="{00000000-0005-0000-0000-0000470E0000}"/>
    <cellStyle name="Note 3 6" xfId="3595" xr:uid="{00000000-0005-0000-0000-0000480E0000}"/>
    <cellStyle name="Note 3 7" xfId="3596" xr:uid="{00000000-0005-0000-0000-0000490E0000}"/>
    <cellStyle name="Note 3 8" xfId="3597" xr:uid="{00000000-0005-0000-0000-00004A0E0000}"/>
    <cellStyle name="Note 3 9" xfId="3598" xr:uid="{00000000-0005-0000-0000-00004B0E0000}"/>
    <cellStyle name="Note 4" xfId="3599" xr:uid="{00000000-0005-0000-0000-00004C0E0000}"/>
    <cellStyle name="Note 4 2" xfId="3600" xr:uid="{00000000-0005-0000-0000-00004D0E0000}"/>
    <cellStyle name="Note 5" xfId="3601" xr:uid="{00000000-0005-0000-0000-00004E0E0000}"/>
    <cellStyle name="Note 5 2" xfId="3602" xr:uid="{00000000-0005-0000-0000-00004F0E0000}"/>
    <cellStyle name="Note 6" xfId="3603" xr:uid="{00000000-0005-0000-0000-0000500E0000}"/>
    <cellStyle name="Note 6 2" xfId="3604" xr:uid="{00000000-0005-0000-0000-0000510E0000}"/>
    <cellStyle name="Note 7" xfId="3605" xr:uid="{00000000-0005-0000-0000-0000520E0000}"/>
    <cellStyle name="Note 8" xfId="3606" xr:uid="{00000000-0005-0000-0000-0000530E0000}"/>
    <cellStyle name="Note 8 2" xfId="3607" xr:uid="{00000000-0005-0000-0000-0000540E0000}"/>
    <cellStyle name="Note 8 2 2" xfId="3608" xr:uid="{00000000-0005-0000-0000-0000550E0000}"/>
    <cellStyle name="Note 8 3" xfId="3609" xr:uid="{00000000-0005-0000-0000-0000560E0000}"/>
    <cellStyle name="Note 8 4" xfId="3610" xr:uid="{00000000-0005-0000-0000-0000570E0000}"/>
    <cellStyle name="Note 8 5" xfId="3611" xr:uid="{00000000-0005-0000-0000-0000580E0000}"/>
    <cellStyle name="Note 9" xfId="3612" xr:uid="{00000000-0005-0000-0000-0000590E0000}"/>
    <cellStyle name="Note 9 2" xfId="3613" xr:uid="{00000000-0005-0000-0000-00005A0E0000}"/>
    <cellStyle name="Note 9 3" xfId="3614" xr:uid="{00000000-0005-0000-0000-00005B0E0000}"/>
    <cellStyle name="Note 9 4" xfId="3615" xr:uid="{00000000-0005-0000-0000-00005C0E0000}"/>
    <cellStyle name="Notes" xfId="3616" xr:uid="{00000000-0005-0000-0000-00005D0E0000}"/>
    <cellStyle name="NPPESalesPct" xfId="3617" xr:uid="{00000000-0005-0000-0000-00005E0E0000}"/>
    <cellStyle name="Number" xfId="3618" xr:uid="{00000000-0005-0000-0000-00005F0E0000}"/>
    <cellStyle name="Number 2" xfId="3619" xr:uid="{00000000-0005-0000-0000-0000600E0000}"/>
    <cellStyle name="Number 3" xfId="3620" xr:uid="{00000000-0005-0000-0000-0000610E0000}"/>
    <cellStyle name="Number_Cashflow Q1 CY09" xfId="3621" xr:uid="{00000000-0005-0000-0000-0000620E0000}"/>
    <cellStyle name="NumberTopBorder" xfId="3622" xr:uid="{00000000-0005-0000-0000-0000630E0000}"/>
    <cellStyle name="Numéro_Tab" xfId="3623" xr:uid="{00000000-0005-0000-0000-0000640E0000}"/>
    <cellStyle name="NWI%S" xfId="3624" xr:uid="{00000000-0005-0000-0000-0000650E0000}"/>
    <cellStyle name="OBI_ColHeader" xfId="4361" xr:uid="{00000000-0005-0000-0000-0000660E0000}"/>
    <cellStyle name="Œ…‹æØ‚è [0.00]_laroux" xfId="3625" xr:uid="{00000000-0005-0000-0000-0000670E0000}"/>
    <cellStyle name="Œ…‹æØ‚è_laroux" xfId="3626" xr:uid="{00000000-0005-0000-0000-0000680E0000}"/>
    <cellStyle name="ore" xfId="3627" xr:uid="{00000000-0005-0000-0000-0000690E0000}"/>
    <cellStyle name="Output 10" xfId="3628" xr:uid="{00000000-0005-0000-0000-00006A0E0000}"/>
    <cellStyle name="Output 10 2" xfId="3629" xr:uid="{00000000-0005-0000-0000-00006B0E0000}"/>
    <cellStyle name="Output 10 3" xfId="3630" xr:uid="{00000000-0005-0000-0000-00006C0E0000}"/>
    <cellStyle name="Output 11" xfId="3631" xr:uid="{00000000-0005-0000-0000-00006D0E0000}"/>
    <cellStyle name="Output 11 2" xfId="3632" xr:uid="{00000000-0005-0000-0000-00006E0E0000}"/>
    <cellStyle name="Output 11 3" xfId="3633" xr:uid="{00000000-0005-0000-0000-00006F0E0000}"/>
    <cellStyle name="Output 12" xfId="3634" xr:uid="{00000000-0005-0000-0000-0000700E0000}"/>
    <cellStyle name="Output 12 2" xfId="3635" xr:uid="{00000000-0005-0000-0000-0000710E0000}"/>
    <cellStyle name="Output 12 3" xfId="3636" xr:uid="{00000000-0005-0000-0000-0000720E0000}"/>
    <cellStyle name="Output 13" xfId="3637" xr:uid="{00000000-0005-0000-0000-0000730E0000}"/>
    <cellStyle name="Output 13 2" xfId="3638" xr:uid="{00000000-0005-0000-0000-0000740E0000}"/>
    <cellStyle name="Output 13 3" xfId="3639" xr:uid="{00000000-0005-0000-0000-0000750E0000}"/>
    <cellStyle name="Output 14" xfId="3640" xr:uid="{00000000-0005-0000-0000-0000760E0000}"/>
    <cellStyle name="Output 14 2" xfId="3641" xr:uid="{00000000-0005-0000-0000-0000770E0000}"/>
    <cellStyle name="Output 14 3" xfId="3642" xr:uid="{00000000-0005-0000-0000-0000780E0000}"/>
    <cellStyle name="Output 15" xfId="3643" xr:uid="{00000000-0005-0000-0000-0000790E0000}"/>
    <cellStyle name="Output 15 2" xfId="3644" xr:uid="{00000000-0005-0000-0000-00007A0E0000}"/>
    <cellStyle name="Output 15 3" xfId="3645" xr:uid="{00000000-0005-0000-0000-00007B0E0000}"/>
    <cellStyle name="Output 16" xfId="3646" xr:uid="{00000000-0005-0000-0000-00007C0E0000}"/>
    <cellStyle name="Output 17" xfId="3647" xr:uid="{00000000-0005-0000-0000-00007D0E0000}"/>
    <cellStyle name="Output 18" xfId="3648" xr:uid="{00000000-0005-0000-0000-00007E0E0000}"/>
    <cellStyle name="Output 19" xfId="3649" xr:uid="{00000000-0005-0000-0000-00007F0E0000}"/>
    <cellStyle name="Output 2" xfId="3650" xr:uid="{00000000-0005-0000-0000-0000800E0000}"/>
    <cellStyle name="Output 2 10" xfId="3651" xr:uid="{00000000-0005-0000-0000-0000810E0000}"/>
    <cellStyle name="Output 2 11" xfId="3652" xr:uid="{00000000-0005-0000-0000-0000820E0000}"/>
    <cellStyle name="Output 2 12" xfId="3653" xr:uid="{00000000-0005-0000-0000-0000830E0000}"/>
    <cellStyle name="Output 2 13" xfId="3654" xr:uid="{00000000-0005-0000-0000-0000840E0000}"/>
    <cellStyle name="Output 2 14" xfId="3655" xr:uid="{00000000-0005-0000-0000-0000850E0000}"/>
    <cellStyle name="Output 2 15" xfId="3656" xr:uid="{00000000-0005-0000-0000-0000860E0000}"/>
    <cellStyle name="Output 2 2" xfId="3657" xr:uid="{00000000-0005-0000-0000-0000870E0000}"/>
    <cellStyle name="Output 2 3" xfId="3658" xr:uid="{00000000-0005-0000-0000-0000880E0000}"/>
    <cellStyle name="Output 2 4" xfId="3659" xr:uid="{00000000-0005-0000-0000-0000890E0000}"/>
    <cellStyle name="Output 2 5" xfId="3660" xr:uid="{00000000-0005-0000-0000-00008A0E0000}"/>
    <cellStyle name="Output 2 6" xfId="3661" xr:uid="{00000000-0005-0000-0000-00008B0E0000}"/>
    <cellStyle name="Output 2 7" xfId="3662" xr:uid="{00000000-0005-0000-0000-00008C0E0000}"/>
    <cellStyle name="Output 2 8" xfId="3663" xr:uid="{00000000-0005-0000-0000-00008D0E0000}"/>
    <cellStyle name="Output 2 9" xfId="3664" xr:uid="{00000000-0005-0000-0000-00008E0E0000}"/>
    <cellStyle name="Output 20" xfId="4354" xr:uid="{00000000-0005-0000-0000-00008F0E0000}"/>
    <cellStyle name="Output 3" xfId="3665" xr:uid="{00000000-0005-0000-0000-0000900E0000}"/>
    <cellStyle name="Output 3 2" xfId="3666" xr:uid="{00000000-0005-0000-0000-0000910E0000}"/>
    <cellStyle name="Output 3 3" xfId="3667" xr:uid="{00000000-0005-0000-0000-0000920E0000}"/>
    <cellStyle name="Output 3 4" xfId="3668" xr:uid="{00000000-0005-0000-0000-0000930E0000}"/>
    <cellStyle name="Output 3 5" xfId="3669" xr:uid="{00000000-0005-0000-0000-0000940E0000}"/>
    <cellStyle name="Output 3 5 2" xfId="3670" xr:uid="{00000000-0005-0000-0000-0000950E0000}"/>
    <cellStyle name="Output 3 6" xfId="3671" xr:uid="{00000000-0005-0000-0000-0000960E0000}"/>
    <cellStyle name="Output 3 7" xfId="3672" xr:uid="{00000000-0005-0000-0000-0000970E0000}"/>
    <cellStyle name="Output 3 8" xfId="3673" xr:uid="{00000000-0005-0000-0000-0000980E0000}"/>
    <cellStyle name="Output 3 9" xfId="3674" xr:uid="{00000000-0005-0000-0000-0000990E0000}"/>
    <cellStyle name="Output 4" xfId="3675" xr:uid="{00000000-0005-0000-0000-00009A0E0000}"/>
    <cellStyle name="Output 4 2" xfId="3676" xr:uid="{00000000-0005-0000-0000-00009B0E0000}"/>
    <cellStyle name="Output 5" xfId="3677" xr:uid="{00000000-0005-0000-0000-00009C0E0000}"/>
    <cellStyle name="Output 5 2" xfId="3678" xr:uid="{00000000-0005-0000-0000-00009D0E0000}"/>
    <cellStyle name="Output 6" xfId="3679" xr:uid="{00000000-0005-0000-0000-00009E0E0000}"/>
    <cellStyle name="Output 6 2" xfId="3680" xr:uid="{00000000-0005-0000-0000-00009F0E0000}"/>
    <cellStyle name="Output 7" xfId="3681" xr:uid="{00000000-0005-0000-0000-0000A00E0000}"/>
    <cellStyle name="Output 8" xfId="3682" xr:uid="{00000000-0005-0000-0000-0000A10E0000}"/>
    <cellStyle name="Output 9" xfId="3683" xr:uid="{00000000-0005-0000-0000-0000A20E0000}"/>
    <cellStyle name="Output 9 2" xfId="3684" xr:uid="{00000000-0005-0000-0000-0000A30E0000}"/>
    <cellStyle name="Output 9 2 2" xfId="3685" xr:uid="{00000000-0005-0000-0000-0000A40E0000}"/>
    <cellStyle name="Output 9 3" xfId="3686" xr:uid="{00000000-0005-0000-0000-0000A50E0000}"/>
    <cellStyle name="Output 9 4" xfId="3687" xr:uid="{00000000-0005-0000-0000-0000A60E0000}"/>
    <cellStyle name="Output 9 5" xfId="3688" xr:uid="{00000000-0005-0000-0000-0000A70E0000}"/>
    <cellStyle name="Output Amounts" xfId="3689" xr:uid="{00000000-0005-0000-0000-0000A80E0000}"/>
    <cellStyle name="OUTPUT COLUMN HEADINGS" xfId="3690" xr:uid="{00000000-0005-0000-0000-0000A90E0000}"/>
    <cellStyle name="Output Line Items" xfId="3691" xr:uid="{00000000-0005-0000-0000-0000AA0E0000}"/>
    <cellStyle name="OUTPUT REPORT HEADING" xfId="3692" xr:uid="{00000000-0005-0000-0000-0000AB0E0000}"/>
    <cellStyle name="OUTPUT REPORT TITLE" xfId="3693" xr:uid="{00000000-0005-0000-0000-0000AC0E0000}"/>
    <cellStyle name="Override" xfId="3694" xr:uid="{00000000-0005-0000-0000-0000AD0E0000}"/>
    <cellStyle name="Page Heading Large" xfId="3695" xr:uid="{00000000-0005-0000-0000-0000AE0E0000}"/>
    <cellStyle name="Page Heading Small" xfId="3696" xr:uid="{00000000-0005-0000-0000-0000AF0E0000}"/>
    <cellStyle name="Page Number" xfId="3697" xr:uid="{00000000-0005-0000-0000-0000B00E0000}"/>
    <cellStyle name="paint" xfId="3698" xr:uid="{00000000-0005-0000-0000-0000B10E0000}"/>
    <cellStyle name="Pénznem [0]_Cable" xfId="3699" xr:uid="{00000000-0005-0000-0000-0000B20E0000}"/>
    <cellStyle name="Pénznem_Cable" xfId="3700" xr:uid="{00000000-0005-0000-0000-0000B30E0000}"/>
    <cellStyle name="per.style" xfId="3701" xr:uid="{00000000-0005-0000-0000-0000B40E0000}"/>
    <cellStyle name="Percent [0]" xfId="3702" xr:uid="{00000000-0005-0000-0000-0000B60E0000}"/>
    <cellStyle name="Percent [0] 2" xfId="3703" xr:uid="{00000000-0005-0000-0000-0000B70E0000}"/>
    <cellStyle name="Percent [00]" xfId="3704" xr:uid="{00000000-0005-0000-0000-0000B80E0000}"/>
    <cellStyle name="Percent [00] 2" xfId="3705" xr:uid="{00000000-0005-0000-0000-0000B90E0000}"/>
    <cellStyle name="Percent [1]" xfId="3706" xr:uid="{00000000-0005-0000-0000-0000BA0E0000}"/>
    <cellStyle name="Percent [2]" xfId="3707" xr:uid="{00000000-0005-0000-0000-0000BB0E0000}"/>
    <cellStyle name="Percent 0" xfId="3708" xr:uid="{00000000-0005-0000-0000-0000BC0E0000}"/>
    <cellStyle name="Percent 0,00" xfId="3709" xr:uid="{00000000-0005-0000-0000-0000BD0E0000}"/>
    <cellStyle name="Percent 0_7.2.3. CAPEX" xfId="3710" xr:uid="{00000000-0005-0000-0000-0000BE0E0000}"/>
    <cellStyle name="Percent 10" xfId="3711" xr:uid="{00000000-0005-0000-0000-0000BF0E0000}"/>
    <cellStyle name="Percent 11" xfId="3712" xr:uid="{00000000-0005-0000-0000-0000C00E0000}"/>
    <cellStyle name="Percent 12" xfId="4316" xr:uid="{00000000-0005-0000-0000-0000C10E0000}"/>
    <cellStyle name="Percent 12 2" xfId="4363" xr:uid="{00000000-0005-0000-0000-0000C20E0000}"/>
    <cellStyle name="Percent 13" xfId="8" xr:uid="{00000000-0005-0000-0000-0000E80E0000}"/>
    <cellStyle name="Percent 2" xfId="11" xr:uid="{00000000-0005-0000-0000-0000C30E0000}"/>
    <cellStyle name="Percent 2 2" xfId="3713" xr:uid="{00000000-0005-0000-0000-0000C40E0000}"/>
    <cellStyle name="Percent 2 3" xfId="3714" xr:uid="{00000000-0005-0000-0000-0000C50E0000}"/>
    <cellStyle name="Percent 3" xfId="3715" xr:uid="{00000000-0005-0000-0000-0000C60E0000}"/>
    <cellStyle name="Percent 3 2" xfId="3716" xr:uid="{00000000-0005-0000-0000-0000C70E0000}"/>
    <cellStyle name="Percent 3 2 2" xfId="3717" xr:uid="{00000000-0005-0000-0000-0000C80E0000}"/>
    <cellStyle name="Percent 3 2 2 2" xfId="3718" xr:uid="{00000000-0005-0000-0000-0000C90E0000}"/>
    <cellStyle name="Percent 3 2 2 3" xfId="3719" xr:uid="{00000000-0005-0000-0000-0000CA0E0000}"/>
    <cellStyle name="Percent 3 2 3" xfId="3720" xr:uid="{00000000-0005-0000-0000-0000CB0E0000}"/>
    <cellStyle name="Percent 3 2 4" xfId="3721" xr:uid="{00000000-0005-0000-0000-0000CC0E0000}"/>
    <cellStyle name="Percent 3 3" xfId="3722" xr:uid="{00000000-0005-0000-0000-0000CD0E0000}"/>
    <cellStyle name="Percent 3 4" xfId="3723" xr:uid="{00000000-0005-0000-0000-0000CE0E0000}"/>
    <cellStyle name="Percent 3 4 2" xfId="3724" xr:uid="{00000000-0005-0000-0000-0000CF0E0000}"/>
    <cellStyle name="Percent 3 4 3" xfId="3725" xr:uid="{00000000-0005-0000-0000-0000D00E0000}"/>
    <cellStyle name="Percent 3 5" xfId="3726" xr:uid="{00000000-0005-0000-0000-0000D10E0000}"/>
    <cellStyle name="Percent 4" xfId="3727" xr:uid="{00000000-0005-0000-0000-0000D20E0000}"/>
    <cellStyle name="Percent 5" xfId="3728" xr:uid="{00000000-0005-0000-0000-0000D30E0000}"/>
    <cellStyle name="Percent 6" xfId="3729" xr:uid="{00000000-0005-0000-0000-0000D40E0000}"/>
    <cellStyle name="Percent 7" xfId="3730" xr:uid="{00000000-0005-0000-0000-0000D50E0000}"/>
    <cellStyle name="Percent 8" xfId="3731" xr:uid="{00000000-0005-0000-0000-0000D60E0000}"/>
    <cellStyle name="Percent 9" xfId="3732" xr:uid="{00000000-0005-0000-0000-0000D70E0000}"/>
    <cellStyle name="Percent Hard" xfId="3733" xr:uid="{00000000-0005-0000-0000-0000D80E0000}"/>
    <cellStyle name="Percent0Dec" xfId="3734" xr:uid="{00000000-0005-0000-0000-0000D90E0000}"/>
    <cellStyle name="Percent2Dec" xfId="3735" xr:uid="{00000000-0005-0000-0000-0000DA0E0000}"/>
    <cellStyle name="percentage" xfId="3736" xr:uid="{00000000-0005-0000-0000-0000DB0E0000}"/>
    <cellStyle name="Percento" xfId="3737" xr:uid="{00000000-0005-0000-0000-0000DC0E0000}"/>
    <cellStyle name="PercentSales" xfId="3738" xr:uid="{00000000-0005-0000-0000-0000DD0E0000}"/>
    <cellStyle name="PillarData" xfId="3739" xr:uid="{00000000-0005-0000-0000-0000DE0E0000}"/>
    <cellStyle name="PillarHeading" xfId="3740" xr:uid="{00000000-0005-0000-0000-0000DF0E0000}"/>
    <cellStyle name="PillarText" xfId="3741" xr:uid="{00000000-0005-0000-0000-0000E00E0000}"/>
    <cellStyle name="PillarTotal" xfId="3742" xr:uid="{00000000-0005-0000-0000-0000E10E0000}"/>
    <cellStyle name="Pourcentage_losses 2005 04" xfId="3743" xr:uid="{00000000-0005-0000-0000-0000E20E0000}"/>
    <cellStyle name="Precent" xfId="3744" xr:uid="{00000000-0005-0000-0000-0000E30E0000}"/>
    <cellStyle name="PrePop Currency (0)" xfId="3745" xr:uid="{00000000-0005-0000-0000-0000E40E0000}"/>
    <cellStyle name="PrePop Currency (0) 2" xfId="3746" xr:uid="{00000000-0005-0000-0000-0000E50E0000}"/>
    <cellStyle name="PrePop Currency (2)" xfId="3747" xr:uid="{00000000-0005-0000-0000-0000E60E0000}"/>
    <cellStyle name="PrePop Currency (2) 2" xfId="3748" xr:uid="{00000000-0005-0000-0000-0000E70E0000}"/>
    <cellStyle name="PrePop Units (0)" xfId="3749" xr:uid="{00000000-0005-0000-0000-0000E80E0000}"/>
    <cellStyle name="PrePop Units (0) 2" xfId="3750" xr:uid="{00000000-0005-0000-0000-0000E90E0000}"/>
    <cellStyle name="PrePop Units (1)" xfId="3751" xr:uid="{00000000-0005-0000-0000-0000EA0E0000}"/>
    <cellStyle name="PrePop Units (1) 2" xfId="3752" xr:uid="{00000000-0005-0000-0000-0000EB0E0000}"/>
    <cellStyle name="PrePop Units (2)" xfId="3753" xr:uid="{00000000-0005-0000-0000-0000EC0E0000}"/>
    <cellStyle name="PrePop Units (2) 2" xfId="3754" xr:uid="{00000000-0005-0000-0000-0000ED0E0000}"/>
    <cellStyle name="Pricelist" xfId="3755" xr:uid="{00000000-0005-0000-0000-0000EE0E0000}"/>
    <cellStyle name="pricing" xfId="3756" xr:uid="{00000000-0005-0000-0000-0000EF0E0000}"/>
    <cellStyle name="pricing 2" xfId="3757" xr:uid="{00000000-0005-0000-0000-0000F00E0000}"/>
    <cellStyle name="Product Title" xfId="3758" xr:uid="{00000000-0005-0000-0000-0000F10E0000}"/>
    <cellStyle name="Product Title 10" xfId="3759" xr:uid="{00000000-0005-0000-0000-0000F20E0000}"/>
    <cellStyle name="Product Title 11" xfId="3760" xr:uid="{00000000-0005-0000-0000-0000F30E0000}"/>
    <cellStyle name="Product Title 12" xfId="3761" xr:uid="{00000000-0005-0000-0000-0000F40E0000}"/>
    <cellStyle name="Product Title 2" xfId="3762" xr:uid="{00000000-0005-0000-0000-0000F50E0000}"/>
    <cellStyle name="Product Title 3" xfId="3763" xr:uid="{00000000-0005-0000-0000-0000F60E0000}"/>
    <cellStyle name="Product Title 4" xfId="3764" xr:uid="{00000000-0005-0000-0000-0000F70E0000}"/>
    <cellStyle name="Product Title 5" xfId="3765" xr:uid="{00000000-0005-0000-0000-0000F80E0000}"/>
    <cellStyle name="Product Title 6" xfId="3766" xr:uid="{00000000-0005-0000-0000-0000F90E0000}"/>
    <cellStyle name="Product Title 7" xfId="3767" xr:uid="{00000000-0005-0000-0000-0000FA0E0000}"/>
    <cellStyle name="Product Title 8" xfId="3768" xr:uid="{00000000-0005-0000-0000-0000FB0E0000}"/>
    <cellStyle name="Product Title 9" xfId="3769" xr:uid="{00000000-0005-0000-0000-0000FC0E0000}"/>
    <cellStyle name="Prozent +line" xfId="3770" xr:uid="{00000000-0005-0000-0000-0000FD0E0000}"/>
    <cellStyle name="Prozent(+line)" xfId="3771" xr:uid="{00000000-0005-0000-0000-0000FE0E0000}"/>
    <cellStyle name="Prozent_7.2.3. CAPEX" xfId="3772" xr:uid="{00000000-0005-0000-0000-0000FF0E0000}"/>
    <cellStyle name="PSChar" xfId="3773" xr:uid="{00000000-0005-0000-0000-0000000F0000}"/>
    <cellStyle name="PSDate" xfId="3774" xr:uid="{00000000-0005-0000-0000-0000010F0000}"/>
    <cellStyle name="PSDec" xfId="3775" xr:uid="{00000000-0005-0000-0000-0000020F0000}"/>
    <cellStyle name="PSHeading" xfId="3776" xr:uid="{00000000-0005-0000-0000-0000030F0000}"/>
    <cellStyle name="PSInt" xfId="3777" xr:uid="{00000000-0005-0000-0000-0000040F0000}"/>
    <cellStyle name="PSSpacer" xfId="3778" xr:uid="{00000000-0005-0000-0000-0000050F0000}"/>
    <cellStyle name="Red font" xfId="3779" xr:uid="{00000000-0005-0000-0000-0000060F0000}"/>
    <cellStyle name="réel" xfId="3780" xr:uid="{00000000-0005-0000-0000-0000070F0000}"/>
    <cellStyle name="Reference" xfId="3781" xr:uid="{00000000-0005-0000-0000-0000080F0000}"/>
    <cellStyle name="Reference (O%)" xfId="3782" xr:uid="{00000000-0005-0000-0000-0000090F0000}"/>
    <cellStyle name="Reference (O%) 10" xfId="3783" xr:uid="{00000000-0005-0000-0000-00000A0F0000}"/>
    <cellStyle name="Reference (O%) 11" xfId="3784" xr:uid="{00000000-0005-0000-0000-00000B0F0000}"/>
    <cellStyle name="Reference (O%) 12" xfId="3785" xr:uid="{00000000-0005-0000-0000-00000C0F0000}"/>
    <cellStyle name="Reference (O%) 2" xfId="3786" xr:uid="{00000000-0005-0000-0000-00000D0F0000}"/>
    <cellStyle name="Reference (O%) 3" xfId="3787" xr:uid="{00000000-0005-0000-0000-00000E0F0000}"/>
    <cellStyle name="Reference (O%) 4" xfId="3788" xr:uid="{00000000-0005-0000-0000-00000F0F0000}"/>
    <cellStyle name="Reference (O%) 5" xfId="3789" xr:uid="{00000000-0005-0000-0000-0000100F0000}"/>
    <cellStyle name="Reference (O%) 6" xfId="3790" xr:uid="{00000000-0005-0000-0000-0000110F0000}"/>
    <cellStyle name="Reference (O%) 7" xfId="3791" xr:uid="{00000000-0005-0000-0000-0000120F0000}"/>
    <cellStyle name="Reference (O%) 8" xfId="3792" xr:uid="{00000000-0005-0000-0000-0000130F0000}"/>
    <cellStyle name="Reference (O%) 9" xfId="3793" xr:uid="{00000000-0005-0000-0000-0000140F0000}"/>
    <cellStyle name="Reference [00]" xfId="3794" xr:uid="{00000000-0005-0000-0000-0000150F0000}"/>
    <cellStyle name="Reference [00] 10" xfId="3795" xr:uid="{00000000-0005-0000-0000-0000160F0000}"/>
    <cellStyle name="Reference [00] 11" xfId="3796" xr:uid="{00000000-0005-0000-0000-0000170F0000}"/>
    <cellStyle name="Reference [00] 12" xfId="3797" xr:uid="{00000000-0005-0000-0000-0000180F0000}"/>
    <cellStyle name="Reference [00] 2" xfId="3798" xr:uid="{00000000-0005-0000-0000-0000190F0000}"/>
    <cellStyle name="Reference [00] 3" xfId="3799" xr:uid="{00000000-0005-0000-0000-00001A0F0000}"/>
    <cellStyle name="Reference [00] 4" xfId="3800" xr:uid="{00000000-0005-0000-0000-00001B0F0000}"/>
    <cellStyle name="Reference [00] 5" xfId="3801" xr:uid="{00000000-0005-0000-0000-00001C0F0000}"/>
    <cellStyle name="Reference [00] 6" xfId="3802" xr:uid="{00000000-0005-0000-0000-00001D0F0000}"/>
    <cellStyle name="Reference [00] 7" xfId="3803" xr:uid="{00000000-0005-0000-0000-00001E0F0000}"/>
    <cellStyle name="Reference [00] 8" xfId="3804" xr:uid="{00000000-0005-0000-0000-00001F0F0000}"/>
    <cellStyle name="Reference [00] 9" xfId="3805" xr:uid="{00000000-0005-0000-0000-0000200F0000}"/>
    <cellStyle name="Reference 10" xfId="3806" xr:uid="{00000000-0005-0000-0000-0000210F0000}"/>
    <cellStyle name="Reference 11" xfId="3807" xr:uid="{00000000-0005-0000-0000-0000220F0000}"/>
    <cellStyle name="Reference 12" xfId="3808" xr:uid="{00000000-0005-0000-0000-0000230F0000}"/>
    <cellStyle name="Reference 2" xfId="3809" xr:uid="{00000000-0005-0000-0000-0000240F0000}"/>
    <cellStyle name="Reference 3" xfId="3810" xr:uid="{00000000-0005-0000-0000-0000250F0000}"/>
    <cellStyle name="Reference 4" xfId="3811" xr:uid="{00000000-0005-0000-0000-0000260F0000}"/>
    <cellStyle name="Reference 5" xfId="3812" xr:uid="{00000000-0005-0000-0000-0000270F0000}"/>
    <cellStyle name="Reference 6" xfId="3813" xr:uid="{00000000-0005-0000-0000-0000280F0000}"/>
    <cellStyle name="Reference 7" xfId="3814" xr:uid="{00000000-0005-0000-0000-0000290F0000}"/>
    <cellStyle name="Reference 8" xfId="3815" xr:uid="{00000000-0005-0000-0000-00002A0F0000}"/>
    <cellStyle name="Reference 9" xfId="3816" xr:uid="{00000000-0005-0000-0000-00002B0F0000}"/>
    <cellStyle name="Reference_Form CC 1 2 4 June 05" xfId="3817" xr:uid="{00000000-0005-0000-0000-00002C0F0000}"/>
    <cellStyle name="regstoresfromspecstores" xfId="3818" xr:uid="{00000000-0005-0000-0000-00002D0F0000}"/>
    <cellStyle name="ReportTitlePrompt" xfId="3819" xr:uid="{00000000-0005-0000-0000-00002E0F0000}"/>
    <cellStyle name="ReportTitleValue" xfId="3820" xr:uid="{00000000-0005-0000-0000-00002F0F0000}"/>
    <cellStyle name="RevList" xfId="3821" xr:uid="{00000000-0005-0000-0000-0000300F0000}"/>
    <cellStyle name="RevList 2" xfId="3822" xr:uid="{00000000-0005-0000-0000-0000310F0000}"/>
    <cellStyle name="Row Ignore" xfId="3823" xr:uid="{00000000-0005-0000-0000-0000320F0000}"/>
    <cellStyle name="Row Ignore 10" xfId="3824" xr:uid="{00000000-0005-0000-0000-0000330F0000}"/>
    <cellStyle name="Row Ignore 11" xfId="3825" xr:uid="{00000000-0005-0000-0000-0000340F0000}"/>
    <cellStyle name="Row Ignore 12" xfId="3826" xr:uid="{00000000-0005-0000-0000-0000350F0000}"/>
    <cellStyle name="Row Ignore 2" xfId="3827" xr:uid="{00000000-0005-0000-0000-0000360F0000}"/>
    <cellStyle name="Row Ignore 3" xfId="3828" xr:uid="{00000000-0005-0000-0000-0000370F0000}"/>
    <cellStyle name="Row Ignore 4" xfId="3829" xr:uid="{00000000-0005-0000-0000-0000380F0000}"/>
    <cellStyle name="Row Ignore 5" xfId="3830" xr:uid="{00000000-0005-0000-0000-0000390F0000}"/>
    <cellStyle name="Row Ignore 6" xfId="3831" xr:uid="{00000000-0005-0000-0000-00003A0F0000}"/>
    <cellStyle name="Row Ignore 7" xfId="3832" xr:uid="{00000000-0005-0000-0000-00003B0F0000}"/>
    <cellStyle name="Row Ignore 8" xfId="3833" xr:uid="{00000000-0005-0000-0000-00003C0F0000}"/>
    <cellStyle name="Row Ignore 9" xfId="3834" xr:uid="{00000000-0005-0000-0000-00003D0F0000}"/>
    <cellStyle name="Row Title 1" xfId="3835" xr:uid="{00000000-0005-0000-0000-00003E0F0000}"/>
    <cellStyle name="Row Title 2" xfId="3836" xr:uid="{00000000-0005-0000-0000-00003F0F0000}"/>
    <cellStyle name="Row Title 3" xfId="3837" xr:uid="{00000000-0005-0000-0000-0000400F0000}"/>
    <cellStyle name="Row Total" xfId="3838" xr:uid="{00000000-0005-0000-0000-0000410F0000}"/>
    <cellStyle name="RowAcctAbovePrompt" xfId="3839" xr:uid="{00000000-0005-0000-0000-0000420F0000}"/>
    <cellStyle name="RowAcctSOBAbovePrompt" xfId="3840" xr:uid="{00000000-0005-0000-0000-0000430F0000}"/>
    <cellStyle name="RowAcctSOBValue" xfId="3841" xr:uid="{00000000-0005-0000-0000-0000440F0000}"/>
    <cellStyle name="RowAcctValue" xfId="3842" xr:uid="{00000000-0005-0000-0000-0000450F0000}"/>
    <cellStyle name="RowAttrAbovePrompt" xfId="3843" xr:uid="{00000000-0005-0000-0000-0000460F0000}"/>
    <cellStyle name="RowAttrValue" xfId="3844" xr:uid="{00000000-0005-0000-0000-0000470F0000}"/>
    <cellStyle name="RowColSetAbovePrompt" xfId="3845" xr:uid="{00000000-0005-0000-0000-0000480F0000}"/>
    <cellStyle name="RowColSetLeftPrompt" xfId="3846" xr:uid="{00000000-0005-0000-0000-0000490F0000}"/>
    <cellStyle name="RowColSetValue" xfId="3847" xr:uid="{00000000-0005-0000-0000-00004A0F0000}"/>
    <cellStyle name="RowHeader_Indent3" xfId="3848" xr:uid="{00000000-0005-0000-0000-00004B0F0000}"/>
    <cellStyle name="RowLeftPrompt" xfId="3849" xr:uid="{00000000-0005-0000-0000-00004C0F0000}"/>
    <cellStyle name="RowLevel_0" xfId="3850" xr:uid="{00000000-0005-0000-0000-00004D0F0000}"/>
    <cellStyle name="Saisie" xfId="3851" xr:uid="{00000000-0005-0000-0000-00004E0F0000}"/>
    <cellStyle name="Salomon Logo" xfId="3852" xr:uid="{00000000-0005-0000-0000-00004F0F0000}"/>
    <cellStyle name="SampleUsingFormatMask" xfId="3853" xr:uid="{00000000-0005-0000-0000-0000500F0000}"/>
    <cellStyle name="SampleWithNoFormatMask" xfId="3854" xr:uid="{00000000-0005-0000-0000-0000510F0000}"/>
    <cellStyle name="SectionHeaderNormal" xfId="3855" xr:uid="{00000000-0005-0000-0000-0000520F0000}"/>
    <cellStyle name="Shade on" xfId="3856" xr:uid="{00000000-0005-0000-0000-0000530F0000}"/>
    <cellStyle name="Shaded" xfId="3857" xr:uid="{00000000-0005-0000-0000-0000540F0000}"/>
    <cellStyle name="SHADEDSTORES" xfId="3858" xr:uid="{00000000-0005-0000-0000-0000550F0000}"/>
    <cellStyle name="ShOut" xfId="3859" xr:uid="{00000000-0005-0000-0000-0000560F0000}"/>
    <cellStyle name="Simbolo" xfId="3860" xr:uid="{00000000-0005-0000-0000-0000570F0000}"/>
    <cellStyle name="single" xfId="3861" xr:uid="{00000000-0005-0000-0000-0000580F0000}"/>
    <cellStyle name="Single Accounting" xfId="3862" xr:uid="{00000000-0005-0000-0000-0000590F0000}"/>
    <cellStyle name="Single Cell Column Heading" xfId="3863" xr:uid="{00000000-0005-0000-0000-00005A0F0000}"/>
    <cellStyle name="specstores" xfId="3864" xr:uid="{00000000-0005-0000-0000-00005B0F0000}"/>
    <cellStyle name="Standaard_Residential" xfId="3865" xr:uid="{00000000-0005-0000-0000-00005C0F0000}"/>
    <cellStyle name="Standard" xfId="3866" xr:uid="{00000000-0005-0000-0000-00005D0F0000}"/>
    <cellStyle name="Standard format" xfId="3867" xr:uid="{00000000-0005-0000-0000-00005E0F0000}"/>
    <cellStyle name="Standard_GRPK2005_Q1 - YTD - v2" xfId="3868" xr:uid="{00000000-0005-0000-0000-00005F0F0000}"/>
    <cellStyle name="STIL1 - Style1" xfId="3869" xr:uid="{00000000-0005-0000-0000-0000600F0000}"/>
    <cellStyle name="Style 1" xfId="3870" xr:uid="{00000000-0005-0000-0000-0000610F0000}"/>
    <cellStyle name="Style 1 2" xfId="3871" xr:uid="{00000000-0005-0000-0000-0000620F0000}"/>
    <cellStyle name="Style 1 3" xfId="3872" xr:uid="{00000000-0005-0000-0000-0000630F0000}"/>
    <cellStyle name="Style 1_Cashflow Q1 CY09" xfId="3873" xr:uid="{00000000-0005-0000-0000-0000640F0000}"/>
    <cellStyle name="Style 2" xfId="3874" xr:uid="{00000000-0005-0000-0000-0000650F0000}"/>
    <cellStyle name="Style 2B" xfId="3875" xr:uid="{00000000-0005-0000-0000-0000660F0000}"/>
    <cellStyle name="Style 3" xfId="3876" xr:uid="{00000000-0005-0000-0000-0000670F0000}"/>
    <cellStyle name="Style 4" xfId="3877" xr:uid="{00000000-0005-0000-0000-0000680F0000}"/>
    <cellStyle name="SubScript" xfId="3878" xr:uid="{00000000-0005-0000-0000-0000690F0000}"/>
    <cellStyle name="SubTitle" xfId="3879" xr:uid="{00000000-0005-0000-0000-00006A0F0000}"/>
    <cellStyle name="Subtotal" xfId="3880" xr:uid="{00000000-0005-0000-0000-00006B0F0000}"/>
    <cellStyle name="Subtotal 2" xfId="3881" xr:uid="{00000000-0005-0000-0000-00006C0F0000}"/>
    <cellStyle name="summary info only" xfId="3882" xr:uid="{00000000-0005-0000-0000-00006D0F0000}"/>
    <cellStyle name="Summe" xfId="3883" xr:uid="{00000000-0005-0000-0000-00006E0F0000}"/>
    <cellStyle name="SuperScript" xfId="3884" xr:uid="{00000000-0005-0000-0000-00006F0F0000}"/>
    <cellStyle name="Table Col Head" xfId="3885" xr:uid="{00000000-0005-0000-0000-0000700F0000}"/>
    <cellStyle name="Table Head" xfId="3886" xr:uid="{00000000-0005-0000-0000-0000710F0000}"/>
    <cellStyle name="Table Head Aligned" xfId="3887" xr:uid="{00000000-0005-0000-0000-0000720F0000}"/>
    <cellStyle name="Table Head Blue" xfId="3888" xr:uid="{00000000-0005-0000-0000-0000730F0000}"/>
    <cellStyle name="Table Head Green" xfId="3889" xr:uid="{00000000-0005-0000-0000-0000740F0000}"/>
    <cellStyle name="Table Head_Val_Sum_Graph" xfId="3890" xr:uid="{00000000-0005-0000-0000-0000750F0000}"/>
    <cellStyle name="Table Sub Head" xfId="3891" xr:uid="{00000000-0005-0000-0000-0000760F0000}"/>
    <cellStyle name="Table Text" xfId="3892" xr:uid="{00000000-0005-0000-0000-0000770F0000}"/>
    <cellStyle name="Table Title" xfId="3893" xr:uid="{00000000-0005-0000-0000-0000780F0000}"/>
    <cellStyle name="Table Units" xfId="3894" xr:uid="{00000000-0005-0000-0000-0000790F0000}"/>
    <cellStyle name="Table_Header" xfId="3895" xr:uid="{00000000-0005-0000-0000-00007A0F0000}"/>
    <cellStyle name="Tariff" xfId="3896" xr:uid="{00000000-0005-0000-0000-00007B0F0000}"/>
    <cellStyle name="task" xfId="3897" xr:uid="{00000000-0005-0000-0000-00007C0F0000}"/>
    <cellStyle name="TCAM" xfId="3898" xr:uid="{00000000-0005-0000-0000-00007D0F0000}"/>
    <cellStyle name="TDM" xfId="3899" xr:uid="{00000000-0005-0000-0000-00007E0F0000}"/>
    <cellStyle name="Testo" xfId="3900" xr:uid="{00000000-0005-0000-0000-00007F0F0000}"/>
    <cellStyle name="Text" xfId="3901" xr:uid="{00000000-0005-0000-0000-0000800F0000}"/>
    <cellStyle name="Text 1" xfId="3902" xr:uid="{00000000-0005-0000-0000-0000810F0000}"/>
    <cellStyle name="Text 10" xfId="3903" xr:uid="{00000000-0005-0000-0000-0000820F0000}"/>
    <cellStyle name="Text 11" xfId="3904" xr:uid="{00000000-0005-0000-0000-0000830F0000}"/>
    <cellStyle name="Text 12" xfId="3905" xr:uid="{00000000-0005-0000-0000-0000840F0000}"/>
    <cellStyle name="Text 2" xfId="3906" xr:uid="{00000000-0005-0000-0000-0000850F0000}"/>
    <cellStyle name="Text 3" xfId="3907" xr:uid="{00000000-0005-0000-0000-0000860F0000}"/>
    <cellStyle name="Text 4" xfId="3908" xr:uid="{00000000-0005-0000-0000-0000870F0000}"/>
    <cellStyle name="Text 5" xfId="3909" xr:uid="{00000000-0005-0000-0000-0000880F0000}"/>
    <cellStyle name="Text 6" xfId="3910" xr:uid="{00000000-0005-0000-0000-0000890F0000}"/>
    <cellStyle name="Text 7" xfId="3911" xr:uid="{00000000-0005-0000-0000-00008A0F0000}"/>
    <cellStyle name="Text 8" xfId="3912" xr:uid="{00000000-0005-0000-0000-00008B0F0000}"/>
    <cellStyle name="Text 9" xfId="3913" xr:uid="{00000000-0005-0000-0000-00008C0F0000}"/>
    <cellStyle name="Text Head 1" xfId="3914" xr:uid="{00000000-0005-0000-0000-00008D0F0000}"/>
    <cellStyle name="Text Indent A" xfId="3915" xr:uid="{00000000-0005-0000-0000-00008E0F0000}"/>
    <cellStyle name="Text Indent B" xfId="3916" xr:uid="{00000000-0005-0000-0000-00008F0F0000}"/>
    <cellStyle name="Text Indent B 2" xfId="3917" xr:uid="{00000000-0005-0000-0000-0000900F0000}"/>
    <cellStyle name="Text Indent C" xfId="3918" xr:uid="{00000000-0005-0000-0000-0000910F0000}"/>
    <cellStyle name="Text Indent C 2" xfId="3919" xr:uid="{00000000-0005-0000-0000-0000920F0000}"/>
    <cellStyle name="Text Level 1" xfId="3920" xr:uid="{00000000-0005-0000-0000-0000930F0000}"/>
    <cellStyle name="Text Level 2" xfId="3921" xr:uid="{00000000-0005-0000-0000-0000940F0000}"/>
    <cellStyle name="Text Level 3" xfId="3922" xr:uid="{00000000-0005-0000-0000-0000950F0000}"/>
    <cellStyle name="Text Level 4" xfId="3923" xr:uid="{00000000-0005-0000-0000-0000960F0000}"/>
    <cellStyle name="Text Wrap" xfId="3924" xr:uid="{00000000-0005-0000-0000-0000970F0000}"/>
    <cellStyle name="Text_Income statement 2005.06" xfId="3925" xr:uid="{00000000-0005-0000-0000-0000980F0000}"/>
    <cellStyle name="TextBold" xfId="3926" xr:uid="{00000000-0005-0000-0000-0000990F0000}"/>
    <cellStyle name="TextItalic" xfId="3927" xr:uid="{00000000-0005-0000-0000-00009A0F0000}"/>
    <cellStyle name="TextNormal" xfId="3928" xr:uid="{00000000-0005-0000-0000-00009B0F0000}"/>
    <cellStyle name="TFCF" xfId="3929" xr:uid="{00000000-0005-0000-0000-00009C0F0000}"/>
    <cellStyle name="Thousands" xfId="3930" xr:uid="{00000000-0005-0000-0000-00009D0F0000}"/>
    <cellStyle name="Times 10" xfId="3931" xr:uid="{00000000-0005-0000-0000-00009E0F0000}"/>
    <cellStyle name="Times 12" xfId="3932" xr:uid="{00000000-0005-0000-0000-00009F0F0000}"/>
    <cellStyle name="Title 10" xfId="3933" xr:uid="{00000000-0005-0000-0000-0000A00F0000}"/>
    <cellStyle name="Title 10 2" xfId="3934" xr:uid="{00000000-0005-0000-0000-0000A10F0000}"/>
    <cellStyle name="Title 10 3" xfId="3935" xr:uid="{00000000-0005-0000-0000-0000A20F0000}"/>
    <cellStyle name="Title 10 4" xfId="3936" xr:uid="{00000000-0005-0000-0000-0000A30F0000}"/>
    <cellStyle name="Title 11" xfId="3937" xr:uid="{00000000-0005-0000-0000-0000A40F0000}"/>
    <cellStyle name="Title 11 2" xfId="3938" xr:uid="{00000000-0005-0000-0000-0000A50F0000}"/>
    <cellStyle name="Title 11 3" xfId="3939" xr:uid="{00000000-0005-0000-0000-0000A60F0000}"/>
    <cellStyle name="Title 11 4" xfId="3940" xr:uid="{00000000-0005-0000-0000-0000A70F0000}"/>
    <cellStyle name="Title 12" xfId="3941" xr:uid="{00000000-0005-0000-0000-0000A80F0000}"/>
    <cellStyle name="Title 12 2" xfId="3942" xr:uid="{00000000-0005-0000-0000-0000A90F0000}"/>
    <cellStyle name="Title 12 3" xfId="3943" xr:uid="{00000000-0005-0000-0000-0000AA0F0000}"/>
    <cellStyle name="Title 12 4" xfId="3944" xr:uid="{00000000-0005-0000-0000-0000AB0F0000}"/>
    <cellStyle name="Title 13" xfId="3945" xr:uid="{00000000-0005-0000-0000-0000AC0F0000}"/>
    <cellStyle name="Title 13 2" xfId="3946" xr:uid="{00000000-0005-0000-0000-0000AD0F0000}"/>
    <cellStyle name="Title 13 3" xfId="3947" xr:uid="{00000000-0005-0000-0000-0000AE0F0000}"/>
    <cellStyle name="Title 13 4" xfId="3948" xr:uid="{00000000-0005-0000-0000-0000AF0F0000}"/>
    <cellStyle name="Title 14" xfId="3949" xr:uid="{00000000-0005-0000-0000-0000B00F0000}"/>
    <cellStyle name="Title 14 2" xfId="3950" xr:uid="{00000000-0005-0000-0000-0000B10F0000}"/>
    <cellStyle name="Title 14 3" xfId="3951" xr:uid="{00000000-0005-0000-0000-0000B20F0000}"/>
    <cellStyle name="Title 14 4" xfId="3952" xr:uid="{00000000-0005-0000-0000-0000B30F0000}"/>
    <cellStyle name="Title 15" xfId="3953" xr:uid="{00000000-0005-0000-0000-0000B40F0000}"/>
    <cellStyle name="Title 15 2" xfId="3954" xr:uid="{00000000-0005-0000-0000-0000B50F0000}"/>
    <cellStyle name="Title 15 3" xfId="3955" xr:uid="{00000000-0005-0000-0000-0000B60F0000}"/>
    <cellStyle name="Title 15 4" xfId="3956" xr:uid="{00000000-0005-0000-0000-0000B70F0000}"/>
    <cellStyle name="Title 16" xfId="3957" xr:uid="{00000000-0005-0000-0000-0000B80F0000}"/>
    <cellStyle name="Title 17" xfId="3958" xr:uid="{00000000-0005-0000-0000-0000B90F0000}"/>
    <cellStyle name="Title 18" xfId="3959" xr:uid="{00000000-0005-0000-0000-0000BA0F0000}"/>
    <cellStyle name="Title 19" xfId="3960" xr:uid="{00000000-0005-0000-0000-0000BB0F0000}"/>
    <cellStyle name="Title 2" xfId="3961" xr:uid="{00000000-0005-0000-0000-0000BC0F0000}"/>
    <cellStyle name="Title 2 10" xfId="3962" xr:uid="{00000000-0005-0000-0000-0000BD0F0000}"/>
    <cellStyle name="Title 2 10 2" xfId="3963" xr:uid="{00000000-0005-0000-0000-0000BE0F0000}"/>
    <cellStyle name="Title 2 11" xfId="3964" xr:uid="{00000000-0005-0000-0000-0000BF0F0000}"/>
    <cellStyle name="Title 2 12" xfId="3965" xr:uid="{00000000-0005-0000-0000-0000C00F0000}"/>
    <cellStyle name="Title 2 13" xfId="3966" xr:uid="{00000000-0005-0000-0000-0000C10F0000}"/>
    <cellStyle name="Title 2 14" xfId="3967" xr:uid="{00000000-0005-0000-0000-0000C20F0000}"/>
    <cellStyle name="Title 2 15" xfId="3968" xr:uid="{00000000-0005-0000-0000-0000C30F0000}"/>
    <cellStyle name="Title 2 2" xfId="3969" xr:uid="{00000000-0005-0000-0000-0000C40F0000}"/>
    <cellStyle name="Title 2 3" xfId="3970" xr:uid="{00000000-0005-0000-0000-0000C50F0000}"/>
    <cellStyle name="Title 2 4" xfId="3971" xr:uid="{00000000-0005-0000-0000-0000C60F0000}"/>
    <cellStyle name="Title 2 5" xfId="3972" xr:uid="{00000000-0005-0000-0000-0000C70F0000}"/>
    <cellStyle name="Title 2 6" xfId="3973" xr:uid="{00000000-0005-0000-0000-0000C80F0000}"/>
    <cellStyle name="Title 2 7" xfId="3974" xr:uid="{00000000-0005-0000-0000-0000C90F0000}"/>
    <cellStyle name="Title 2 8" xfId="3975" xr:uid="{00000000-0005-0000-0000-0000CA0F0000}"/>
    <cellStyle name="Title 2 9" xfId="3976" xr:uid="{00000000-0005-0000-0000-0000CB0F0000}"/>
    <cellStyle name="Title 20" xfId="4355" xr:uid="{00000000-0005-0000-0000-0000CC0F0000}"/>
    <cellStyle name="Title 3" xfId="3977" xr:uid="{00000000-0005-0000-0000-0000CD0F0000}"/>
    <cellStyle name="Title 3 2" xfId="3978" xr:uid="{00000000-0005-0000-0000-0000CE0F0000}"/>
    <cellStyle name="Title 3 2 2" xfId="3979" xr:uid="{00000000-0005-0000-0000-0000CF0F0000}"/>
    <cellStyle name="Title 3 2 3" xfId="3980" xr:uid="{00000000-0005-0000-0000-0000D00F0000}"/>
    <cellStyle name="Title 3 3" xfId="3981" xr:uid="{00000000-0005-0000-0000-0000D10F0000}"/>
    <cellStyle name="Title 3 4" xfId="3982" xr:uid="{00000000-0005-0000-0000-0000D20F0000}"/>
    <cellStyle name="Title 3 5" xfId="3983" xr:uid="{00000000-0005-0000-0000-0000D30F0000}"/>
    <cellStyle name="Title 3 5 2" xfId="3984" xr:uid="{00000000-0005-0000-0000-0000D40F0000}"/>
    <cellStyle name="Title 3 6" xfId="3985" xr:uid="{00000000-0005-0000-0000-0000D50F0000}"/>
    <cellStyle name="Title 3 7" xfId="3986" xr:uid="{00000000-0005-0000-0000-0000D60F0000}"/>
    <cellStyle name="Title 3 8" xfId="3987" xr:uid="{00000000-0005-0000-0000-0000D70F0000}"/>
    <cellStyle name="Title 3 9" xfId="3988" xr:uid="{00000000-0005-0000-0000-0000D80F0000}"/>
    <cellStyle name="Title 4" xfId="3989" xr:uid="{00000000-0005-0000-0000-0000D90F0000}"/>
    <cellStyle name="Title 4 2" xfId="3990" xr:uid="{00000000-0005-0000-0000-0000DA0F0000}"/>
    <cellStyle name="Title 4 3" xfId="3991" xr:uid="{00000000-0005-0000-0000-0000DB0F0000}"/>
    <cellStyle name="Title 5" xfId="3992" xr:uid="{00000000-0005-0000-0000-0000DC0F0000}"/>
    <cellStyle name="Title 5 2" xfId="3993" xr:uid="{00000000-0005-0000-0000-0000DD0F0000}"/>
    <cellStyle name="Title 5 3" xfId="3994" xr:uid="{00000000-0005-0000-0000-0000DE0F0000}"/>
    <cellStyle name="Title 6" xfId="3995" xr:uid="{00000000-0005-0000-0000-0000DF0F0000}"/>
    <cellStyle name="Title 6 2" xfId="3996" xr:uid="{00000000-0005-0000-0000-0000E00F0000}"/>
    <cellStyle name="Title 6 3" xfId="3997" xr:uid="{00000000-0005-0000-0000-0000E10F0000}"/>
    <cellStyle name="Title 7" xfId="3998" xr:uid="{00000000-0005-0000-0000-0000E20F0000}"/>
    <cellStyle name="Title 7 2" xfId="3999" xr:uid="{00000000-0005-0000-0000-0000E30F0000}"/>
    <cellStyle name="Title 7 3" xfId="4000" xr:uid="{00000000-0005-0000-0000-0000E40F0000}"/>
    <cellStyle name="Title 8" xfId="4001" xr:uid="{00000000-0005-0000-0000-0000E50F0000}"/>
    <cellStyle name="Title 8 2" xfId="4002" xr:uid="{00000000-0005-0000-0000-0000E60F0000}"/>
    <cellStyle name="Title 8 3" xfId="4003" xr:uid="{00000000-0005-0000-0000-0000E70F0000}"/>
    <cellStyle name="Title 9" xfId="4004" xr:uid="{00000000-0005-0000-0000-0000E80F0000}"/>
    <cellStyle name="Title 9 2" xfId="4005" xr:uid="{00000000-0005-0000-0000-0000E90F0000}"/>
    <cellStyle name="Title 9 2 2" xfId="4006" xr:uid="{00000000-0005-0000-0000-0000EA0F0000}"/>
    <cellStyle name="Title 9 3" xfId="4007" xr:uid="{00000000-0005-0000-0000-0000EB0F0000}"/>
    <cellStyle name="Title 9 4" xfId="4008" xr:uid="{00000000-0005-0000-0000-0000EC0F0000}"/>
    <cellStyle name="Title 9 5" xfId="4009" xr:uid="{00000000-0005-0000-0000-0000ED0F0000}"/>
    <cellStyle name="TitleNormal" xfId="4010" xr:uid="{00000000-0005-0000-0000-0000EE0F0000}"/>
    <cellStyle name="Titolo" xfId="4011" xr:uid="{00000000-0005-0000-0000-0000EF0F0000}"/>
    <cellStyle name="Titolo Riga" xfId="4012" xr:uid="{00000000-0005-0000-0000-0000F00F0000}"/>
    <cellStyle name="Titolo Riga 2" xfId="4013" xr:uid="{00000000-0005-0000-0000-0000F10F0000}"/>
    <cellStyle name="titre" xfId="4014" xr:uid="{00000000-0005-0000-0000-0000F20F0000}"/>
    <cellStyle name="Titre 2" xfId="4015" xr:uid="{00000000-0005-0000-0000-0000F30F0000}"/>
    <cellStyle name="Top_Border" xfId="4016" xr:uid="{00000000-0005-0000-0000-0000F40F0000}"/>
    <cellStyle name="Tot" xfId="4017" xr:uid="{00000000-0005-0000-0000-0000F50F0000}"/>
    <cellStyle name="Tot 10" xfId="4018" xr:uid="{00000000-0005-0000-0000-0000F60F0000}"/>
    <cellStyle name="Tot 11" xfId="4019" xr:uid="{00000000-0005-0000-0000-0000F70F0000}"/>
    <cellStyle name="Tot 12" xfId="4020" xr:uid="{00000000-0005-0000-0000-0000F80F0000}"/>
    <cellStyle name="Tot 2" xfId="4021" xr:uid="{00000000-0005-0000-0000-0000F90F0000}"/>
    <cellStyle name="Tot 3" xfId="4022" xr:uid="{00000000-0005-0000-0000-0000FA0F0000}"/>
    <cellStyle name="Tot 4" xfId="4023" xr:uid="{00000000-0005-0000-0000-0000FB0F0000}"/>
    <cellStyle name="Tot 5" xfId="4024" xr:uid="{00000000-0005-0000-0000-0000FC0F0000}"/>
    <cellStyle name="Tot 6" xfId="4025" xr:uid="{00000000-0005-0000-0000-0000FD0F0000}"/>
    <cellStyle name="Tot 7" xfId="4026" xr:uid="{00000000-0005-0000-0000-0000FE0F0000}"/>
    <cellStyle name="Tot 8" xfId="4027" xr:uid="{00000000-0005-0000-0000-0000FF0F0000}"/>
    <cellStyle name="Tot 9" xfId="4028" xr:uid="{00000000-0005-0000-0000-000000100000}"/>
    <cellStyle name="Tot Dec" xfId="4029" xr:uid="{00000000-0005-0000-0000-000001100000}"/>
    <cellStyle name="Tot Dec 10" xfId="4030" xr:uid="{00000000-0005-0000-0000-000002100000}"/>
    <cellStyle name="Tot Dec 11" xfId="4031" xr:uid="{00000000-0005-0000-0000-000003100000}"/>
    <cellStyle name="Tot Dec 12" xfId="4032" xr:uid="{00000000-0005-0000-0000-000004100000}"/>
    <cellStyle name="Tot Dec 2" xfId="4033" xr:uid="{00000000-0005-0000-0000-000005100000}"/>
    <cellStyle name="Tot Dec 3" xfId="4034" xr:uid="{00000000-0005-0000-0000-000006100000}"/>
    <cellStyle name="Tot Dec 4" xfId="4035" xr:uid="{00000000-0005-0000-0000-000007100000}"/>
    <cellStyle name="Tot Dec 5" xfId="4036" xr:uid="{00000000-0005-0000-0000-000008100000}"/>
    <cellStyle name="Tot Dec 6" xfId="4037" xr:uid="{00000000-0005-0000-0000-000009100000}"/>
    <cellStyle name="Tot Dec 7" xfId="4038" xr:uid="{00000000-0005-0000-0000-00000A100000}"/>
    <cellStyle name="Tot Dec 8" xfId="4039" xr:uid="{00000000-0005-0000-0000-00000B100000}"/>
    <cellStyle name="Tot Dec 9" xfId="4040" xr:uid="{00000000-0005-0000-0000-00000C100000}"/>
    <cellStyle name="Total 10" xfId="4041" xr:uid="{00000000-0005-0000-0000-00000D100000}"/>
    <cellStyle name="Total 10 2" xfId="4042" xr:uid="{00000000-0005-0000-0000-00000E100000}"/>
    <cellStyle name="Total 10 3" xfId="4043" xr:uid="{00000000-0005-0000-0000-00000F100000}"/>
    <cellStyle name="Total 10 4" xfId="4044" xr:uid="{00000000-0005-0000-0000-000010100000}"/>
    <cellStyle name="Total 11" xfId="4045" xr:uid="{00000000-0005-0000-0000-000011100000}"/>
    <cellStyle name="Total 11 2" xfId="4046" xr:uid="{00000000-0005-0000-0000-000012100000}"/>
    <cellStyle name="Total 11 3" xfId="4047" xr:uid="{00000000-0005-0000-0000-000013100000}"/>
    <cellStyle name="Total 11 4" xfId="4048" xr:uid="{00000000-0005-0000-0000-000014100000}"/>
    <cellStyle name="Total 12" xfId="4049" xr:uid="{00000000-0005-0000-0000-000015100000}"/>
    <cellStyle name="Total 12 2" xfId="4050" xr:uid="{00000000-0005-0000-0000-000016100000}"/>
    <cellStyle name="Total 12 3" xfId="4051" xr:uid="{00000000-0005-0000-0000-000017100000}"/>
    <cellStyle name="Total 12 4" xfId="4052" xr:uid="{00000000-0005-0000-0000-000018100000}"/>
    <cellStyle name="Total 13" xfId="4053" xr:uid="{00000000-0005-0000-0000-000019100000}"/>
    <cellStyle name="Total 13 2" xfId="4054" xr:uid="{00000000-0005-0000-0000-00001A100000}"/>
    <cellStyle name="Total 13 3" xfId="4055" xr:uid="{00000000-0005-0000-0000-00001B100000}"/>
    <cellStyle name="Total 13 4" xfId="4056" xr:uid="{00000000-0005-0000-0000-00001C100000}"/>
    <cellStyle name="Total 14" xfId="4057" xr:uid="{00000000-0005-0000-0000-00001D100000}"/>
    <cellStyle name="Total 14 2" xfId="4058" xr:uid="{00000000-0005-0000-0000-00001E100000}"/>
    <cellStyle name="Total 14 3" xfId="4059" xr:uid="{00000000-0005-0000-0000-00001F100000}"/>
    <cellStyle name="Total 14 4" xfId="4060" xr:uid="{00000000-0005-0000-0000-000020100000}"/>
    <cellStyle name="Total 15" xfId="4061" xr:uid="{00000000-0005-0000-0000-000021100000}"/>
    <cellStyle name="Total 15 2" xfId="4062" xr:uid="{00000000-0005-0000-0000-000022100000}"/>
    <cellStyle name="Total 15 3" xfId="4063" xr:uid="{00000000-0005-0000-0000-000023100000}"/>
    <cellStyle name="Total 15 4" xfId="4064" xr:uid="{00000000-0005-0000-0000-000024100000}"/>
    <cellStyle name="Total 16" xfId="4065" xr:uid="{00000000-0005-0000-0000-000025100000}"/>
    <cellStyle name="Total 17" xfId="4066" xr:uid="{00000000-0005-0000-0000-000026100000}"/>
    <cellStyle name="Total 18" xfId="4067" xr:uid="{00000000-0005-0000-0000-000027100000}"/>
    <cellStyle name="Total 19" xfId="4068" xr:uid="{00000000-0005-0000-0000-000028100000}"/>
    <cellStyle name="Total 2" xfId="4069" xr:uid="{00000000-0005-0000-0000-000029100000}"/>
    <cellStyle name="Total 2 10" xfId="4070" xr:uid="{00000000-0005-0000-0000-00002A100000}"/>
    <cellStyle name="Total 2 10 2" xfId="4071" xr:uid="{00000000-0005-0000-0000-00002B100000}"/>
    <cellStyle name="Total 2 11" xfId="4072" xr:uid="{00000000-0005-0000-0000-00002C100000}"/>
    <cellStyle name="Total 2 12" xfId="4073" xr:uid="{00000000-0005-0000-0000-00002D100000}"/>
    <cellStyle name="Total 2 13" xfId="4074" xr:uid="{00000000-0005-0000-0000-00002E100000}"/>
    <cellStyle name="Total 2 14" xfId="4075" xr:uid="{00000000-0005-0000-0000-00002F100000}"/>
    <cellStyle name="Total 2 15" xfId="4076" xr:uid="{00000000-0005-0000-0000-000030100000}"/>
    <cellStyle name="Total 2 2" xfId="4077" xr:uid="{00000000-0005-0000-0000-000031100000}"/>
    <cellStyle name="Total 2 3" xfId="4078" xr:uid="{00000000-0005-0000-0000-000032100000}"/>
    <cellStyle name="Total 2 4" xfId="4079" xr:uid="{00000000-0005-0000-0000-000033100000}"/>
    <cellStyle name="Total 2 5" xfId="4080" xr:uid="{00000000-0005-0000-0000-000034100000}"/>
    <cellStyle name="Total 2 6" xfId="4081" xr:uid="{00000000-0005-0000-0000-000035100000}"/>
    <cellStyle name="Total 2 7" xfId="4082" xr:uid="{00000000-0005-0000-0000-000036100000}"/>
    <cellStyle name="Total 2 8" xfId="4083" xr:uid="{00000000-0005-0000-0000-000037100000}"/>
    <cellStyle name="Total 2 9" xfId="4084" xr:uid="{00000000-0005-0000-0000-000038100000}"/>
    <cellStyle name="Total 20" xfId="4356" xr:uid="{00000000-0005-0000-0000-000039100000}"/>
    <cellStyle name="Total 3" xfId="4085" xr:uid="{00000000-0005-0000-0000-00003A100000}"/>
    <cellStyle name="Total 3 2" xfId="4086" xr:uid="{00000000-0005-0000-0000-00003B100000}"/>
    <cellStyle name="Total 3 2 2" xfId="4087" xr:uid="{00000000-0005-0000-0000-00003C100000}"/>
    <cellStyle name="Total 3 2 3" xfId="4088" xr:uid="{00000000-0005-0000-0000-00003D100000}"/>
    <cellStyle name="Total 3 3" xfId="4089" xr:uid="{00000000-0005-0000-0000-00003E100000}"/>
    <cellStyle name="Total 3 4" xfId="4090" xr:uid="{00000000-0005-0000-0000-00003F100000}"/>
    <cellStyle name="Total 3 5" xfId="4091" xr:uid="{00000000-0005-0000-0000-000040100000}"/>
    <cellStyle name="Total 3 5 2" xfId="4092" xr:uid="{00000000-0005-0000-0000-000041100000}"/>
    <cellStyle name="Total 3 6" xfId="4093" xr:uid="{00000000-0005-0000-0000-000042100000}"/>
    <cellStyle name="Total 3 7" xfId="4094" xr:uid="{00000000-0005-0000-0000-000043100000}"/>
    <cellStyle name="Total 3 8" xfId="4095" xr:uid="{00000000-0005-0000-0000-000044100000}"/>
    <cellStyle name="Total 3 9" xfId="4096" xr:uid="{00000000-0005-0000-0000-000045100000}"/>
    <cellStyle name="Total 4" xfId="4097" xr:uid="{00000000-0005-0000-0000-000046100000}"/>
    <cellStyle name="Total 4 2" xfId="4098" xr:uid="{00000000-0005-0000-0000-000047100000}"/>
    <cellStyle name="Total 4 3" xfId="4099" xr:uid="{00000000-0005-0000-0000-000048100000}"/>
    <cellStyle name="Total 5" xfId="4100" xr:uid="{00000000-0005-0000-0000-000049100000}"/>
    <cellStyle name="Total 5 2" xfId="4101" xr:uid="{00000000-0005-0000-0000-00004A100000}"/>
    <cellStyle name="Total 5 3" xfId="4102" xr:uid="{00000000-0005-0000-0000-00004B100000}"/>
    <cellStyle name="Total 6" xfId="4103" xr:uid="{00000000-0005-0000-0000-00004C100000}"/>
    <cellStyle name="Total 6 2" xfId="4104" xr:uid="{00000000-0005-0000-0000-00004D100000}"/>
    <cellStyle name="Total 6 3" xfId="4105" xr:uid="{00000000-0005-0000-0000-00004E100000}"/>
    <cellStyle name="Total 7" xfId="4106" xr:uid="{00000000-0005-0000-0000-00004F100000}"/>
    <cellStyle name="Total 7 2" xfId="4107" xr:uid="{00000000-0005-0000-0000-000050100000}"/>
    <cellStyle name="Total 7 3" xfId="4108" xr:uid="{00000000-0005-0000-0000-000051100000}"/>
    <cellStyle name="Total 8" xfId="4109" xr:uid="{00000000-0005-0000-0000-000052100000}"/>
    <cellStyle name="Total 8 2" xfId="4110" xr:uid="{00000000-0005-0000-0000-000053100000}"/>
    <cellStyle name="Total 8 3" xfId="4111" xr:uid="{00000000-0005-0000-0000-000054100000}"/>
    <cellStyle name="Total 9" xfId="4112" xr:uid="{00000000-0005-0000-0000-000055100000}"/>
    <cellStyle name="Total 9 2" xfId="4113" xr:uid="{00000000-0005-0000-0000-000056100000}"/>
    <cellStyle name="Total 9 2 2" xfId="4114" xr:uid="{00000000-0005-0000-0000-000057100000}"/>
    <cellStyle name="Total 9 3" xfId="4115" xr:uid="{00000000-0005-0000-0000-000058100000}"/>
    <cellStyle name="Total 9 4" xfId="4116" xr:uid="{00000000-0005-0000-0000-000059100000}"/>
    <cellStyle name="Total 9 5" xfId="4117" xr:uid="{00000000-0005-0000-0000-00005A100000}"/>
    <cellStyle name="Total Data" xfId="4118" xr:uid="{00000000-0005-0000-0000-00005B100000}"/>
    <cellStyle name="Totale" xfId="4119" xr:uid="{00000000-0005-0000-0000-00005C100000}"/>
    <cellStyle name="Totale 10" xfId="4120" xr:uid="{00000000-0005-0000-0000-00005D100000}"/>
    <cellStyle name="Totale 11" xfId="4121" xr:uid="{00000000-0005-0000-0000-00005E100000}"/>
    <cellStyle name="Totale 12" xfId="4122" xr:uid="{00000000-0005-0000-0000-00005F100000}"/>
    <cellStyle name="Totale 2" xfId="4123" xr:uid="{00000000-0005-0000-0000-000060100000}"/>
    <cellStyle name="Totale 3" xfId="4124" xr:uid="{00000000-0005-0000-0000-000061100000}"/>
    <cellStyle name="Totale 4" xfId="4125" xr:uid="{00000000-0005-0000-0000-000062100000}"/>
    <cellStyle name="Totale 5" xfId="4126" xr:uid="{00000000-0005-0000-0000-000063100000}"/>
    <cellStyle name="Totale 6" xfId="4127" xr:uid="{00000000-0005-0000-0000-000064100000}"/>
    <cellStyle name="Totale 7" xfId="4128" xr:uid="{00000000-0005-0000-0000-000065100000}"/>
    <cellStyle name="Totale 8" xfId="4129" xr:uid="{00000000-0005-0000-0000-000066100000}"/>
    <cellStyle name="Totale 9" xfId="4130" xr:uid="{00000000-0005-0000-0000-000067100000}"/>
    <cellStyle name="Totale Dec" xfId="4131" xr:uid="{00000000-0005-0000-0000-000068100000}"/>
    <cellStyle name="Totale Dec 10" xfId="4132" xr:uid="{00000000-0005-0000-0000-000069100000}"/>
    <cellStyle name="Totale Dec 11" xfId="4133" xr:uid="{00000000-0005-0000-0000-00006A100000}"/>
    <cellStyle name="Totale Dec 12" xfId="4134" xr:uid="{00000000-0005-0000-0000-00006B100000}"/>
    <cellStyle name="Totale Dec 2" xfId="4135" xr:uid="{00000000-0005-0000-0000-00006C100000}"/>
    <cellStyle name="Totale Dec 3" xfId="4136" xr:uid="{00000000-0005-0000-0000-00006D100000}"/>
    <cellStyle name="Totale Dec 4" xfId="4137" xr:uid="{00000000-0005-0000-0000-00006E100000}"/>
    <cellStyle name="Totale Dec 5" xfId="4138" xr:uid="{00000000-0005-0000-0000-00006F100000}"/>
    <cellStyle name="Totale Dec 6" xfId="4139" xr:uid="{00000000-0005-0000-0000-000070100000}"/>
    <cellStyle name="Totale Dec 7" xfId="4140" xr:uid="{00000000-0005-0000-0000-000071100000}"/>
    <cellStyle name="Totale Dec 8" xfId="4141" xr:uid="{00000000-0005-0000-0000-000072100000}"/>
    <cellStyle name="Totale Dec 9" xfId="4142" xr:uid="{00000000-0005-0000-0000-000073100000}"/>
    <cellStyle name="Undefiniert" xfId="4143" xr:uid="{00000000-0005-0000-0000-000074100000}"/>
    <cellStyle name="Underline" xfId="4144" xr:uid="{00000000-0005-0000-0000-000075100000}"/>
    <cellStyle name="Unprot" xfId="4145" xr:uid="{00000000-0005-0000-0000-000076100000}"/>
    <cellStyle name="Unprot$" xfId="4146" xr:uid="{00000000-0005-0000-0000-000077100000}"/>
    <cellStyle name="Unprot_All BOMS Metro" xfId="4147" xr:uid="{00000000-0005-0000-0000-000078100000}"/>
    <cellStyle name="Unprotect" xfId="4148" xr:uid="{00000000-0005-0000-0000-000079100000}"/>
    <cellStyle name="UploadThisRowValue" xfId="4149" xr:uid="{00000000-0005-0000-0000-00007A100000}"/>
    <cellStyle name="User_Defined_A" xfId="4150" xr:uid="{00000000-0005-0000-0000-00007B100000}"/>
    <cellStyle name="ViewDate" xfId="4151" xr:uid="{00000000-0005-0000-0000-00007C100000}"/>
    <cellStyle name="ViewDetailDate" xfId="4152" xr:uid="{00000000-0005-0000-0000-00007D100000}"/>
    <cellStyle name="ViewDetailInt" xfId="4153" xr:uid="{00000000-0005-0000-0000-00007E100000}"/>
    <cellStyle name="ViewDetailPct" xfId="4154" xr:uid="{00000000-0005-0000-0000-00007F100000}"/>
    <cellStyle name="ViewGrndTotalInt" xfId="4155" xr:uid="{00000000-0005-0000-0000-000080100000}"/>
    <cellStyle name="ViewGrndTotalInt 10" xfId="4156" xr:uid="{00000000-0005-0000-0000-000081100000}"/>
    <cellStyle name="ViewGrndTotalInt 11" xfId="4157" xr:uid="{00000000-0005-0000-0000-000082100000}"/>
    <cellStyle name="ViewGrndTotalInt 12" xfId="4158" xr:uid="{00000000-0005-0000-0000-000083100000}"/>
    <cellStyle name="ViewGrndTotalInt 2" xfId="4159" xr:uid="{00000000-0005-0000-0000-000084100000}"/>
    <cellStyle name="ViewGrndTotalInt 3" xfId="4160" xr:uid="{00000000-0005-0000-0000-000085100000}"/>
    <cellStyle name="ViewGrndTotalInt 4" xfId="4161" xr:uid="{00000000-0005-0000-0000-000086100000}"/>
    <cellStyle name="ViewGrndTotalInt 5" xfId="4162" xr:uid="{00000000-0005-0000-0000-000087100000}"/>
    <cellStyle name="ViewGrndTotalInt 6" xfId="4163" xr:uid="{00000000-0005-0000-0000-000088100000}"/>
    <cellStyle name="ViewGrndTotalInt 7" xfId="4164" xr:uid="{00000000-0005-0000-0000-000089100000}"/>
    <cellStyle name="ViewGrndTotalInt 8" xfId="4165" xr:uid="{00000000-0005-0000-0000-00008A100000}"/>
    <cellStyle name="ViewGrndTotalInt 9" xfId="4166" xr:uid="{00000000-0005-0000-0000-00008B100000}"/>
    <cellStyle name="ViewGrndTotalPct" xfId="4167" xr:uid="{00000000-0005-0000-0000-00008C100000}"/>
    <cellStyle name="ViewGrndTotalPct 10" xfId="4168" xr:uid="{00000000-0005-0000-0000-00008D100000}"/>
    <cellStyle name="ViewGrndTotalPct 11" xfId="4169" xr:uid="{00000000-0005-0000-0000-00008E100000}"/>
    <cellStyle name="ViewGrndTotalPct 12" xfId="4170" xr:uid="{00000000-0005-0000-0000-00008F100000}"/>
    <cellStyle name="ViewGrndTotalPct 2" xfId="4171" xr:uid="{00000000-0005-0000-0000-000090100000}"/>
    <cellStyle name="ViewGrndTotalPct 3" xfId="4172" xr:uid="{00000000-0005-0000-0000-000091100000}"/>
    <cellStyle name="ViewGrndTotalPct 4" xfId="4173" xr:uid="{00000000-0005-0000-0000-000092100000}"/>
    <cellStyle name="ViewGrndTotalPct 5" xfId="4174" xr:uid="{00000000-0005-0000-0000-000093100000}"/>
    <cellStyle name="ViewGrndTotalPct 6" xfId="4175" xr:uid="{00000000-0005-0000-0000-000094100000}"/>
    <cellStyle name="ViewGrndTotalPct 7" xfId="4176" xr:uid="{00000000-0005-0000-0000-000095100000}"/>
    <cellStyle name="ViewGrndTotalPct 8" xfId="4177" xr:uid="{00000000-0005-0000-0000-000096100000}"/>
    <cellStyle name="ViewGrndTotalPct 9" xfId="4178" xr:uid="{00000000-0005-0000-0000-000097100000}"/>
    <cellStyle name="ViewHide" xfId="4179" xr:uid="{00000000-0005-0000-0000-000098100000}"/>
    <cellStyle name="ViewTotal" xfId="4180" xr:uid="{00000000-0005-0000-0000-000099100000}"/>
    <cellStyle name="ViewTotalHide" xfId="4181" xr:uid="{00000000-0005-0000-0000-00009A100000}"/>
    <cellStyle name="ViewTotalInt" xfId="4182" xr:uid="{00000000-0005-0000-0000-00009B100000}"/>
    <cellStyle name="ViewTotalPct" xfId="4183" xr:uid="{00000000-0005-0000-0000-00009C100000}"/>
    <cellStyle name="Währung [0]_Acquisition stats" xfId="4184" xr:uid="{00000000-0005-0000-0000-00009D100000}"/>
    <cellStyle name="Währung_Acquisition stats" xfId="4185" xr:uid="{00000000-0005-0000-0000-00009E100000}"/>
    <cellStyle name="Warning" xfId="4186" xr:uid="{00000000-0005-0000-0000-00009F100000}"/>
    <cellStyle name="Warning Text 10" xfId="4187" xr:uid="{00000000-0005-0000-0000-0000A0100000}"/>
    <cellStyle name="Warning Text 10 2" xfId="4188" xr:uid="{00000000-0005-0000-0000-0000A1100000}"/>
    <cellStyle name="Warning Text 10 3" xfId="4189" xr:uid="{00000000-0005-0000-0000-0000A2100000}"/>
    <cellStyle name="Warning Text 11" xfId="4190" xr:uid="{00000000-0005-0000-0000-0000A3100000}"/>
    <cellStyle name="Warning Text 11 2" xfId="4191" xr:uid="{00000000-0005-0000-0000-0000A4100000}"/>
    <cellStyle name="Warning Text 11 3" xfId="4192" xr:uid="{00000000-0005-0000-0000-0000A5100000}"/>
    <cellStyle name="Warning Text 12" xfId="4193" xr:uid="{00000000-0005-0000-0000-0000A6100000}"/>
    <cellStyle name="Warning Text 12 2" xfId="4194" xr:uid="{00000000-0005-0000-0000-0000A7100000}"/>
    <cellStyle name="Warning Text 12 3" xfId="4195" xr:uid="{00000000-0005-0000-0000-0000A8100000}"/>
    <cellStyle name="Warning Text 13" xfId="4196" xr:uid="{00000000-0005-0000-0000-0000A9100000}"/>
    <cellStyle name="Warning Text 13 2" xfId="4197" xr:uid="{00000000-0005-0000-0000-0000AA100000}"/>
    <cellStyle name="Warning Text 13 3" xfId="4198" xr:uid="{00000000-0005-0000-0000-0000AB100000}"/>
    <cellStyle name="Warning Text 14" xfId="4199" xr:uid="{00000000-0005-0000-0000-0000AC100000}"/>
    <cellStyle name="Warning Text 14 2" xfId="4200" xr:uid="{00000000-0005-0000-0000-0000AD100000}"/>
    <cellStyle name="Warning Text 14 3" xfId="4201" xr:uid="{00000000-0005-0000-0000-0000AE100000}"/>
    <cellStyle name="Warning Text 15" xfId="4202" xr:uid="{00000000-0005-0000-0000-0000AF100000}"/>
    <cellStyle name="Warning Text 15 2" xfId="4203" xr:uid="{00000000-0005-0000-0000-0000B0100000}"/>
    <cellStyle name="Warning Text 15 3" xfId="4204" xr:uid="{00000000-0005-0000-0000-0000B1100000}"/>
    <cellStyle name="Warning Text 16" xfId="4205" xr:uid="{00000000-0005-0000-0000-0000B2100000}"/>
    <cellStyle name="Warning Text 17" xfId="4206" xr:uid="{00000000-0005-0000-0000-0000B3100000}"/>
    <cellStyle name="Warning Text 18" xfId="4207" xr:uid="{00000000-0005-0000-0000-0000B4100000}"/>
    <cellStyle name="Warning Text 19" xfId="4208" xr:uid="{00000000-0005-0000-0000-0000B5100000}"/>
    <cellStyle name="Warning Text 2" xfId="4209" xr:uid="{00000000-0005-0000-0000-0000B6100000}"/>
    <cellStyle name="Warning Text 2 10" xfId="4210" xr:uid="{00000000-0005-0000-0000-0000B7100000}"/>
    <cellStyle name="Warning Text 2 11" xfId="4211" xr:uid="{00000000-0005-0000-0000-0000B8100000}"/>
    <cellStyle name="Warning Text 2 12" xfId="4212" xr:uid="{00000000-0005-0000-0000-0000B9100000}"/>
    <cellStyle name="Warning Text 2 13" xfId="4213" xr:uid="{00000000-0005-0000-0000-0000BA100000}"/>
    <cellStyle name="Warning Text 2 14" xfId="4214" xr:uid="{00000000-0005-0000-0000-0000BB100000}"/>
    <cellStyle name="Warning Text 2 15" xfId="4215" xr:uid="{00000000-0005-0000-0000-0000BC100000}"/>
    <cellStyle name="Warning Text 2 2" xfId="4216" xr:uid="{00000000-0005-0000-0000-0000BD100000}"/>
    <cellStyle name="Warning Text 2 3" xfId="4217" xr:uid="{00000000-0005-0000-0000-0000BE100000}"/>
    <cellStyle name="Warning Text 2 4" xfId="4218" xr:uid="{00000000-0005-0000-0000-0000BF100000}"/>
    <cellStyle name="Warning Text 2 5" xfId="4219" xr:uid="{00000000-0005-0000-0000-0000C0100000}"/>
    <cellStyle name="Warning Text 2 6" xfId="4220" xr:uid="{00000000-0005-0000-0000-0000C1100000}"/>
    <cellStyle name="Warning Text 2 7" xfId="4221" xr:uid="{00000000-0005-0000-0000-0000C2100000}"/>
    <cellStyle name="Warning Text 2 8" xfId="4222" xr:uid="{00000000-0005-0000-0000-0000C3100000}"/>
    <cellStyle name="Warning Text 2 9" xfId="4223" xr:uid="{00000000-0005-0000-0000-0000C4100000}"/>
    <cellStyle name="Warning Text 20" xfId="4357" xr:uid="{00000000-0005-0000-0000-0000C5100000}"/>
    <cellStyle name="Warning Text 3" xfId="4224" xr:uid="{00000000-0005-0000-0000-0000C6100000}"/>
    <cellStyle name="Warning Text 3 2" xfId="4225" xr:uid="{00000000-0005-0000-0000-0000C7100000}"/>
    <cellStyle name="Warning Text 3 3" xfId="4226" xr:uid="{00000000-0005-0000-0000-0000C8100000}"/>
    <cellStyle name="Warning Text 3 4" xfId="4227" xr:uid="{00000000-0005-0000-0000-0000C9100000}"/>
    <cellStyle name="Warning Text 3 5" xfId="4228" xr:uid="{00000000-0005-0000-0000-0000CA100000}"/>
    <cellStyle name="Warning Text 3 6" xfId="4229" xr:uid="{00000000-0005-0000-0000-0000CB100000}"/>
    <cellStyle name="Warning Text 3 7" xfId="4230" xr:uid="{00000000-0005-0000-0000-0000CC100000}"/>
    <cellStyle name="Warning Text 3 8" xfId="4231" xr:uid="{00000000-0005-0000-0000-0000CD100000}"/>
    <cellStyle name="Warning Text 4" xfId="4232" xr:uid="{00000000-0005-0000-0000-0000CE100000}"/>
    <cellStyle name="Warning Text 4 2" xfId="4233" xr:uid="{00000000-0005-0000-0000-0000CF100000}"/>
    <cellStyle name="Warning Text 5" xfId="4234" xr:uid="{00000000-0005-0000-0000-0000D0100000}"/>
    <cellStyle name="Warning Text 5 2" xfId="4235" xr:uid="{00000000-0005-0000-0000-0000D1100000}"/>
    <cellStyle name="Warning Text 6" xfId="4236" xr:uid="{00000000-0005-0000-0000-0000D2100000}"/>
    <cellStyle name="Warning Text 6 2" xfId="4237" xr:uid="{00000000-0005-0000-0000-0000D3100000}"/>
    <cellStyle name="Warning Text 7" xfId="4238" xr:uid="{00000000-0005-0000-0000-0000D4100000}"/>
    <cellStyle name="Warning Text 8" xfId="4239" xr:uid="{00000000-0005-0000-0000-0000D5100000}"/>
    <cellStyle name="Warning Text 9" xfId="4240" xr:uid="{00000000-0005-0000-0000-0000D6100000}"/>
    <cellStyle name="Warning Text 9 2" xfId="4241" xr:uid="{00000000-0005-0000-0000-0000D7100000}"/>
    <cellStyle name="Warning Text 9 3" xfId="4242" xr:uid="{00000000-0005-0000-0000-0000D8100000}"/>
    <cellStyle name="Warning Text 9 4" xfId="4243" xr:uid="{00000000-0005-0000-0000-0000D9100000}"/>
    <cellStyle name="web_ normal" xfId="4244" xr:uid="{00000000-0005-0000-0000-0000DA100000}"/>
    <cellStyle name="Work in progress" xfId="4245" xr:uid="{00000000-0005-0000-0000-0000DB100000}"/>
    <cellStyle name="x" xfId="4246" xr:uid="{00000000-0005-0000-0000-0000DC100000}"/>
    <cellStyle name="Year" xfId="4247" xr:uid="{00000000-0005-0000-0000-0000DD100000}"/>
    <cellStyle name="Yellow" xfId="4248" xr:uid="{00000000-0005-0000-0000-0000DE100000}"/>
    <cellStyle name="Yen" xfId="4249" xr:uid="{00000000-0005-0000-0000-0000DF100000}"/>
    <cellStyle name="똿뗦먛귟 [0.00]_laroux" xfId="4250" xr:uid="{00000000-0005-0000-0000-0000E0100000}"/>
    <cellStyle name="똿뗦먛귟_laroux" xfId="4251" xr:uid="{00000000-0005-0000-0000-0000E1100000}"/>
    <cellStyle name="믅됞 [0.00]_laroux" xfId="4252" xr:uid="{00000000-0005-0000-0000-0000E2100000}"/>
    <cellStyle name="믅됞_laroux" xfId="4253" xr:uid="{00000000-0005-0000-0000-0000E3100000}"/>
    <cellStyle name="백분율_95" xfId="4254" xr:uid="{00000000-0005-0000-0000-0000E4100000}"/>
    <cellStyle name="뷭?_BOOKSHIP" xfId="4255" xr:uid="{00000000-0005-0000-0000-0000E5100000}"/>
    <cellStyle name="콤마 [0]_1202" xfId="4262" xr:uid="{00000000-0005-0000-0000-0000E6100000}"/>
    <cellStyle name="콤마_1202" xfId="4263" xr:uid="{00000000-0005-0000-0000-0000E7100000}"/>
    <cellStyle name="통화 [0]_1202" xfId="4264" xr:uid="{00000000-0005-0000-0000-0000E8100000}"/>
    <cellStyle name="통화_1202" xfId="4265" xr:uid="{00000000-0005-0000-0000-0000E9100000}"/>
    <cellStyle name="표준_(정보부문)월별인원계획" xfId="4267" xr:uid="{00000000-0005-0000-0000-0000EA100000}"/>
    <cellStyle name="一般_Sheet1" xfId="4256" xr:uid="{00000000-0005-0000-0000-0000EB100000}"/>
    <cellStyle name="中等" xfId="4257" xr:uid="{00000000-0005-0000-0000-0000EC100000}"/>
    <cellStyle name="備註" xfId="4258" xr:uid="{00000000-0005-0000-0000-0000ED100000}"/>
    <cellStyle name="千位分隔[0]_BOM 3EC 37531 AAAA" xfId="4259" xr:uid="{00000000-0005-0000-0000-0000EE100000}"/>
    <cellStyle name="千位分隔_BOM 3EC 37531 AAAA" xfId="4260" xr:uid="{00000000-0005-0000-0000-0000EF100000}"/>
    <cellStyle name="合計" xfId="4261" xr:uid="{00000000-0005-0000-0000-0000F0100000}"/>
    <cellStyle name="壞" xfId="4266" xr:uid="{00000000-0005-0000-0000-0000F1100000}"/>
    <cellStyle name="好" xfId="4268" xr:uid="{00000000-0005-0000-0000-0000F2100000}"/>
    <cellStyle name="好_XBOX Total BI Q1'08 0310" xfId="4269" xr:uid="{00000000-0005-0000-0000-0000F3100000}"/>
    <cellStyle name="差" xfId="4270" xr:uid="{00000000-0005-0000-0000-0000F4100000}"/>
    <cellStyle name="常规_BOM 3EC 37531 AAAA" xfId="4271" xr:uid="{00000000-0005-0000-0000-0000F5100000}"/>
    <cellStyle name="强调文字颜色 1" xfId="4272" xr:uid="{00000000-0005-0000-0000-0000F6100000}"/>
    <cellStyle name="强调文字颜色 2" xfId="4273" xr:uid="{00000000-0005-0000-0000-0000F7100000}"/>
    <cellStyle name="强调文字颜色 3" xfId="4274" xr:uid="{00000000-0005-0000-0000-0000F8100000}"/>
    <cellStyle name="强调文字颜色 4" xfId="4275" xr:uid="{00000000-0005-0000-0000-0000F9100000}"/>
    <cellStyle name="强调文字颜色 5" xfId="4276" xr:uid="{00000000-0005-0000-0000-0000FA100000}"/>
    <cellStyle name="强调文字颜色 6" xfId="4277" xr:uid="{00000000-0005-0000-0000-0000FB100000}"/>
    <cellStyle name="标题" xfId="4278" xr:uid="{00000000-0005-0000-0000-0000FC100000}"/>
    <cellStyle name="标题 1" xfId="4279" xr:uid="{00000000-0005-0000-0000-0000FD100000}"/>
    <cellStyle name="标题 2" xfId="4280" xr:uid="{00000000-0005-0000-0000-0000FE100000}"/>
    <cellStyle name="标题 3" xfId="4281" xr:uid="{00000000-0005-0000-0000-0000FF100000}"/>
    <cellStyle name="标题 4" xfId="4282" xr:uid="{00000000-0005-0000-0000-000000110000}"/>
    <cellStyle name="检查单元格" xfId="4283" xr:uid="{00000000-0005-0000-0000-000001110000}"/>
    <cellStyle name="標題" xfId="4284" xr:uid="{00000000-0005-0000-0000-000002110000}"/>
    <cellStyle name="標題 1" xfId="4285" xr:uid="{00000000-0005-0000-0000-000003110000}"/>
    <cellStyle name="標題 2" xfId="4286" xr:uid="{00000000-0005-0000-0000-000004110000}"/>
    <cellStyle name="標題 3" xfId="4287" xr:uid="{00000000-0005-0000-0000-000005110000}"/>
    <cellStyle name="標題 4" xfId="4288" xr:uid="{00000000-0005-0000-0000-000006110000}"/>
    <cellStyle name="檢查儲存格" xfId="4289" xr:uid="{00000000-0005-0000-0000-000007110000}"/>
    <cellStyle name="汇总" xfId="4290" xr:uid="{00000000-0005-0000-0000-000008110000}"/>
    <cellStyle name="注释" xfId="4291" xr:uid="{00000000-0005-0000-0000-000009110000}"/>
    <cellStyle name="解释性文本" xfId="4292" xr:uid="{00000000-0005-0000-0000-00000A110000}"/>
    <cellStyle name="計算方式" xfId="4293" xr:uid="{00000000-0005-0000-0000-00000B110000}"/>
    <cellStyle name="說明文字" xfId="4294" xr:uid="{00000000-0005-0000-0000-00000C110000}"/>
    <cellStyle name="警告文字" xfId="4295" xr:uid="{00000000-0005-0000-0000-00000D110000}"/>
    <cellStyle name="警告文本" xfId="4296" xr:uid="{00000000-0005-0000-0000-00000E110000}"/>
    <cellStyle name="计算" xfId="4297" xr:uid="{00000000-0005-0000-0000-00000F110000}"/>
    <cellStyle name="货币[0]_BOM 3EC 37531 AAAA" xfId="4298" xr:uid="{00000000-0005-0000-0000-000010110000}"/>
    <cellStyle name="货币_BOM 3EC 37531 AAAA" xfId="4299" xr:uid="{00000000-0005-0000-0000-000011110000}"/>
    <cellStyle name="輔色1" xfId="4300" xr:uid="{00000000-0005-0000-0000-000012110000}"/>
    <cellStyle name="輔色2" xfId="4301" xr:uid="{00000000-0005-0000-0000-000013110000}"/>
    <cellStyle name="輔色3" xfId="4302" xr:uid="{00000000-0005-0000-0000-000014110000}"/>
    <cellStyle name="輔色4" xfId="4303" xr:uid="{00000000-0005-0000-0000-000015110000}"/>
    <cellStyle name="輔色5" xfId="4304" xr:uid="{00000000-0005-0000-0000-000016110000}"/>
    <cellStyle name="輔色6" xfId="4305" xr:uid="{00000000-0005-0000-0000-000017110000}"/>
    <cellStyle name="輸入" xfId="4306" xr:uid="{00000000-0005-0000-0000-000018110000}"/>
    <cellStyle name="輸出" xfId="4307" xr:uid="{00000000-0005-0000-0000-000019110000}"/>
    <cellStyle name="输入" xfId="4308" xr:uid="{00000000-0005-0000-0000-00001A110000}"/>
    <cellStyle name="输出" xfId="4309" xr:uid="{00000000-0005-0000-0000-00001B110000}"/>
    <cellStyle name="适中" xfId="4310" xr:uid="{00000000-0005-0000-0000-00001C110000}"/>
    <cellStyle name="連結的儲存格" xfId="4311" xr:uid="{00000000-0005-0000-0000-00001D110000}"/>
    <cellStyle name="链接单元格" xfId="4312" xr:uid="{00000000-0005-0000-0000-00001E110000}"/>
  </cellStyles>
  <dxfs count="15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4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3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2.xml"/><Relationship Id="rId11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6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5.xml"/><Relationship Id="rId14" Type="http://schemas.openxmlformats.org/officeDocument/2006/relationships/sheetMetadata" Target="metadata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DCF!$R$11</c:f>
              <c:strCache>
                <c:ptCount val="1"/>
                <c:pt idx="0">
                  <c:v>World-Technology</c:v>
                </c:pt>
              </c:strCache>
            </c:strRef>
          </c:tx>
          <c:spPr>
            <a:ln>
              <a:solidFill>
                <a:schemeClr val="tx2"/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DCF!$S$11:$AO$11</c:f>
              <c:numCache>
                <c:formatCode>0.00</c:formatCode>
                <c:ptCount val="23"/>
                <c:pt idx="0">
                  <c:v>17.453759387533303</c:v>
                </c:pt>
                <c:pt idx="1">
                  <c:v>17.205916063909996</c:v>
                </c:pt>
                <c:pt idx="2">
                  <c:v>17.767847570322242</c:v>
                </c:pt>
                <c:pt idx="3">
                  <c:v>21.420825743769456</c:v>
                </c:pt>
                <c:pt idx="4">
                  <c:v>15.064414579761264</c:v>
                </c:pt>
                <c:pt idx="5">
                  <c:v>12.283334541279425</c:v>
                </c:pt>
                <c:pt idx="6">
                  <c:v>11.507237778422699</c:v>
                </c:pt>
                <c:pt idx="7">
                  <c:v>12.371121712117059</c:v>
                </c:pt>
                <c:pt idx="8">
                  <c:v>14.506058981906175</c:v>
                </c:pt>
                <c:pt idx="9">
                  <c:v>13.203915896800043</c:v>
                </c:pt>
                <c:pt idx="10">
                  <c:v>13.249938119441936</c:v>
                </c:pt>
                <c:pt idx="11">
                  <c:v>11.170127560656576</c:v>
                </c:pt>
                <c:pt idx="12">
                  <c:v>17.986182477147128</c:v>
                </c:pt>
                <c:pt idx="13">
                  <c:v>12.076310332695046</c:v>
                </c:pt>
                <c:pt idx="14">
                  <c:v>16.697031956096691</c:v>
                </c:pt>
                <c:pt idx="15">
                  <c:v>16.140104503321894</c:v>
                </c:pt>
                <c:pt idx="16">
                  <c:v>10.866274424550083</c:v>
                </c:pt>
                <c:pt idx="17">
                  <c:v>11.568124892932982</c:v>
                </c:pt>
                <c:pt idx="18">
                  <c:v>9.9606001287195625</c:v>
                </c:pt>
                <c:pt idx="19">
                  <c:v>12.480220928628807</c:v>
                </c:pt>
                <c:pt idx="20">
                  <c:v>10.291423822573385</c:v>
                </c:pt>
                <c:pt idx="21">
                  <c:v>11.703550027232945</c:v>
                </c:pt>
                <c:pt idx="22">
                  <c:v>14.68975926385297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B50E-47C5-9E05-BE899116851C}"/>
            </c:ext>
          </c:extLst>
        </c:ser>
        <c:ser>
          <c:idx val="1"/>
          <c:order val="1"/>
          <c:tx>
            <c:strRef>
              <c:f>DCF!$R$12</c:f>
              <c:strCache>
                <c:ptCount val="1"/>
                <c:pt idx="0">
                  <c:v>UNITED STATES-Technology</c:v>
                </c:pt>
              </c:strCache>
            </c:strRef>
          </c:tx>
          <c:spPr>
            <a:ln>
              <a:solidFill>
                <a:schemeClr val="accent1">
                  <a:lumMod val="60000"/>
                  <a:lumOff val="40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DCF!$S$12:$AO$12</c:f>
              <c:numCache>
                <c:formatCode>0.00</c:formatCode>
                <c:ptCount val="23"/>
                <c:pt idx="0">
                  <c:v>18.56192007086797</c:v>
                </c:pt>
                <c:pt idx="1">
                  <c:v>17.735070626065259</c:v>
                </c:pt>
                <c:pt idx="2">
                  <c:v>17.000717410669655</c:v>
                </c:pt>
                <c:pt idx="3">
                  <c:v>17.441647778385544</c:v>
                </c:pt>
                <c:pt idx="4">
                  <c:v>18.007281483233708</c:v>
                </c:pt>
                <c:pt idx="5">
                  <c:v>11.851184900426819</c:v>
                </c:pt>
                <c:pt idx="6">
                  <c:v>10.322957858009042</c:v>
                </c:pt>
                <c:pt idx="7">
                  <c:v>12.761764989568331</c:v>
                </c:pt>
                <c:pt idx="8">
                  <c:v>14.120721214416504</c:v>
                </c:pt>
                <c:pt idx="9">
                  <c:v>14.503738428126637</c:v>
                </c:pt>
                <c:pt idx="10">
                  <c:v>14.733749939303189</c:v>
                </c:pt>
                <c:pt idx="11">
                  <c:v>10.303017586171588</c:v>
                </c:pt>
                <c:pt idx="12">
                  <c:v>17.933714426642151</c:v>
                </c:pt>
                <c:pt idx="13">
                  <c:v>13.125461267698405</c:v>
                </c:pt>
                <c:pt idx="14">
                  <c:v>16.957149241775024</c:v>
                </c:pt>
                <c:pt idx="15">
                  <c:v>17.504960136719536</c:v>
                </c:pt>
                <c:pt idx="16">
                  <c:v>13.676414354593136</c:v>
                </c:pt>
                <c:pt idx="17">
                  <c:v>12.740379391713986</c:v>
                </c:pt>
                <c:pt idx="18">
                  <c:v>11.802772200139815</c:v>
                </c:pt>
                <c:pt idx="19">
                  <c:v>10.99643237200601</c:v>
                </c:pt>
                <c:pt idx="20">
                  <c:v>8.3769353647614864</c:v>
                </c:pt>
                <c:pt idx="21">
                  <c:v>11.268986435724145</c:v>
                </c:pt>
                <c:pt idx="22">
                  <c:v>15.986357142464458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50E-47C5-9E05-BE899116851C}"/>
            </c:ext>
          </c:extLst>
        </c:ser>
        <c:ser>
          <c:idx val="2"/>
          <c:order val="2"/>
          <c:tx>
            <c:strRef>
              <c:f>DCF!$R$13</c:f>
              <c:strCache>
                <c:ptCount val="1"/>
                <c:pt idx="0">
                  <c:v>World-Software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DCF!$S$13:$AO$13</c:f>
              <c:numCache>
                <c:formatCode>0.00</c:formatCode>
                <c:ptCount val="23"/>
                <c:pt idx="0">
                  <c:v>20.48356880019838</c:v>
                </c:pt>
                <c:pt idx="1">
                  <c:v>20.341424147073234</c:v>
                </c:pt>
                <c:pt idx="2">
                  <c:v>21.138487118545449</c:v>
                </c:pt>
                <c:pt idx="3">
                  <c:v>22.119871288482653</c:v>
                </c:pt>
                <c:pt idx="4">
                  <c:v>17.176512666679333</c:v>
                </c:pt>
                <c:pt idx="5">
                  <c:v>16.741947021079252</c:v>
                </c:pt>
                <c:pt idx="6">
                  <c:v>16.333691465758665</c:v>
                </c:pt>
                <c:pt idx="7">
                  <c:v>14.836331484543635</c:v>
                </c:pt>
                <c:pt idx="8">
                  <c:v>16.02537532695165</c:v>
                </c:pt>
                <c:pt idx="9">
                  <c:v>17.630133528244404</c:v>
                </c:pt>
                <c:pt idx="10">
                  <c:v>13.764024418006265</c:v>
                </c:pt>
                <c:pt idx="11">
                  <c:v>13.777257201778625</c:v>
                </c:pt>
                <c:pt idx="12">
                  <c:v>20.56540297762707</c:v>
                </c:pt>
                <c:pt idx="13">
                  <c:v>23.904219076756124</c:v>
                </c:pt>
                <c:pt idx="14">
                  <c:v>17.650295098476793</c:v>
                </c:pt>
                <c:pt idx="15">
                  <c:v>19.277194746266478</c:v>
                </c:pt>
                <c:pt idx="16">
                  <c:v>18.525152835535884</c:v>
                </c:pt>
                <c:pt idx="17">
                  <c:v>13.595495546291083</c:v>
                </c:pt>
                <c:pt idx="18">
                  <c:v>9.4411887694125642</c:v>
                </c:pt>
                <c:pt idx="19">
                  <c:v>11.78235545910978</c:v>
                </c:pt>
                <c:pt idx="20">
                  <c:v>9.5683607991192012</c:v>
                </c:pt>
                <c:pt idx="21">
                  <c:v>10.74813228900017</c:v>
                </c:pt>
                <c:pt idx="22">
                  <c:v>13.002469237861472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50E-47C5-9E05-BE899116851C}"/>
            </c:ext>
          </c:extLst>
        </c:ser>
        <c:ser>
          <c:idx val="3"/>
          <c:order val="3"/>
          <c:tx>
            <c:strRef>
              <c:f>DCF!$R$14</c:f>
              <c:strCache>
                <c:ptCount val="1"/>
                <c:pt idx="0">
                  <c:v>UNITED STATES-Software</c:v>
                </c:pt>
              </c:strCache>
            </c:strRef>
          </c:tx>
          <c:spPr>
            <a:ln>
              <a:solidFill>
                <a:schemeClr val="bg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DCF!$S$10:$AO$10</c:f>
              <c:numCache>
                <c:formatCode>General</c:formatCode>
                <c:ptCount val="23"/>
                <c:pt idx="0">
                  <c:v>1996</c:v>
                </c:pt>
                <c:pt idx="1">
                  <c:v>1997</c:v>
                </c:pt>
                <c:pt idx="2">
                  <c:v>1998</c:v>
                </c:pt>
                <c:pt idx="3">
                  <c:v>1999</c:v>
                </c:pt>
                <c:pt idx="4">
                  <c:v>2000</c:v>
                </c:pt>
                <c:pt idx="5">
                  <c:v>2001</c:v>
                </c:pt>
                <c:pt idx="6">
                  <c:v>2002</c:v>
                </c:pt>
                <c:pt idx="7">
                  <c:v>2003</c:v>
                </c:pt>
                <c:pt idx="8">
                  <c:v>2004</c:v>
                </c:pt>
                <c:pt idx="9">
                  <c:v>2005</c:v>
                </c:pt>
                <c:pt idx="10">
                  <c:v>2006</c:v>
                </c:pt>
                <c:pt idx="11">
                  <c:v>2007</c:v>
                </c:pt>
                <c:pt idx="12">
                  <c:v>2008</c:v>
                </c:pt>
                <c:pt idx="13">
                  <c:v>2009</c:v>
                </c:pt>
                <c:pt idx="14">
                  <c:v>2010</c:v>
                </c:pt>
                <c:pt idx="15">
                  <c:v>2011</c:v>
                </c:pt>
                <c:pt idx="16">
                  <c:v>2012</c:v>
                </c:pt>
                <c:pt idx="17">
                  <c:v>2013</c:v>
                </c:pt>
                <c:pt idx="18">
                  <c:v>2014</c:v>
                </c:pt>
                <c:pt idx="19">
                  <c:v>2015</c:v>
                </c:pt>
                <c:pt idx="20">
                  <c:v>2016</c:v>
                </c:pt>
                <c:pt idx="21">
                  <c:v>2017</c:v>
                </c:pt>
                <c:pt idx="22">
                  <c:v>2018</c:v>
                </c:pt>
              </c:numCache>
            </c:numRef>
          </c:cat>
          <c:val>
            <c:numRef>
              <c:f>DCF!$S$14:$AO$14</c:f>
              <c:numCache>
                <c:formatCode>0.00</c:formatCode>
                <c:ptCount val="23"/>
                <c:pt idx="0">
                  <c:v>22.864794385200298</c:v>
                </c:pt>
                <c:pt idx="1">
                  <c:v>23.416278952493716</c:v>
                </c:pt>
                <c:pt idx="2">
                  <c:v>21.627258668790805</c:v>
                </c:pt>
                <c:pt idx="3">
                  <c:v>24.915096296833266</c:v>
                </c:pt>
                <c:pt idx="4">
                  <c:v>19.850091975348828</c:v>
                </c:pt>
                <c:pt idx="5">
                  <c:v>19.650813244781475</c:v>
                </c:pt>
                <c:pt idx="6">
                  <c:v>16.348921417159648</c:v>
                </c:pt>
                <c:pt idx="7">
                  <c:v>15.535215584271382</c:v>
                </c:pt>
                <c:pt idx="8">
                  <c:v>16.036010944793464</c:v>
                </c:pt>
                <c:pt idx="9">
                  <c:v>18.205442123878889</c:v>
                </c:pt>
                <c:pt idx="10">
                  <c:v>13.905778870397754</c:v>
                </c:pt>
                <c:pt idx="11">
                  <c:v>14.208885677584306</c:v>
                </c:pt>
                <c:pt idx="12">
                  <c:v>21.132777432199532</c:v>
                </c:pt>
                <c:pt idx="13">
                  <c:v>26.301316248637015</c:v>
                </c:pt>
                <c:pt idx="14">
                  <c:v>17.802580732621365</c:v>
                </c:pt>
                <c:pt idx="15">
                  <c:v>17.943074775372242</c:v>
                </c:pt>
                <c:pt idx="16">
                  <c:v>18.178749452800286</c:v>
                </c:pt>
                <c:pt idx="17">
                  <c:v>14.046163017667121</c:v>
                </c:pt>
                <c:pt idx="18">
                  <c:v>10.091730913497409</c:v>
                </c:pt>
                <c:pt idx="19">
                  <c:v>7.629889039323734</c:v>
                </c:pt>
                <c:pt idx="20">
                  <c:v>6.0802164924068922</c:v>
                </c:pt>
                <c:pt idx="21">
                  <c:v>9.0662833642298644</c:v>
                </c:pt>
                <c:pt idx="22">
                  <c:v>12.281444248234671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B50E-47C5-9E05-BE8991168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16528768"/>
        <c:axId val="516538752"/>
      </c:lineChart>
      <c:catAx>
        <c:axId val="516528768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low"/>
        <c:spPr>
          <a:ln>
            <a:solidFill>
              <a:schemeClr val="tx1"/>
            </a:solidFill>
          </a:ln>
        </c:spPr>
        <c:txPr>
          <a:bodyPr rot="-5400000" vert="horz"/>
          <a:lstStyle/>
          <a:p>
            <a:pPr>
              <a:defRPr/>
            </a:pPr>
            <a:endParaRPr lang="en-US"/>
          </a:p>
        </c:txPr>
        <c:crossAx val="516538752"/>
        <c:crosses val="autoZero"/>
        <c:auto val="1"/>
        <c:lblAlgn val="ctr"/>
        <c:lblOffset val="100"/>
        <c:noMultiLvlLbl val="0"/>
      </c:catAx>
      <c:valAx>
        <c:axId val="516538752"/>
        <c:scaling>
          <c:orientation val="minMax"/>
        </c:scaling>
        <c:delete val="0"/>
        <c:axPos val="l"/>
        <c:majorGridlines>
          <c:spPr>
            <a:ln>
              <a:solidFill>
                <a:schemeClr val="bg1">
                  <a:lumMod val="85000"/>
                </a:schemeClr>
              </a:solidFill>
            </a:ln>
          </c:spPr>
        </c:majorGridlines>
        <c:numFmt formatCode="0.00" sourceLinked="1"/>
        <c:majorTickMark val="out"/>
        <c:minorTickMark val="none"/>
        <c:tickLblPos val="nextTo"/>
        <c:spPr>
          <a:ln>
            <a:solidFill>
              <a:schemeClr val="bg1">
                <a:lumMod val="85000"/>
              </a:schemeClr>
            </a:solidFill>
          </a:ln>
        </c:spPr>
        <c:crossAx val="516528768"/>
        <c:crosses val="autoZero"/>
        <c:crossBetween val="between"/>
      </c:valAx>
    </c:plotArea>
    <c:legend>
      <c:legendPos val="t"/>
      <c:overlay val="0"/>
    </c:legend>
    <c:plotVisOnly val="0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212912</xdr:colOff>
      <xdr:row>6</xdr:row>
      <xdr:rowOff>152400</xdr:rowOff>
    </xdr:from>
    <xdr:to>
      <xdr:col>51</xdr:col>
      <xdr:colOff>67235</xdr:colOff>
      <xdr:row>28</xdr:row>
      <xdr:rowOff>44823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7A686C17-8318-40BB-8ACF-EDAEEC22EDE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BNSSTATS981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ealth%20Management\Investments\Research\2.%20US%20Equity\3.%20Common%20Models\Watch%20list\EA%20CM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Wealth%20Management\Investments\Research\1.%20Investment%20Process\Financial%20Models\Canada%20Common%20Model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Chart%20in%20Microsoft%20PowerPoin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b\shared\Wealth%20Management\Investments\Research\Canadian%20Equity\Oil%20and%20Gas\Common%20Model%20-%20WIP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wb\shared\Users\maksymom\AppData\Local\Capital%20IQ\Office%20Plug-in\Templates\Ownership\Public%20Ownership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VALUE"/>
      <sheetName val="GRA"/>
      <sheetName val="REGR"/>
      <sheetName val="MARG"/>
      <sheetName val="ROE"/>
      <sheetName val="DATA"/>
      <sheetName val="SUM"/>
      <sheetName val="GROW"/>
      <sheetName val="CHT"/>
      <sheetName val="EST"/>
      <sheetName val="GRA2"/>
      <sheetName val="Sheet6"/>
      <sheetName val="Sheet7"/>
      <sheetName val="Sheet8"/>
      <sheetName val="Sheet9"/>
      <sheetName val="Sheet10"/>
      <sheetName val="Sheet11"/>
      <sheetName val="Sheet12"/>
      <sheetName val="Sheet13"/>
      <sheetName val="Sheet14"/>
      <sheetName val="Sheet15"/>
      <sheetName val="Sheet16"/>
      <sheetName val="Module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s"/>
      <sheetName val="TAM"/>
      <sheetName val="Financials"/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Capital IQ Lookups"/>
      <sheetName val="Operating Lease Expenses"/>
      <sheetName val="Debt"/>
      <sheetName val="WACC"/>
    </sheetNames>
    <sheetDataSet>
      <sheetData sheetId="0"/>
      <sheetData sheetId="1"/>
      <sheetData sheetId="2"/>
      <sheetData sheetId="3"/>
      <sheetData sheetId="4">
        <row r="1">
          <cell r="F1" t="str">
            <v>USD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</sheetNames>
    <sheetDataSet>
      <sheetData sheetId="0"/>
      <sheetData sheetId="1">
        <row r="60">
          <cell r="BS60" t="str">
            <v>IQT14352303</v>
          </cell>
          <cell r="CA60" t="str">
            <v>IQT14352303</v>
          </cell>
        </row>
        <row r="61">
          <cell r="BS61" t="str">
            <v>IQT14555649</v>
          </cell>
          <cell r="CA61" t="str">
            <v>IQT14555649</v>
          </cell>
        </row>
        <row r="62">
          <cell r="BS62" t="str">
            <v>IQT27436959</v>
          </cell>
          <cell r="CA62" t="str">
            <v>IQT27436959</v>
          </cell>
        </row>
        <row r="63">
          <cell r="BS63" t="str">
            <v>IQT38873049</v>
          </cell>
          <cell r="CA63" t="str">
            <v>IQT38873049</v>
          </cell>
        </row>
        <row r="64">
          <cell r="BS64" t="str">
            <v>IQT48704345</v>
          </cell>
          <cell r="CA64" t="str">
            <v>IQT48704345</v>
          </cell>
        </row>
        <row r="65">
          <cell r="BS65" t="str">
            <v>IQT573186502</v>
          </cell>
          <cell r="CA65" t="str">
            <v>IQT244596293</v>
          </cell>
        </row>
        <row r="66">
          <cell r="BS66" t="str">
            <v>IQT573186503</v>
          </cell>
          <cell r="CA66" t="str">
            <v>IQT672821198</v>
          </cell>
        </row>
        <row r="67">
          <cell r="BS67" t="str">
            <v>IQT573186504</v>
          </cell>
          <cell r="CA67" t="str">
            <v>IQT573186504</v>
          </cell>
        </row>
        <row r="68">
          <cell r="BS68" t="str">
            <v>IQT573186505</v>
          </cell>
          <cell r="CA68" t="str">
            <v>IQT573186505</v>
          </cell>
        </row>
        <row r="69">
          <cell r="BS69" t="str">
            <v>IQT573186506</v>
          </cell>
          <cell r="CA69" t="str">
            <v>IQT573186506</v>
          </cell>
        </row>
        <row r="70">
          <cell r="BS70" t="str">
            <v>IQT573186507</v>
          </cell>
          <cell r="CA70" t="str">
            <v>IQT573186507</v>
          </cell>
        </row>
        <row r="71">
          <cell r="BS71" t="str">
            <v>IQT573186508</v>
          </cell>
          <cell r="CA71" t="str">
            <v>IQT573186508</v>
          </cell>
        </row>
        <row r="72">
          <cell r="BS72" t="str">
            <v>IQT573186509</v>
          </cell>
          <cell r="CA72" t="str">
            <v>IQT573186509</v>
          </cell>
        </row>
        <row r="73">
          <cell r="BS73" t="str">
            <v>IQT573186510</v>
          </cell>
          <cell r="CA73" t="str">
            <v>IQT573186510</v>
          </cell>
        </row>
        <row r="74">
          <cell r="BS74" t="str">
            <v>IQT573186511</v>
          </cell>
          <cell r="CA74" t="str">
            <v>IQT573186511</v>
          </cell>
        </row>
        <row r="75">
          <cell r="BS75" t="str">
            <v>IQT573186512</v>
          </cell>
          <cell r="CA75" t="str">
            <v>IQT573186512</v>
          </cell>
        </row>
        <row r="76">
          <cell r="BS76" t="str">
            <v>IQT573186513</v>
          </cell>
          <cell r="CA76" t="str">
            <v>IQT573186513</v>
          </cell>
        </row>
        <row r="77">
          <cell r="BS77" t="str">
            <v>IQT573186514</v>
          </cell>
          <cell r="CA77" t="str">
            <v>IQT573186514</v>
          </cell>
        </row>
        <row r="78">
          <cell r="BS78" t="str">
            <v>IQT573186515</v>
          </cell>
          <cell r="CA78" t="str">
            <v>IQT573186515</v>
          </cell>
        </row>
        <row r="79">
          <cell r="BS79" t="str">
            <v>IQT573186516</v>
          </cell>
          <cell r="CA79" t="str">
            <v>IQT573186516</v>
          </cell>
        </row>
        <row r="80">
          <cell r="BS80" t="str">
            <v>IQT573186517</v>
          </cell>
          <cell r="CA80" t="str">
            <v>IQT573186517</v>
          </cell>
        </row>
        <row r="81">
          <cell r="BS81" t="str">
            <v>IQT573186518</v>
          </cell>
          <cell r="CA81" t="str">
            <v>IQT573186518</v>
          </cell>
        </row>
        <row r="82">
          <cell r="BS82" t="str">
            <v>IQT233595811</v>
          </cell>
          <cell r="CA82" t="str">
            <v>IQT233595811</v>
          </cell>
        </row>
        <row r="83">
          <cell r="BS83" t="str">
            <v>IQT573186519</v>
          </cell>
          <cell r="CA83" t="str">
            <v>IQT573186519</v>
          </cell>
        </row>
        <row r="84">
          <cell r="BS84" t="str">
            <v>IQT251938129</v>
          </cell>
          <cell r="CA84" t="str">
            <v>IQT251938129</v>
          </cell>
        </row>
        <row r="85">
          <cell r="BS85" t="str">
            <v>IQT573186520</v>
          </cell>
          <cell r="CA85" t="str">
            <v>IQT573186520</v>
          </cell>
        </row>
        <row r="86">
          <cell r="BS86" t="str">
            <v>IQT261391963</v>
          </cell>
          <cell r="CA86" t="str">
            <v>IQT261391963</v>
          </cell>
        </row>
        <row r="87">
          <cell r="BS87" t="str">
            <v>IQT573186521</v>
          </cell>
          <cell r="CA87" t="str">
            <v>IQT573186521</v>
          </cell>
        </row>
        <row r="88">
          <cell r="BS88" t="str">
            <v>IQT271972220</v>
          </cell>
          <cell r="CA88" t="str">
            <v>IQT271972220</v>
          </cell>
        </row>
        <row r="89">
          <cell r="BS89" t="str">
            <v>IQT573186522</v>
          </cell>
          <cell r="CA89" t="str">
            <v>IQT573186522</v>
          </cell>
        </row>
        <row r="90">
          <cell r="BS90" t="str">
            <v>IQT573186523</v>
          </cell>
          <cell r="CA90" t="str">
            <v>IQT573186523</v>
          </cell>
        </row>
        <row r="91">
          <cell r="BS91" t="str">
            <v>IQT289127113</v>
          </cell>
          <cell r="CA91" t="str">
            <v>IQT289127113</v>
          </cell>
        </row>
        <row r="93">
          <cell r="BS93" t="str">
            <v>IQT573186524</v>
          </cell>
          <cell r="CA93" t="str">
            <v>IQT573186524</v>
          </cell>
        </row>
        <row r="94">
          <cell r="BS94" t="str">
            <v>IQT573186525</v>
          </cell>
          <cell r="CA94" t="str">
            <v>IQT573186525</v>
          </cell>
        </row>
        <row r="95">
          <cell r="BS95" t="str">
            <v>IQT573186526</v>
          </cell>
          <cell r="CA95" t="str">
            <v>IQT573186526</v>
          </cell>
        </row>
        <row r="96">
          <cell r="BS96" t="str">
            <v>IQT573186527</v>
          </cell>
          <cell r="CA96" t="str">
            <v>IQT573186527</v>
          </cell>
        </row>
        <row r="97">
          <cell r="BS97" t="str">
            <v>IQT421814472</v>
          </cell>
          <cell r="CA97" t="str">
            <v>IQT421814472</v>
          </cell>
        </row>
        <row r="98">
          <cell r="BS98" t="str">
            <v>IQT573186528</v>
          </cell>
          <cell r="CA98" t="str">
            <v>IQT573186528</v>
          </cell>
        </row>
        <row r="99">
          <cell r="BS99" t="str">
            <v>IQT573186529</v>
          </cell>
          <cell r="CA99" t="str">
            <v>IQT573186529</v>
          </cell>
        </row>
        <row r="100">
          <cell r="BS100" t="str">
            <v>IQT570144610</v>
          </cell>
          <cell r="CA100" t="str">
            <v>IQT570144610</v>
          </cell>
        </row>
        <row r="101">
          <cell r="BS101" t="str">
            <v>IQT614561915</v>
          </cell>
          <cell r="CA101" t="str">
            <v>IQT614561915</v>
          </cell>
        </row>
        <row r="102">
          <cell r="BS102" t="str">
            <v>IQT647878606</v>
          </cell>
          <cell r="CA102" t="str">
            <v>IQT647878606</v>
          </cell>
        </row>
        <row r="103">
          <cell r="BS103">
            <v>0</v>
          </cell>
          <cell r="CA103">
            <v>0</v>
          </cell>
        </row>
        <row r="104">
          <cell r="BS104">
            <v>0</v>
          </cell>
          <cell r="CA104">
            <v>0</v>
          </cell>
        </row>
        <row r="105">
          <cell r="BS105">
            <v>0</v>
          </cell>
          <cell r="CA105">
            <v>0</v>
          </cell>
        </row>
        <row r="106">
          <cell r="BS106">
            <v>0</v>
          </cell>
          <cell r="CA106">
            <v>0</v>
          </cell>
        </row>
        <row r="107">
          <cell r="BS107">
            <v>0</v>
          </cell>
          <cell r="CA107">
            <v>0</v>
          </cell>
        </row>
        <row r="108">
          <cell r="BS108">
            <v>0</v>
          </cell>
          <cell r="CA108">
            <v>0</v>
          </cell>
        </row>
        <row r="109">
          <cell r="BS109">
            <v>0</v>
          </cell>
          <cell r="CA109">
            <v>0</v>
          </cell>
        </row>
        <row r="110">
          <cell r="BS110">
            <v>0</v>
          </cell>
          <cell r="CA110">
            <v>0</v>
          </cell>
        </row>
        <row r="169">
          <cell r="X169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thers"/>
      <sheetName val="Model"/>
      <sheetName val="Initiatives"/>
      <sheetName val="Plants"/>
      <sheetName val="Ratios"/>
      <sheetName val="_CIQHiddenCacheSheet"/>
      <sheetName val="DCF"/>
      <sheetName val="Tearsheet"/>
      <sheetName val="Score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  <sheetName val="Title"/>
      <sheetName val="Prezi Stuff - 6"/>
      <sheetName val="Prezi Stuff - 5"/>
      <sheetName val="Prezi Stuff - 4"/>
      <sheetName val="Prezi Stuff - 3"/>
      <sheetName val="Prezi Stuff - 2"/>
      <sheetName val="Prezi Stuff"/>
      <sheetName val="Ratios &amp; Assumptions"/>
      <sheetName val="10YR AVGS"/>
      <sheetName val="DCF - Bull Case"/>
      <sheetName val="DCF - Bear Case"/>
      <sheetName val="DCF - Base Case"/>
      <sheetName val="Income Statement"/>
      <sheetName val="Balance Sheet"/>
      <sheetName val="Cash Flow"/>
      <sheetName val="Segments"/>
      <sheetName val="Company Specifi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>
        <row r="13">
          <cell r="BS13" t="str">
            <v>IQT561008196</v>
          </cell>
        </row>
        <row r="170">
          <cell r="X170">
            <v>6.6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4">
          <cell r="A4" t="str">
            <v>IQT561008196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13">
          <cell r="BS13" t="str">
            <v>IQT60515336</v>
          </cell>
        </row>
      </sheetData>
      <sheetData sheetId="31">
        <row r="13">
          <cell r="BS13" t="str">
            <v>IQT60515336</v>
          </cell>
        </row>
      </sheetData>
      <sheetData sheetId="32">
        <row r="13">
          <cell r="BS13" t="str">
            <v>IQT60515336</v>
          </cell>
        </row>
      </sheetData>
      <sheetData sheetId="33" refreshError="1"/>
      <sheetData sheetId="34" refreshError="1"/>
      <sheetData sheetId="35" refreshError="1"/>
      <sheetData sheetId="36" refreshError="1"/>
      <sheetData sheetId="37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_CIQHiddenCacheSheet"/>
      <sheetName val="DCF"/>
      <sheetName val="Tearsheet"/>
      <sheetName val="Score"/>
      <sheetName val="Segments"/>
      <sheetName val="CQ Quant"/>
      <sheetName val="ESG_WIP"/>
      <sheetName val="Industry Group"/>
      <sheetName val="Industry Name"/>
      <sheetName val="Sub Industry "/>
      <sheetName val="R&amp;D_Amortizable Lives Look-up T"/>
      <sheetName val="DD_US Ind Avg"/>
      <sheetName val="Assumptions"/>
      <sheetName val="Hardcode"/>
      <sheetName val="Operating Lease Expenses"/>
      <sheetName val="Debt"/>
      <sheetName val="WACC"/>
    </sheetNames>
    <sheetDataSet>
      <sheetData sheetId="0"/>
      <sheetData sheetId="1">
        <row r="174">
          <cell r="X174">
            <v>6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Ownership"/>
      <sheetName val="World Map"/>
      <sheetName val="US Map"/>
      <sheetName val="Canada Map"/>
      <sheetName val="World Map Data Table"/>
      <sheetName val="US Map Data Table"/>
      <sheetName val="Canada Map Data Table"/>
      <sheetName val="Trend Charts"/>
      <sheetName val="Tearsheet"/>
      <sheetName val="Summary Charts"/>
    </sheetNames>
    <sheetDataSet>
      <sheetData sheetId="0">
        <row r="13">
          <cell r="A13" t="str">
            <v>IQ403413</v>
          </cell>
          <cell r="B13" t="str">
            <v>BlackRock, Inc.</v>
          </cell>
          <cell r="J13">
            <v>42887</v>
          </cell>
          <cell r="K13">
            <v>1725256860</v>
          </cell>
          <cell r="M13">
            <v>930879020</v>
          </cell>
          <cell r="O13">
            <v>1725256860</v>
          </cell>
        </row>
        <row r="14">
          <cell r="A14" t="str">
            <v>IQ109783</v>
          </cell>
          <cell r="B14" t="str">
            <v>Capital Research and Management Company</v>
          </cell>
          <cell r="J14">
            <v>42887</v>
          </cell>
          <cell r="K14">
            <v>799776668</v>
          </cell>
          <cell r="M14">
            <v>680065948</v>
          </cell>
          <cell r="O14">
            <v>799776668</v>
          </cell>
        </row>
        <row r="15">
          <cell r="A15" t="str">
            <v>IQ11940612</v>
          </cell>
          <cell r="B15" t="str">
            <v>Legal &amp; General Investment Management Limited</v>
          </cell>
          <cell r="J15">
            <v>42887</v>
          </cell>
          <cell r="K15">
            <v>758987821</v>
          </cell>
          <cell r="M15">
            <v>991206514</v>
          </cell>
          <cell r="O15">
            <v>758987821</v>
          </cell>
        </row>
        <row r="16">
          <cell r="A16" t="str">
            <v>IQ417222</v>
          </cell>
          <cell r="B16" t="str">
            <v>The Vanguard Group, Inc.</v>
          </cell>
          <cell r="J16">
            <v>42887</v>
          </cell>
          <cell r="K16">
            <v>746635916</v>
          </cell>
          <cell r="M16">
            <v>704592100</v>
          </cell>
          <cell r="O16">
            <v>746635916</v>
          </cell>
        </row>
        <row r="17">
          <cell r="A17" t="str">
            <v>IQ27082288</v>
          </cell>
          <cell r="B17" t="str">
            <v>UBS Asset Management</v>
          </cell>
          <cell r="J17">
            <v>42887</v>
          </cell>
          <cell r="K17">
            <v>722203258</v>
          </cell>
          <cell r="M17">
            <v>669938183</v>
          </cell>
          <cell r="O17">
            <v>722203258</v>
          </cell>
        </row>
        <row r="18">
          <cell r="A18" t="str">
            <v>IQ823170</v>
          </cell>
          <cell r="B18" t="str">
            <v>State Street Global Advisors, Inc.</v>
          </cell>
          <cell r="J18">
            <v>42887</v>
          </cell>
          <cell r="K18">
            <v>578794797</v>
          </cell>
          <cell r="M18">
            <v>598434881</v>
          </cell>
          <cell r="O18">
            <v>578794797</v>
          </cell>
        </row>
        <row r="19">
          <cell r="A19" t="str">
            <v>IQ27081864</v>
          </cell>
          <cell r="B19" t="str">
            <v>Norges Bank Investment Management</v>
          </cell>
          <cell r="J19">
            <v>42887</v>
          </cell>
          <cell r="K19">
            <v>570185646</v>
          </cell>
          <cell r="M19">
            <v>589377118</v>
          </cell>
          <cell r="O19">
            <v>570185646</v>
          </cell>
        </row>
        <row r="20">
          <cell r="A20" t="str">
            <v>IQ28703</v>
          </cell>
          <cell r="B20" t="str">
            <v>Franklin Resources, Inc.</v>
          </cell>
          <cell r="J20">
            <v>42887</v>
          </cell>
          <cell r="K20">
            <v>550240560</v>
          </cell>
          <cell r="M20">
            <v>538352205</v>
          </cell>
          <cell r="O20">
            <v>550240560</v>
          </cell>
        </row>
        <row r="21">
          <cell r="A21" t="str">
            <v>IQ4841023</v>
          </cell>
          <cell r="B21" t="str">
            <v>BNY Mellon Asset Management</v>
          </cell>
          <cell r="J21">
            <v>42887</v>
          </cell>
          <cell r="K21">
            <v>504249012</v>
          </cell>
          <cell r="M21">
            <v>633072444</v>
          </cell>
          <cell r="O21">
            <v>504249012</v>
          </cell>
        </row>
        <row r="22">
          <cell r="A22" t="str">
            <v>IQ137703</v>
          </cell>
          <cell r="B22" t="str">
            <v>Aberdeen Asset Management PLC</v>
          </cell>
          <cell r="J22">
            <v>42887</v>
          </cell>
          <cell r="K22">
            <v>501819416</v>
          </cell>
          <cell r="M22">
            <v>506314361</v>
          </cell>
          <cell r="O22">
            <v>501819416</v>
          </cell>
        </row>
        <row r="23">
          <cell r="A23" t="str">
            <v>IQ45276676</v>
          </cell>
          <cell r="B23" t="str">
            <v>Morgan Stanley, Investment Banking and Brokerage Investments</v>
          </cell>
          <cell r="J23">
            <v>42887</v>
          </cell>
          <cell r="K23">
            <v>415768533</v>
          </cell>
          <cell r="M23">
            <v>423200650</v>
          </cell>
          <cell r="O23">
            <v>415768533</v>
          </cell>
        </row>
        <row r="24">
          <cell r="A24" t="str">
            <v>IQ5928912</v>
          </cell>
          <cell r="B24" t="str">
            <v>Standard Life Investments Limited</v>
          </cell>
          <cell r="J24">
            <v>42887</v>
          </cell>
          <cell r="K24">
            <v>372734806</v>
          </cell>
          <cell r="M24">
            <v>385342872</v>
          </cell>
          <cell r="O24">
            <v>372734806</v>
          </cell>
        </row>
        <row r="25">
          <cell r="A25" t="str">
            <v>IQ23217</v>
          </cell>
          <cell r="B25" t="str">
            <v>T. Rowe Price Group, Inc.</v>
          </cell>
          <cell r="J25">
            <v>42887</v>
          </cell>
          <cell r="K25">
            <v>366121919</v>
          </cell>
          <cell r="M25">
            <v>365473195</v>
          </cell>
          <cell r="O25">
            <v>366121919</v>
          </cell>
        </row>
        <row r="26">
          <cell r="A26" t="str">
            <v>IQ12221461</v>
          </cell>
          <cell r="B26" t="str">
            <v>Schroder Investment Management Limited</v>
          </cell>
          <cell r="J26">
            <v>42887</v>
          </cell>
          <cell r="K26">
            <v>349998344</v>
          </cell>
          <cell r="M26">
            <v>353330162</v>
          </cell>
          <cell r="O26">
            <v>349998344</v>
          </cell>
        </row>
        <row r="27">
          <cell r="A27" t="str">
            <v>IQ383724</v>
          </cell>
          <cell r="B27" t="str">
            <v>Federated Investors, Inc.</v>
          </cell>
          <cell r="J27">
            <v>42887</v>
          </cell>
          <cell r="K27">
            <v>341309427</v>
          </cell>
          <cell r="M27">
            <v>341309427</v>
          </cell>
          <cell r="O27">
            <v>341309427</v>
          </cell>
        </row>
        <row r="28">
          <cell r="A28" t="str">
            <v>IQ6489375</v>
          </cell>
          <cell r="B28" t="str">
            <v>HSBC Global Asset Management (UK) Limited</v>
          </cell>
          <cell r="J28">
            <v>42887</v>
          </cell>
          <cell r="K28">
            <v>318534966</v>
          </cell>
          <cell r="M28">
            <v>303765909</v>
          </cell>
          <cell r="O28">
            <v>318534966</v>
          </cell>
        </row>
        <row r="29">
          <cell r="A29" t="str">
            <v>IQ279974139</v>
          </cell>
          <cell r="B29" t="str">
            <v>JPMorgan Chase &amp; Co, Brokerage and Securities Investments</v>
          </cell>
          <cell r="J29">
            <v>42887</v>
          </cell>
          <cell r="K29">
            <v>305930581</v>
          </cell>
          <cell r="M29">
            <v>373496153</v>
          </cell>
          <cell r="O29">
            <v>305930581</v>
          </cell>
        </row>
        <row r="30">
          <cell r="A30" t="str">
            <v>IQ1925133</v>
          </cell>
          <cell r="B30" t="str">
            <v>J.P. Morgan Asset Management, Inc.</v>
          </cell>
          <cell r="J30">
            <v>42887</v>
          </cell>
          <cell r="K30">
            <v>291257490</v>
          </cell>
          <cell r="M30">
            <v>305510870</v>
          </cell>
          <cell r="O30">
            <v>291257490</v>
          </cell>
        </row>
        <row r="31">
          <cell r="A31" t="str">
            <v>IQ4806696</v>
          </cell>
          <cell r="B31" t="str">
            <v>Aviva Investors Global Services Limited</v>
          </cell>
          <cell r="J31">
            <v>42887</v>
          </cell>
          <cell r="K31">
            <v>276033208</v>
          </cell>
          <cell r="M31">
            <v>277271169</v>
          </cell>
          <cell r="O31">
            <v>276033208</v>
          </cell>
        </row>
        <row r="32">
          <cell r="A32" t="str">
            <v>IQ4509118</v>
          </cell>
          <cell r="B32" t="str">
            <v>Fisher Investments</v>
          </cell>
          <cell r="J32">
            <v>42916</v>
          </cell>
          <cell r="K32">
            <v>264021362</v>
          </cell>
          <cell r="M32">
            <v>151204302</v>
          </cell>
          <cell r="O32">
            <v>264021362</v>
          </cell>
        </row>
        <row r="33">
          <cell r="A33" t="str">
            <v>IQ384779</v>
          </cell>
          <cell r="B33" t="str">
            <v>Invesco Ltd.</v>
          </cell>
          <cell r="J33">
            <v>42887</v>
          </cell>
          <cell r="K33">
            <v>257994770</v>
          </cell>
          <cell r="M33">
            <v>255926069</v>
          </cell>
          <cell r="O33">
            <v>257994770</v>
          </cell>
        </row>
        <row r="34">
          <cell r="A34" t="str">
            <v>IQ3182643</v>
          </cell>
          <cell r="B34" t="str">
            <v>Dimensional Fund Advisors LP</v>
          </cell>
          <cell r="J34">
            <v>42887</v>
          </cell>
          <cell r="K34">
            <v>246420844</v>
          </cell>
          <cell r="M34">
            <v>250918934</v>
          </cell>
          <cell r="O34">
            <v>246420844</v>
          </cell>
        </row>
        <row r="35">
          <cell r="A35" t="str">
            <v>IQ26814459</v>
          </cell>
          <cell r="B35" t="str">
            <v>Causeway Capital Management LLC</v>
          </cell>
          <cell r="J35">
            <v>42887</v>
          </cell>
          <cell r="K35">
            <v>215819746</v>
          </cell>
          <cell r="M35">
            <v>210055526</v>
          </cell>
          <cell r="O35">
            <v>215819746</v>
          </cell>
        </row>
        <row r="36">
          <cell r="A36" t="str">
            <v>IQ5557540</v>
          </cell>
          <cell r="B36" t="str">
            <v>M&amp;G Investment Management Limited</v>
          </cell>
          <cell r="J36">
            <v>42887</v>
          </cell>
          <cell r="K36">
            <v>202403138</v>
          </cell>
          <cell r="M36">
            <v>204314132</v>
          </cell>
          <cell r="O36">
            <v>202403138</v>
          </cell>
        </row>
        <row r="37">
          <cell r="A37" t="str">
            <v>IQ246790716</v>
          </cell>
          <cell r="B37" t="str">
            <v>Vodafone Group plc, Share Incentive Plan</v>
          </cell>
          <cell r="J37">
            <v>42887</v>
          </cell>
          <cell r="K37">
            <v>202386586</v>
          </cell>
          <cell r="M37">
            <v>205057916</v>
          </cell>
          <cell r="O37">
            <v>202386586</v>
          </cell>
        </row>
        <row r="38">
          <cell r="A38" t="str">
            <v>IQ4629637</v>
          </cell>
          <cell r="B38" t="str">
            <v>Northern Trust Global Investments</v>
          </cell>
          <cell r="J38">
            <v>42887</v>
          </cell>
          <cell r="K38">
            <v>197482917</v>
          </cell>
          <cell r="M38">
            <v>192234454</v>
          </cell>
          <cell r="O38">
            <v>197482917</v>
          </cell>
        </row>
        <row r="39">
          <cell r="A39" t="str">
            <v>IQ28461984</v>
          </cell>
          <cell r="B39" t="str">
            <v>Government Of People's Republic Of China</v>
          </cell>
          <cell r="J39">
            <v>42887</v>
          </cell>
          <cell r="K39">
            <v>185468890</v>
          </cell>
          <cell r="M39">
            <v>189172277</v>
          </cell>
          <cell r="O39">
            <v>185468890</v>
          </cell>
        </row>
        <row r="40">
          <cell r="A40" t="str">
            <v>IQ51450685</v>
          </cell>
          <cell r="B40" t="str">
            <v>Credit Suisse, Investment Banking and Securities Investments</v>
          </cell>
          <cell r="J40">
            <v>42887</v>
          </cell>
          <cell r="K40">
            <v>176978393</v>
          </cell>
          <cell r="M40">
            <v>169559463</v>
          </cell>
          <cell r="O40">
            <v>176978393</v>
          </cell>
        </row>
        <row r="41">
          <cell r="A41" t="str">
            <v>IQ41542881</v>
          </cell>
          <cell r="B41" t="str">
            <v>Coöperatieve Centrale Raiffeisen-Boerenleenbank B.A., Asset Management Arm</v>
          </cell>
          <cell r="J41">
            <v>42887</v>
          </cell>
          <cell r="K41">
            <v>176404864</v>
          </cell>
          <cell r="M41">
            <v>124670247</v>
          </cell>
          <cell r="O41">
            <v>176404864</v>
          </cell>
        </row>
        <row r="42">
          <cell r="A42" t="str">
            <v>IQ21922514</v>
          </cell>
          <cell r="B42" t="str">
            <v>Kuwait Investment Authority</v>
          </cell>
          <cell r="J42">
            <v>42887</v>
          </cell>
          <cell r="K42">
            <v>171829911</v>
          </cell>
          <cell r="M42">
            <v>155674776</v>
          </cell>
          <cell r="O42">
            <v>171829911</v>
          </cell>
        </row>
        <row r="43">
          <cell r="A43" t="str">
            <v>IQ5114011</v>
          </cell>
          <cell r="B43" t="str">
            <v>Hotchkis and Wiley Capital Management, LLC</v>
          </cell>
          <cell r="J43">
            <v>42886</v>
          </cell>
          <cell r="K43">
            <v>169785000</v>
          </cell>
          <cell r="M43">
            <v>169784418</v>
          </cell>
          <cell r="O43">
            <v>169785000</v>
          </cell>
        </row>
        <row r="44">
          <cell r="A44" t="str">
            <v>IQ20702899</v>
          </cell>
          <cell r="B44" t="str">
            <v>Majedie Asset Management Limited</v>
          </cell>
          <cell r="J44">
            <v>42887</v>
          </cell>
          <cell r="K44">
            <v>161360807</v>
          </cell>
          <cell r="M44">
            <v>132730146</v>
          </cell>
          <cell r="O44">
            <v>161360807</v>
          </cell>
        </row>
        <row r="45">
          <cell r="A45" t="str">
            <v>IQ3796741</v>
          </cell>
          <cell r="B45" t="str">
            <v>Amundi Asset Management</v>
          </cell>
          <cell r="J45">
            <v>42887</v>
          </cell>
          <cell r="K45">
            <v>153962552</v>
          </cell>
          <cell r="M45">
            <v>127127671</v>
          </cell>
          <cell r="O45">
            <v>153962552</v>
          </cell>
        </row>
        <row r="46">
          <cell r="A46" t="str">
            <v>IQ10198746</v>
          </cell>
          <cell r="B46" t="str">
            <v>Epoch Investment Partners, Inc.</v>
          </cell>
          <cell r="J46">
            <v>42887</v>
          </cell>
          <cell r="K46">
            <v>149994016</v>
          </cell>
          <cell r="M46">
            <v>127279932</v>
          </cell>
          <cell r="O46">
            <v>149994016</v>
          </cell>
        </row>
        <row r="47">
          <cell r="A47" t="str">
            <v>IQ868981</v>
          </cell>
          <cell r="B47" t="str">
            <v>Royal London Asset Management Limited</v>
          </cell>
          <cell r="J47">
            <v>42887</v>
          </cell>
          <cell r="K47">
            <v>138424422</v>
          </cell>
          <cell r="M47">
            <v>136361342</v>
          </cell>
          <cell r="O47">
            <v>138424422</v>
          </cell>
        </row>
        <row r="48">
          <cell r="A48" t="str">
            <v>IQ37412913</v>
          </cell>
          <cell r="B48" t="str">
            <v>Charles Stanley &amp; Co. Ltd, Asset Management Arm</v>
          </cell>
          <cell r="J48">
            <v>42887</v>
          </cell>
          <cell r="K48">
            <v>133649276</v>
          </cell>
          <cell r="M48">
            <v>136165697</v>
          </cell>
          <cell r="O48">
            <v>133649276</v>
          </cell>
        </row>
        <row r="49">
          <cell r="A49" t="str">
            <v>IQ35483504</v>
          </cell>
          <cell r="B49" t="str">
            <v>DZ Bank AG, Asset Management Arm</v>
          </cell>
          <cell r="J49">
            <v>42887</v>
          </cell>
          <cell r="K49">
            <v>132766174</v>
          </cell>
          <cell r="M49">
            <v>147113220</v>
          </cell>
          <cell r="O49">
            <v>132766174</v>
          </cell>
        </row>
        <row r="50">
          <cell r="A50" t="str">
            <v>IQ31211063</v>
          </cell>
          <cell r="B50" t="str">
            <v>Deutsche Bank, Private Banking and Investment Banking Investments</v>
          </cell>
          <cell r="J50">
            <v>42887</v>
          </cell>
          <cell r="K50">
            <v>132294128</v>
          </cell>
          <cell r="M50">
            <v>66053078</v>
          </cell>
          <cell r="O50">
            <v>132294128</v>
          </cell>
        </row>
        <row r="51">
          <cell r="A51" t="str">
            <v>IQ410077483</v>
          </cell>
          <cell r="B51" t="str">
            <v>FMR LLC</v>
          </cell>
          <cell r="J51">
            <v>42887</v>
          </cell>
          <cell r="K51">
            <v>131937130</v>
          </cell>
          <cell r="M51">
            <v>130452828</v>
          </cell>
          <cell r="O51">
            <v>131937130</v>
          </cell>
        </row>
        <row r="52">
          <cell r="A52" t="str">
            <v>IQ222921084</v>
          </cell>
          <cell r="B52" t="str">
            <v>USS Investment Management Limited</v>
          </cell>
          <cell r="J52">
            <v>42887</v>
          </cell>
          <cell r="K52">
            <v>131710658</v>
          </cell>
          <cell r="M52">
            <v>131710658</v>
          </cell>
          <cell r="O52">
            <v>131710658</v>
          </cell>
        </row>
        <row r="53">
          <cell r="A53" t="str">
            <v>IQ28827734</v>
          </cell>
          <cell r="B53" t="str">
            <v>J O Hambro Capital Management Limited</v>
          </cell>
          <cell r="J53">
            <v>42887</v>
          </cell>
          <cell r="K53">
            <v>127952888</v>
          </cell>
          <cell r="M53">
            <v>89691787</v>
          </cell>
          <cell r="O53">
            <v>127952888</v>
          </cell>
        </row>
        <row r="54">
          <cell r="A54" t="str">
            <v>IQ27289249</v>
          </cell>
          <cell r="B54" t="str">
            <v>Hargreaves Lansdown Asset Management Limited</v>
          </cell>
          <cell r="J54">
            <v>42887</v>
          </cell>
          <cell r="K54">
            <v>120538846</v>
          </cell>
          <cell r="M54">
            <v>128023249</v>
          </cell>
          <cell r="O54">
            <v>120538846</v>
          </cell>
        </row>
        <row r="55">
          <cell r="A55" t="str">
            <v>IQ868792</v>
          </cell>
          <cell r="B55" t="str">
            <v>Massachusetts Financial Services Company</v>
          </cell>
          <cell r="J55">
            <v>42887</v>
          </cell>
          <cell r="K55">
            <v>113050412</v>
          </cell>
          <cell r="M55">
            <v>129102881</v>
          </cell>
          <cell r="O55">
            <v>113050412</v>
          </cell>
        </row>
        <row r="56">
          <cell r="A56" t="str">
            <v>IQ246748</v>
          </cell>
          <cell r="B56" t="str">
            <v>Teachers Insurance and Annuity Association of America - College Retirement Equities Fund</v>
          </cell>
          <cell r="J56">
            <v>42887</v>
          </cell>
          <cell r="K56">
            <v>111092885</v>
          </cell>
          <cell r="M56">
            <v>105677639</v>
          </cell>
          <cell r="O56">
            <v>111092885</v>
          </cell>
        </row>
        <row r="57">
          <cell r="A57" t="str">
            <v>IQ224620639</v>
          </cell>
          <cell r="B57" t="str">
            <v>Artemis Investment Management LLP</v>
          </cell>
          <cell r="J57">
            <v>42887</v>
          </cell>
          <cell r="K57">
            <v>108657905</v>
          </cell>
          <cell r="M57">
            <v>114562911</v>
          </cell>
          <cell r="O57">
            <v>108657905</v>
          </cell>
        </row>
        <row r="58">
          <cell r="A58" t="str">
            <v>IQ24811017</v>
          </cell>
          <cell r="B58" t="str">
            <v>Henderson Global Investors Limited</v>
          </cell>
          <cell r="J58">
            <v>42887</v>
          </cell>
          <cell r="K58">
            <v>107363878</v>
          </cell>
          <cell r="M58">
            <v>91855137</v>
          </cell>
          <cell r="O58">
            <v>107363878</v>
          </cell>
        </row>
        <row r="59">
          <cell r="A59" t="str">
            <v>IQ41575952</v>
          </cell>
          <cell r="B59" t="str">
            <v>Swiss National Bank, Asset Management Arm</v>
          </cell>
          <cell r="J59">
            <v>42887</v>
          </cell>
          <cell r="K59">
            <v>104112651</v>
          </cell>
          <cell r="M59">
            <v>111362765</v>
          </cell>
          <cell r="O59">
            <v>104112651</v>
          </cell>
        </row>
        <row r="60">
          <cell r="A60" t="str">
            <v>IQ22797693</v>
          </cell>
          <cell r="B60" t="str">
            <v>Allianz Asset Management AG</v>
          </cell>
          <cell r="J60">
            <v>42887</v>
          </cell>
          <cell r="K60">
            <v>102880950</v>
          </cell>
          <cell r="M60">
            <v>112718893</v>
          </cell>
          <cell r="O60">
            <v>102880950</v>
          </cell>
        </row>
        <row r="61">
          <cell r="A61" t="str">
            <v>IQ40208978</v>
          </cell>
          <cell r="B61" t="str">
            <v>Brewin Dolphin Limited</v>
          </cell>
          <cell r="J61">
            <v>42887</v>
          </cell>
          <cell r="K61">
            <v>102566536</v>
          </cell>
          <cell r="M61">
            <v>101320482</v>
          </cell>
          <cell r="O61">
            <v>102566536</v>
          </cell>
        </row>
        <row r="62">
          <cell r="A62" t="str">
            <v>IQ997536</v>
          </cell>
          <cell r="B62" t="str">
            <v>AXA Investment Managers S.A.</v>
          </cell>
          <cell r="J62">
            <v>42887</v>
          </cell>
          <cell r="K62">
            <v>101798748</v>
          </cell>
          <cell r="M62">
            <v>129505375</v>
          </cell>
          <cell r="O62">
            <v>101798748</v>
          </cell>
        </row>
        <row r="63">
          <cell r="A63" t="str">
            <v>IQ5074057</v>
          </cell>
          <cell r="B63" t="str">
            <v>Rathbone Investment Management Limited</v>
          </cell>
          <cell r="J63">
            <v>42887</v>
          </cell>
          <cell r="K63">
            <v>101315049</v>
          </cell>
          <cell r="M63">
            <v>103192614</v>
          </cell>
          <cell r="O63">
            <v>101315049</v>
          </cell>
        </row>
        <row r="64">
          <cell r="A64" t="str">
            <v>IQ134268671</v>
          </cell>
          <cell r="B64" t="str">
            <v>Societe Generale Group, Banking Investments</v>
          </cell>
          <cell r="J64">
            <v>42887</v>
          </cell>
          <cell r="K64">
            <v>98127459</v>
          </cell>
          <cell r="M64">
            <v>77667363</v>
          </cell>
          <cell r="O64">
            <v>98127459</v>
          </cell>
        </row>
        <row r="65">
          <cell r="A65" t="str">
            <v>IQ661650</v>
          </cell>
          <cell r="B65" t="str">
            <v>OppenheimerFunds, Inc.</v>
          </cell>
          <cell r="J65">
            <v>42887</v>
          </cell>
          <cell r="K65">
            <v>95441607</v>
          </cell>
          <cell r="M65">
            <v>98677677</v>
          </cell>
          <cell r="O65">
            <v>95441607</v>
          </cell>
        </row>
        <row r="66">
          <cell r="A66" t="str">
            <v>IQ5455123</v>
          </cell>
          <cell r="B66" t="str">
            <v>Investec Wealth &amp; Investment Limited</v>
          </cell>
          <cell r="J66">
            <v>42887</v>
          </cell>
          <cell r="K66">
            <v>94585076</v>
          </cell>
          <cell r="M66">
            <v>103240698</v>
          </cell>
          <cell r="O66">
            <v>94585076</v>
          </cell>
        </row>
        <row r="67">
          <cell r="A67" t="str">
            <v>IQ27771658</v>
          </cell>
          <cell r="B67" t="str">
            <v>Santander Asset Management, S.A., S.G.I.I.C.</v>
          </cell>
          <cell r="J67">
            <v>42916</v>
          </cell>
          <cell r="K67">
            <v>89340177</v>
          </cell>
          <cell r="M67">
            <v>50342773</v>
          </cell>
          <cell r="O67">
            <v>89340177</v>
          </cell>
        </row>
        <row r="68">
          <cell r="A68" t="str">
            <v>IQ60503615</v>
          </cell>
          <cell r="B68" t="str">
            <v>Deutsche Asset &amp; Wealth Management</v>
          </cell>
          <cell r="J68">
            <v>42887</v>
          </cell>
          <cell r="K68">
            <v>87187626</v>
          </cell>
          <cell r="M68">
            <v>125785914</v>
          </cell>
          <cell r="O68">
            <v>87187626</v>
          </cell>
        </row>
        <row r="69">
          <cell r="A69" t="str">
            <v>IQ3599336</v>
          </cell>
          <cell r="B69" t="str">
            <v>Pzena Investment Management, Inc</v>
          </cell>
          <cell r="J69">
            <v>42887</v>
          </cell>
          <cell r="K69">
            <v>80786776</v>
          </cell>
          <cell r="M69">
            <v>77470320</v>
          </cell>
          <cell r="O69">
            <v>80786776</v>
          </cell>
        </row>
        <row r="70">
          <cell r="A70" t="str">
            <v>IQ660915</v>
          </cell>
          <cell r="B70" t="str">
            <v>Wellcome Trust, Investment Division</v>
          </cell>
          <cell r="J70">
            <v>42887</v>
          </cell>
          <cell r="K70">
            <v>80000000</v>
          </cell>
          <cell r="M70">
            <v>80000000</v>
          </cell>
          <cell r="O70">
            <v>80000000</v>
          </cell>
        </row>
        <row r="71">
          <cell r="A71" t="str">
            <v>IQ280208182</v>
          </cell>
          <cell r="B71" t="str">
            <v>Wells Fargo &amp; Company, Securities and Brokerage Investments</v>
          </cell>
          <cell r="J71">
            <v>42825</v>
          </cell>
          <cell r="K71">
            <v>78695970</v>
          </cell>
          <cell r="M71">
            <v>78695970</v>
          </cell>
          <cell r="O71">
            <v>78695970</v>
          </cell>
        </row>
        <row r="72">
          <cell r="A72" t="str">
            <v>IQ796830</v>
          </cell>
          <cell r="B72" t="str">
            <v>GIC Pte. Ltd.</v>
          </cell>
          <cell r="J72">
            <v>42887</v>
          </cell>
          <cell r="K72">
            <v>77758423</v>
          </cell>
          <cell r="M72">
            <v>81668287</v>
          </cell>
          <cell r="O72">
            <v>77758423</v>
          </cell>
        </row>
        <row r="73">
          <cell r="A73" t="str">
            <v>IQ54496609</v>
          </cell>
          <cell r="B73" t="str">
            <v>Commerzbank AG, Asset Management Arm</v>
          </cell>
          <cell r="J73">
            <v>42887</v>
          </cell>
          <cell r="K73">
            <v>77437950</v>
          </cell>
          <cell r="M73">
            <v>63311909</v>
          </cell>
          <cell r="O73">
            <v>77437950</v>
          </cell>
        </row>
        <row r="74">
          <cell r="A74" t="str">
            <v>IQ45466394</v>
          </cell>
          <cell r="B74" t="str">
            <v>BNP Paribas, Private &amp; Investment Banking Investments</v>
          </cell>
          <cell r="J74">
            <v>42887</v>
          </cell>
          <cell r="K74">
            <v>76203450</v>
          </cell>
          <cell r="M74">
            <v>130571237</v>
          </cell>
          <cell r="O74">
            <v>76203450</v>
          </cell>
        </row>
        <row r="75">
          <cell r="A75" t="str">
            <v>IQ4792614</v>
          </cell>
          <cell r="B75" t="str">
            <v>Thornburg Investment Management, Inc.</v>
          </cell>
          <cell r="J75">
            <v>42887</v>
          </cell>
          <cell r="K75">
            <v>75109324</v>
          </cell>
          <cell r="M75">
            <v>75109324</v>
          </cell>
          <cell r="O75">
            <v>75109324</v>
          </cell>
        </row>
        <row r="76">
          <cell r="A76" t="str">
            <v>IQ5449290</v>
          </cell>
          <cell r="B76" t="str">
            <v>Ignis Investment Services Limited</v>
          </cell>
          <cell r="J76">
            <v>42887</v>
          </cell>
          <cell r="K76">
            <v>72450004</v>
          </cell>
          <cell r="M76">
            <v>72450004</v>
          </cell>
          <cell r="O76">
            <v>72450004</v>
          </cell>
        </row>
        <row r="77">
          <cell r="A77" t="str">
            <v>IQ24886433</v>
          </cell>
          <cell r="B77" t="str">
            <v>Raymond James Financial Inc., Asset Management Arm</v>
          </cell>
          <cell r="J77">
            <v>42825</v>
          </cell>
          <cell r="K77">
            <v>68615130</v>
          </cell>
          <cell r="M77">
            <v>68615130</v>
          </cell>
          <cell r="O77">
            <v>68615130</v>
          </cell>
        </row>
        <row r="78">
          <cell r="A78" t="str">
            <v>IQ20405404</v>
          </cell>
          <cell r="B78" t="str">
            <v>Kames Capital plc</v>
          </cell>
          <cell r="J78">
            <v>42887</v>
          </cell>
          <cell r="K78">
            <v>67218723</v>
          </cell>
          <cell r="M78">
            <v>70188737</v>
          </cell>
          <cell r="O78">
            <v>67218723</v>
          </cell>
        </row>
        <row r="79">
          <cell r="A79" t="str">
            <v>IQ35159421</v>
          </cell>
          <cell r="B79" t="str">
            <v>Merrill Lynch &amp; Co. Inc., Banking Investments</v>
          </cell>
          <cell r="J79">
            <v>42887</v>
          </cell>
          <cell r="K79">
            <v>67201411</v>
          </cell>
          <cell r="M79">
            <v>45091469</v>
          </cell>
          <cell r="O79">
            <v>67201411</v>
          </cell>
        </row>
        <row r="80">
          <cell r="A80" t="str">
            <v>IQ5068102</v>
          </cell>
          <cell r="B80" t="str">
            <v>Altrinsic Global Advisors, LLC</v>
          </cell>
          <cell r="J80">
            <v>42825</v>
          </cell>
          <cell r="K80">
            <v>66730530</v>
          </cell>
          <cell r="M80">
            <v>66392180</v>
          </cell>
          <cell r="O80">
            <v>66730530</v>
          </cell>
        </row>
        <row r="81">
          <cell r="A81" t="str">
            <v>IQ20726731</v>
          </cell>
          <cell r="B81" t="str">
            <v>Old Mutual Global Investors</v>
          </cell>
          <cell r="J81">
            <v>42887</v>
          </cell>
          <cell r="K81">
            <v>66311654</v>
          </cell>
          <cell r="M81">
            <v>67280005</v>
          </cell>
          <cell r="O81">
            <v>66311654</v>
          </cell>
        </row>
        <row r="82">
          <cell r="A82" t="str">
            <v>IQ4853228</v>
          </cell>
          <cell r="B82" t="str">
            <v>Sound Shore Management, Inc.</v>
          </cell>
          <cell r="J82">
            <v>42825</v>
          </cell>
          <cell r="K82">
            <v>66206810</v>
          </cell>
          <cell r="M82">
            <v>66206810</v>
          </cell>
          <cell r="O82">
            <v>66206810</v>
          </cell>
        </row>
        <row r="83">
          <cell r="A83" t="str">
            <v>IQ45511281</v>
          </cell>
          <cell r="B83" t="str">
            <v>Sumitomo Mitsui Financial Group Inc., Asset Management Arm</v>
          </cell>
          <cell r="J83">
            <v>42887</v>
          </cell>
          <cell r="K83">
            <v>66053579</v>
          </cell>
          <cell r="M83">
            <v>67978472</v>
          </cell>
          <cell r="O83">
            <v>66053579</v>
          </cell>
        </row>
        <row r="84">
          <cell r="A84" t="str">
            <v>IQ39100647</v>
          </cell>
          <cell r="B84" t="str">
            <v>Managed Account Advisors LLC</v>
          </cell>
          <cell r="J84">
            <v>42825</v>
          </cell>
          <cell r="K84">
            <v>65792940</v>
          </cell>
          <cell r="M84">
            <v>65792940</v>
          </cell>
          <cell r="O84">
            <v>65792940</v>
          </cell>
        </row>
        <row r="85">
          <cell r="A85" t="str">
            <v>IQ26914859</v>
          </cell>
          <cell r="B85" t="str">
            <v>Toronto-Dominion Bank, Securities Investments</v>
          </cell>
          <cell r="J85">
            <v>42887</v>
          </cell>
          <cell r="K85">
            <v>64467436</v>
          </cell>
          <cell r="M85">
            <v>69079848</v>
          </cell>
          <cell r="O85">
            <v>64467436</v>
          </cell>
        </row>
        <row r="86">
          <cell r="A86" t="str">
            <v>IQ45275521</v>
          </cell>
          <cell r="B86" t="str">
            <v>Barclays Bank PLC, Wealth and Investment Management Division</v>
          </cell>
          <cell r="J86">
            <v>42887</v>
          </cell>
          <cell r="K86">
            <v>64197831</v>
          </cell>
          <cell r="M86">
            <v>77564527</v>
          </cell>
          <cell r="O86">
            <v>64197831</v>
          </cell>
        </row>
        <row r="87">
          <cell r="A87" t="str">
            <v>IQ28606822</v>
          </cell>
          <cell r="B87" t="str">
            <v>Sanderson Partners Ltd</v>
          </cell>
          <cell r="J87">
            <v>42887</v>
          </cell>
          <cell r="K87">
            <v>63603917</v>
          </cell>
          <cell r="M87">
            <v>64180655</v>
          </cell>
          <cell r="O87">
            <v>63603917</v>
          </cell>
        </row>
        <row r="88">
          <cell r="A88" t="str">
            <v>IQ4161650</v>
          </cell>
          <cell r="B88" t="str">
            <v>AllianceBernstein L.P.</v>
          </cell>
          <cell r="J88">
            <v>42887</v>
          </cell>
          <cell r="K88">
            <v>62761700</v>
          </cell>
          <cell r="M88">
            <v>75439020</v>
          </cell>
          <cell r="O88">
            <v>62761700</v>
          </cell>
        </row>
        <row r="89">
          <cell r="A89" t="str">
            <v>IQ946225</v>
          </cell>
          <cell r="B89" t="str">
            <v>Capital Group International Inc.</v>
          </cell>
          <cell r="J89">
            <v>42887</v>
          </cell>
          <cell r="K89">
            <v>61375980</v>
          </cell>
          <cell r="M89">
            <v>108355805</v>
          </cell>
          <cell r="O89">
            <v>61375980</v>
          </cell>
        </row>
        <row r="90">
          <cell r="A90" t="str">
            <v>IQ161245</v>
          </cell>
          <cell r="B90" t="str">
            <v>California Public Employees' Retirement System</v>
          </cell>
          <cell r="J90">
            <v>42887</v>
          </cell>
          <cell r="K90">
            <v>60089825</v>
          </cell>
          <cell r="M90">
            <v>58825279</v>
          </cell>
          <cell r="O90">
            <v>60089825</v>
          </cell>
        </row>
        <row r="91">
          <cell r="A91" t="str">
            <v>IQ172314482</v>
          </cell>
          <cell r="B91" t="str">
            <v>NFU Mutual Investment Services Limited</v>
          </cell>
          <cell r="J91">
            <v>42887</v>
          </cell>
          <cell r="K91">
            <v>59034090</v>
          </cell>
          <cell r="M91">
            <v>60709718</v>
          </cell>
          <cell r="O91">
            <v>59034090</v>
          </cell>
        </row>
        <row r="92">
          <cell r="A92" t="str">
            <v>IQ6771322</v>
          </cell>
          <cell r="B92" t="str">
            <v>Employees Provident Fund of Malaysia</v>
          </cell>
          <cell r="J92">
            <v>42887</v>
          </cell>
          <cell r="K92">
            <v>58767000</v>
          </cell>
          <cell r="M92">
            <v>52220000</v>
          </cell>
          <cell r="O92">
            <v>58767000</v>
          </cell>
        </row>
        <row r="93">
          <cell r="A93" t="str">
            <v>IQ5407888</v>
          </cell>
          <cell r="B93" t="str">
            <v>Quilter Cheviot Limited</v>
          </cell>
          <cell r="J93">
            <v>42887</v>
          </cell>
          <cell r="K93">
            <v>57756185</v>
          </cell>
          <cell r="M93">
            <v>59130801</v>
          </cell>
          <cell r="O93">
            <v>57756185</v>
          </cell>
        </row>
        <row r="94">
          <cell r="A94" t="str">
            <v>IQ10517918</v>
          </cell>
          <cell r="B94" t="str">
            <v>Geode Capital Management, LLC</v>
          </cell>
          <cell r="J94">
            <v>42886</v>
          </cell>
          <cell r="K94">
            <v>57231279</v>
          </cell>
          <cell r="M94">
            <v>52033430</v>
          </cell>
          <cell r="O94">
            <v>57231279</v>
          </cell>
        </row>
        <row r="95">
          <cell r="A95" t="str">
            <v>IQ29463671</v>
          </cell>
          <cell r="B95" t="str">
            <v>LBBW Asset Management Investmentgesellschaft mbH</v>
          </cell>
          <cell r="J95">
            <v>42887</v>
          </cell>
          <cell r="K95">
            <v>56335155</v>
          </cell>
          <cell r="M95">
            <v>31367491</v>
          </cell>
          <cell r="O95">
            <v>56335155</v>
          </cell>
        </row>
        <row r="96">
          <cell r="A96" t="str">
            <v>IQ517678</v>
          </cell>
          <cell r="B96" t="str">
            <v>D. E. Shaw &amp; Co., L.P.</v>
          </cell>
          <cell r="J96">
            <v>42825</v>
          </cell>
          <cell r="K96">
            <v>55718840</v>
          </cell>
          <cell r="M96">
            <v>55718840</v>
          </cell>
          <cell r="O96">
            <v>55718840</v>
          </cell>
        </row>
        <row r="97">
          <cell r="A97" t="str">
            <v>IQ45324448</v>
          </cell>
          <cell r="B97" t="str">
            <v>ING Groep NV, Insurance and Banking Investments</v>
          </cell>
          <cell r="J97">
            <v>42916</v>
          </cell>
          <cell r="K97">
            <v>53464797</v>
          </cell>
          <cell r="M97">
            <v>52200024</v>
          </cell>
          <cell r="O97">
            <v>53464797</v>
          </cell>
        </row>
        <row r="98">
          <cell r="A98" t="str">
            <v>IQ4849059</v>
          </cell>
          <cell r="B98" t="str">
            <v>Barrow, Hanley, Mewhinney &amp; Strauss, Inc.</v>
          </cell>
          <cell r="J98">
            <v>42916</v>
          </cell>
          <cell r="K98">
            <v>52465400</v>
          </cell>
          <cell r="M98">
            <v>52465400</v>
          </cell>
          <cell r="O98">
            <v>52465400</v>
          </cell>
        </row>
        <row r="99">
          <cell r="A99" t="str">
            <v>IQ3071217</v>
          </cell>
          <cell r="B99" t="str">
            <v>Renaissance Technologies Corp.</v>
          </cell>
          <cell r="J99">
            <v>42825</v>
          </cell>
          <cell r="K99">
            <v>51742000</v>
          </cell>
          <cell r="M99">
            <v>51742000</v>
          </cell>
          <cell r="O99">
            <v>51742000</v>
          </cell>
        </row>
        <row r="100">
          <cell r="A100" t="str">
            <v>IQ27814715</v>
          </cell>
          <cell r="B100" t="str">
            <v>Smith &amp; Williamson Investment Services Limited</v>
          </cell>
          <cell r="J100">
            <v>42887</v>
          </cell>
          <cell r="K100">
            <v>51051672</v>
          </cell>
          <cell r="M100">
            <v>51851946</v>
          </cell>
          <cell r="O100">
            <v>51051672</v>
          </cell>
        </row>
        <row r="101">
          <cell r="A101" t="str">
            <v>IQ10079204</v>
          </cell>
          <cell r="B101" t="str">
            <v>Deka Investment GmbH</v>
          </cell>
          <cell r="J101">
            <v>42887</v>
          </cell>
          <cell r="K101">
            <v>50770124</v>
          </cell>
          <cell r="M101">
            <v>54316153</v>
          </cell>
          <cell r="O101">
            <v>50770124</v>
          </cell>
        </row>
        <row r="102">
          <cell r="A102" t="str">
            <v>IQ974641</v>
          </cell>
          <cell r="B102" t="str">
            <v>Jupiter Asset Management Limited</v>
          </cell>
          <cell r="J102">
            <v>42887</v>
          </cell>
          <cell r="K102">
            <v>48804100</v>
          </cell>
          <cell r="M102">
            <v>55513619</v>
          </cell>
          <cell r="O102">
            <v>48804100</v>
          </cell>
        </row>
        <row r="103">
          <cell r="A103" t="str">
            <v>IQ2410680</v>
          </cell>
          <cell r="B103" t="str">
            <v>J.M. Finn &amp; Co. Ltd.</v>
          </cell>
          <cell r="J103">
            <v>42887</v>
          </cell>
          <cell r="K103">
            <v>48001201</v>
          </cell>
          <cell r="M103">
            <v>47667462</v>
          </cell>
          <cell r="O103">
            <v>48001201</v>
          </cell>
        </row>
        <row r="104">
          <cell r="A104" t="str">
            <v>IQ24765759</v>
          </cell>
          <cell r="B104" t="str">
            <v>Troy Asset Management Limited</v>
          </cell>
          <cell r="J104">
            <v>42887</v>
          </cell>
          <cell r="K104">
            <v>47703397</v>
          </cell>
          <cell r="M104">
            <v>47703397</v>
          </cell>
          <cell r="O104">
            <v>47703397</v>
          </cell>
        </row>
        <row r="105">
          <cell r="A105" t="str">
            <v>IQ24587069</v>
          </cell>
          <cell r="B105" t="str">
            <v>BP Investment Management Limited</v>
          </cell>
          <cell r="J105">
            <v>42887</v>
          </cell>
          <cell r="K105">
            <v>46722455</v>
          </cell>
          <cell r="M105">
            <v>49344560</v>
          </cell>
          <cell r="O105">
            <v>46722455</v>
          </cell>
        </row>
        <row r="106">
          <cell r="A106" t="str">
            <v>IQ302550702</v>
          </cell>
          <cell r="B106" t="str">
            <v>Caisse des dépôts et consignations, Asset Management Arm</v>
          </cell>
          <cell r="J106">
            <v>42887</v>
          </cell>
          <cell r="K106">
            <v>46495519</v>
          </cell>
          <cell r="M106">
            <v>46495519</v>
          </cell>
          <cell r="O106">
            <v>46495519</v>
          </cell>
        </row>
        <row r="107">
          <cell r="A107" t="str">
            <v>IQ27920058</v>
          </cell>
          <cell r="B107" t="str">
            <v>Mitsubishi UFJ Kokusai Asset Management Co., Ltd.</v>
          </cell>
          <cell r="J107">
            <v>42887</v>
          </cell>
          <cell r="K107">
            <v>46277224</v>
          </cell>
          <cell r="M107">
            <v>49243602</v>
          </cell>
          <cell r="O107">
            <v>46277224</v>
          </cell>
        </row>
        <row r="108">
          <cell r="A108" t="str">
            <v>IQ7827260</v>
          </cell>
          <cell r="B108" t="str">
            <v>Invesco PowerShares Capital Management LLC</v>
          </cell>
          <cell r="J108">
            <v>42887</v>
          </cell>
          <cell r="K108">
            <v>45458899</v>
          </cell>
          <cell r="M108">
            <v>44397896</v>
          </cell>
          <cell r="O108">
            <v>45458899</v>
          </cell>
        </row>
        <row r="109">
          <cell r="A109" t="str">
            <v>IQ1726073</v>
          </cell>
          <cell r="B109" t="str">
            <v>TD Asset Management, Inc.</v>
          </cell>
          <cell r="J109">
            <v>42887</v>
          </cell>
          <cell r="K109">
            <v>44438583</v>
          </cell>
          <cell r="M109">
            <v>45146358</v>
          </cell>
          <cell r="O109">
            <v>44438583</v>
          </cell>
        </row>
        <row r="110">
          <cell r="A110" t="str">
            <v>IQ3546822</v>
          </cell>
          <cell r="B110" t="str">
            <v>Goldman Sachs Asset Management, L.P.</v>
          </cell>
          <cell r="J110">
            <v>42855</v>
          </cell>
          <cell r="K110">
            <v>44340107</v>
          </cell>
          <cell r="M110">
            <v>45208022</v>
          </cell>
          <cell r="O110">
            <v>44340107</v>
          </cell>
        </row>
        <row r="111">
          <cell r="A111" t="str">
            <v>IQ23023177</v>
          </cell>
          <cell r="B111" t="str">
            <v>Swedbank Robur Fonder AB</v>
          </cell>
          <cell r="J111">
            <v>42887</v>
          </cell>
          <cell r="K111">
            <v>42540285</v>
          </cell>
          <cell r="M111">
            <v>61014069</v>
          </cell>
          <cell r="O111">
            <v>42540285</v>
          </cell>
        </row>
        <row r="112">
          <cell r="A112" t="str">
            <v>IQ41951543</v>
          </cell>
          <cell r="B112" t="str">
            <v>The Bank of Nova Scotia, Banking Investments</v>
          </cell>
          <cell r="J112">
            <v>42887</v>
          </cell>
          <cell r="K112">
            <v>42471700</v>
          </cell>
          <cell r="M112">
            <v>51021445</v>
          </cell>
          <cell r="O112">
            <v>42471700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>
        <row r="74">
          <cell r="A74" t="str">
            <v>BlackRock, Inc.</v>
          </cell>
          <cell r="C74">
            <v>1725256860</v>
          </cell>
          <cell r="J74">
            <v>-232218693</v>
          </cell>
        </row>
        <row r="75">
          <cell r="A75" t="str">
            <v>Capital Research and Management Company</v>
          </cell>
          <cell r="C75">
            <v>799776668</v>
          </cell>
          <cell r="J75">
            <v>-128823432</v>
          </cell>
        </row>
        <row r="76">
          <cell r="A76" t="str">
            <v>Fisher Investments</v>
          </cell>
          <cell r="C76">
            <v>264021362</v>
          </cell>
          <cell r="J76">
            <v>-67565572</v>
          </cell>
        </row>
        <row r="77">
          <cell r="A77" t="str">
            <v>Deutsche Bank, Private Banking and Investment Banking Investments</v>
          </cell>
          <cell r="C77">
            <v>132294128</v>
          </cell>
          <cell r="J77">
            <v>-67177722</v>
          </cell>
        </row>
        <row r="78">
          <cell r="A78" t="str">
            <v>UBS Asset Management</v>
          </cell>
          <cell r="C78">
            <v>722203258</v>
          </cell>
          <cell r="J78">
            <v>-54367787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8E7C60-7C9A-4D3D-915A-E293AD21902B}">
  <sheetPr>
    <tabColor theme="6" tint="-0.499984740745262"/>
  </sheetPr>
  <dimension ref="A1:D1"/>
  <sheetViews>
    <sheetView workbookViewId="0"/>
  </sheetViews>
  <sheetFormatPr defaultRowHeight="15"/>
  <sheetData>
    <row r="1" spans="1:4">
      <c r="A1">
        <v>4</v>
      </c>
      <c r="B1" t="s">
        <v>203</v>
      </c>
      <c r="C1" t="s">
        <v>204</v>
      </c>
      <c r="D1" t="s">
        <v>205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1399A-B9F9-419D-914A-5167FAA4EB81}">
  <sheetPr>
    <tabColor theme="6" tint="-0.499984740745262"/>
  </sheetPr>
  <dimension ref="B2:XFC169"/>
  <sheetViews>
    <sheetView showGridLines="0" tabSelected="1" zoomScale="85" zoomScaleNormal="85" workbookViewId="0">
      <selection activeCell="E6" sqref="E6"/>
    </sheetView>
  </sheetViews>
  <sheetFormatPr defaultRowHeight="15" outlineLevelRow="1" outlineLevelCol="1"/>
  <cols>
    <col min="2" max="2" width="25.28515625" bestFit="1" customWidth="1"/>
    <col min="3" max="13" width="9.7109375" customWidth="1"/>
    <col min="15" max="15" width="15.7109375" customWidth="1"/>
    <col min="16" max="16" width="28.5703125" customWidth="1"/>
    <col min="18" max="18" width="24.28515625" hidden="1" customWidth="1" outlineLevel="1"/>
    <col min="19" max="41" width="9.140625" hidden="1" customWidth="1" outlineLevel="1"/>
    <col min="42" max="42" width="9.140625" collapsed="1"/>
  </cols>
  <sheetData>
    <row r="2" spans="2:41">
      <c r="B2" s="41" t="s">
        <v>101</v>
      </c>
      <c r="C2" s="41"/>
      <c r="D2" s="41"/>
      <c r="E2" s="41"/>
    </row>
    <row r="3" spans="2:41" ht="5.0999999999999996" customHeight="1"/>
    <row r="4" spans="2:41">
      <c r="B4" s="3" t="s">
        <v>92</v>
      </c>
      <c r="C4" s="305">
        <f ca="1">TODAY()</f>
        <v>44823</v>
      </c>
    </row>
    <row r="5" spans="2:41">
      <c r="B5" s="3" t="s">
        <v>93</v>
      </c>
      <c r="C5" s="130" t="s">
        <v>676</v>
      </c>
    </row>
    <row r="6" spans="2:41">
      <c r="B6" s="3" t="s">
        <v>94</v>
      </c>
      <c r="C6" s="130" t="s">
        <v>575</v>
      </c>
    </row>
    <row r="7" spans="2:41" ht="5.0999999999999996" customHeight="1"/>
    <row r="8" spans="2:41">
      <c r="B8" s="41" t="s">
        <v>89</v>
      </c>
      <c r="C8" s="41"/>
      <c r="D8" s="41"/>
      <c r="E8" s="41"/>
      <c r="G8" s="41" t="s">
        <v>58</v>
      </c>
      <c r="H8" s="42"/>
      <c r="I8" s="42"/>
      <c r="J8" s="42"/>
      <c r="K8" s="42"/>
      <c r="L8" s="42"/>
      <c r="M8" s="42"/>
      <c r="O8" s="41" t="s">
        <v>87</v>
      </c>
      <c r="P8" s="42"/>
      <c r="Q8" s="42"/>
      <c r="R8" s="16" t="s">
        <v>86</v>
      </c>
      <c r="S8" s="16"/>
      <c r="T8" s="16"/>
      <c r="U8" s="16"/>
      <c r="V8" s="16"/>
      <c r="W8" s="16"/>
      <c r="X8" s="16"/>
      <c r="Y8" s="16"/>
      <c r="Z8" s="16"/>
      <c r="AA8" s="16"/>
      <c r="AB8" s="16"/>
      <c r="AC8" s="16"/>
      <c r="AD8" s="16"/>
      <c r="AE8" s="16"/>
      <c r="AF8" s="16"/>
      <c r="AG8" s="16"/>
      <c r="AH8" s="16"/>
      <c r="AI8" s="16"/>
      <c r="AJ8" s="16"/>
      <c r="AK8" s="16"/>
      <c r="AL8" s="16"/>
      <c r="AM8" s="16"/>
      <c r="AN8" s="16"/>
      <c r="AO8" s="16"/>
    </row>
    <row r="9" spans="2:41" ht="5.0999999999999996" customHeight="1"/>
    <row r="10" spans="2:41">
      <c r="C10" s="20" t="s">
        <v>65</v>
      </c>
      <c r="D10" s="20" t="s">
        <v>65</v>
      </c>
      <c r="E10" s="20" t="s">
        <v>64</v>
      </c>
      <c r="G10" s="34"/>
      <c r="J10" s="20" t="s">
        <v>88</v>
      </c>
      <c r="K10" s="28" t="s">
        <v>59</v>
      </c>
      <c r="L10" s="28" t="s">
        <v>59</v>
      </c>
      <c r="M10" s="28" t="s">
        <v>59</v>
      </c>
      <c r="O10" s="3" t="s">
        <v>68</v>
      </c>
      <c r="P10" s="6" t="s">
        <v>79</v>
      </c>
      <c r="Q10" s="6"/>
      <c r="S10" s="6">
        <v>1996</v>
      </c>
      <c r="T10">
        <f t="shared" ref="T10:AO10" si="0">+S10+1</f>
        <v>1997</v>
      </c>
      <c r="U10">
        <f t="shared" si="0"/>
        <v>1998</v>
      </c>
      <c r="V10">
        <f t="shared" si="0"/>
        <v>1999</v>
      </c>
      <c r="W10">
        <f t="shared" si="0"/>
        <v>2000</v>
      </c>
      <c r="X10">
        <f t="shared" si="0"/>
        <v>2001</v>
      </c>
      <c r="Y10">
        <f t="shared" si="0"/>
        <v>2002</v>
      </c>
      <c r="Z10">
        <f t="shared" si="0"/>
        <v>2003</v>
      </c>
      <c r="AA10">
        <f t="shared" si="0"/>
        <v>2004</v>
      </c>
      <c r="AB10">
        <f t="shared" si="0"/>
        <v>2005</v>
      </c>
      <c r="AC10">
        <f t="shared" si="0"/>
        <v>2006</v>
      </c>
      <c r="AD10">
        <f t="shared" si="0"/>
        <v>2007</v>
      </c>
      <c r="AE10">
        <f t="shared" si="0"/>
        <v>2008</v>
      </c>
      <c r="AF10">
        <f t="shared" si="0"/>
        <v>2009</v>
      </c>
      <c r="AG10">
        <f t="shared" si="0"/>
        <v>2010</v>
      </c>
      <c r="AH10">
        <f t="shared" si="0"/>
        <v>2011</v>
      </c>
      <c r="AI10">
        <f t="shared" si="0"/>
        <v>2012</v>
      </c>
      <c r="AJ10">
        <f t="shared" si="0"/>
        <v>2013</v>
      </c>
      <c r="AK10">
        <f t="shared" si="0"/>
        <v>2014</v>
      </c>
      <c r="AL10">
        <f t="shared" si="0"/>
        <v>2015</v>
      </c>
      <c r="AM10">
        <f t="shared" si="0"/>
        <v>2016</v>
      </c>
      <c r="AN10">
        <f t="shared" si="0"/>
        <v>2017</v>
      </c>
      <c r="AO10">
        <f t="shared" si="0"/>
        <v>2018</v>
      </c>
    </row>
    <row r="11" spans="2:41">
      <c r="C11" s="20" t="s">
        <v>0</v>
      </c>
      <c r="D11" s="20" t="s">
        <v>66</v>
      </c>
      <c r="E11" s="31">
        <f ca="1">+C82</f>
        <v>19.295439493085709</v>
      </c>
      <c r="G11" s="34"/>
      <c r="J11" s="20" t="s">
        <v>54</v>
      </c>
      <c r="K11" s="20" t="s">
        <v>57</v>
      </c>
      <c r="L11" s="20" t="s">
        <v>56</v>
      </c>
      <c r="M11" s="20" t="s">
        <v>99</v>
      </c>
      <c r="O11" s="3" t="s">
        <v>69</v>
      </c>
      <c r="P11" s="6" t="s">
        <v>236</v>
      </c>
      <c r="Q11" s="6"/>
      <c r="R11" t="str">
        <f>("World-"&amp;$P$10)</f>
        <v>World-Technology</v>
      </c>
      <c r="S11" s="4">
        <v>17.453759387533303</v>
      </c>
      <c r="T11" s="4">
        <v>17.205916063909996</v>
      </c>
      <c r="U11" s="4">
        <v>17.767847570322242</v>
      </c>
      <c r="V11" s="4">
        <v>21.420825743769456</v>
      </c>
      <c r="W11" s="4">
        <v>15.064414579761264</v>
      </c>
      <c r="X11" s="4">
        <v>12.283334541279425</v>
      </c>
      <c r="Y11" s="4">
        <v>11.507237778422699</v>
      </c>
      <c r="Z11" s="4">
        <v>12.371121712117059</v>
      </c>
      <c r="AA11" s="4">
        <v>14.506058981906175</v>
      </c>
      <c r="AB11" s="4">
        <v>13.203915896800043</v>
      </c>
      <c r="AC11" s="4">
        <v>13.249938119441936</v>
      </c>
      <c r="AD11" s="4">
        <v>11.170127560656576</v>
      </c>
      <c r="AE11" s="4">
        <v>17.986182477147128</v>
      </c>
      <c r="AF11" s="4">
        <v>12.076310332695046</v>
      </c>
      <c r="AG11" s="4">
        <v>16.697031956096691</v>
      </c>
      <c r="AH11" s="4">
        <v>16.140104503321894</v>
      </c>
      <c r="AI11" s="4">
        <v>10.866274424550083</v>
      </c>
      <c r="AJ11" s="4">
        <v>11.568124892932982</v>
      </c>
      <c r="AK11" s="4">
        <v>9.9606001287195625</v>
      </c>
      <c r="AL11" s="4">
        <v>12.480220928628807</v>
      </c>
      <c r="AM11" s="4">
        <v>10.291423822573385</v>
      </c>
      <c r="AN11" s="4">
        <v>11.703550027232945</v>
      </c>
      <c r="AO11" s="4">
        <v>14.68975926385297</v>
      </c>
    </row>
    <row r="12" spans="2:41" ht="15.75" thickBot="1">
      <c r="B12" s="3" t="s">
        <v>61</v>
      </c>
      <c r="C12" s="29">
        <f t="array" ref="C12:C14">TRANSPOSE(J23:L23)</f>
        <v>19.375568546274017</v>
      </c>
      <c r="D12" s="30">
        <f t="array" ref="D12:D14">TRANSPOSE(J36:L36)</f>
        <v>3.7499999999999999E-2</v>
      </c>
      <c r="E12" s="39">
        <f t="dataTable" ref="E12:E14" dt2D="0" dtr="0" r1="L85" ca="1"/>
        <v>15.340491469273738</v>
      </c>
      <c r="G12" s="3" t="str">
        <f>("World-"&amp;$P$10)</f>
        <v>World-Technology</v>
      </c>
      <c r="J12" s="304">
        <v>92</v>
      </c>
      <c r="K12" s="40">
        <v>0.13411714614360545</v>
      </c>
      <c r="L12" s="40">
        <v>0.13985394812768334</v>
      </c>
      <c r="M12" s="40">
        <v>0.34671235067667672</v>
      </c>
      <c r="O12" s="3" t="s">
        <v>70</v>
      </c>
      <c r="P12" s="6" t="s">
        <v>81</v>
      </c>
      <c r="Q12" s="6"/>
      <c r="R12" t="str">
        <f>($P$12&amp;"-"&amp;$P$10)</f>
        <v>UNITED STATES-Technology</v>
      </c>
      <c r="S12" s="4">
        <v>18.56192007086797</v>
      </c>
      <c r="T12" s="4">
        <v>17.735070626065259</v>
      </c>
      <c r="U12" s="4">
        <v>17.000717410669655</v>
      </c>
      <c r="V12" s="4">
        <v>17.441647778385544</v>
      </c>
      <c r="W12" s="4">
        <v>18.007281483233708</v>
      </c>
      <c r="X12" s="4">
        <v>11.851184900426819</v>
      </c>
      <c r="Y12" s="4">
        <v>10.322957858009042</v>
      </c>
      <c r="Z12" s="4">
        <v>12.761764989568331</v>
      </c>
      <c r="AA12" s="4">
        <v>14.120721214416504</v>
      </c>
      <c r="AB12" s="4">
        <v>14.503738428126637</v>
      </c>
      <c r="AC12" s="4">
        <v>14.733749939303189</v>
      </c>
      <c r="AD12" s="4">
        <v>10.303017586171588</v>
      </c>
      <c r="AE12" s="4">
        <v>17.933714426642151</v>
      </c>
      <c r="AF12" s="4">
        <v>13.125461267698405</v>
      </c>
      <c r="AG12" s="4">
        <v>16.957149241775024</v>
      </c>
      <c r="AH12" s="4">
        <v>17.504960136719536</v>
      </c>
      <c r="AI12" s="4">
        <v>13.676414354593136</v>
      </c>
      <c r="AJ12" s="4">
        <v>12.740379391713986</v>
      </c>
      <c r="AK12" s="4">
        <v>11.802772200139815</v>
      </c>
      <c r="AL12" s="4">
        <v>10.99643237200601</v>
      </c>
      <c r="AM12" s="4">
        <v>8.3769353647614864</v>
      </c>
      <c r="AN12" s="4">
        <v>11.268986435724145</v>
      </c>
      <c r="AO12" s="4">
        <v>15.986357142464458</v>
      </c>
    </row>
    <row r="13" spans="2:41" ht="15.75" thickBot="1">
      <c r="B13" s="3" t="s">
        <v>63</v>
      </c>
      <c r="C13" s="29">
        <v>23.871845196192805</v>
      </c>
      <c r="D13" s="30">
        <v>4.4999999999999998E-2</v>
      </c>
      <c r="E13" s="113">
        <v>19.295439493085709</v>
      </c>
      <c r="G13" s="3" t="str">
        <f>($P$12&amp;"-"&amp;$P$10)</f>
        <v>UNITED STATES-Technology</v>
      </c>
      <c r="J13" s="304">
        <v>50.695652173913047</v>
      </c>
      <c r="K13" s="40">
        <v>0.15980124704661147</v>
      </c>
      <c r="L13" s="40">
        <v>0.14248405853020973</v>
      </c>
      <c r="M13" s="40">
        <v>0.15661139045238037</v>
      </c>
      <c r="O13" s="3" t="s">
        <v>72</v>
      </c>
      <c r="P13" s="6" t="s">
        <v>55</v>
      </c>
      <c r="Q13" s="6"/>
      <c r="R13" t="str">
        <f>("World-"&amp;$P$11)</f>
        <v>World-Software</v>
      </c>
      <c r="S13" s="4">
        <v>20.48356880019838</v>
      </c>
      <c r="T13" s="4">
        <v>20.341424147073234</v>
      </c>
      <c r="U13" s="4">
        <v>21.138487118545449</v>
      </c>
      <c r="V13" s="4">
        <v>22.119871288482653</v>
      </c>
      <c r="W13" s="4">
        <v>17.176512666679333</v>
      </c>
      <c r="X13" s="4">
        <v>16.741947021079252</v>
      </c>
      <c r="Y13" s="4">
        <v>16.333691465758665</v>
      </c>
      <c r="Z13" s="4">
        <v>14.836331484543635</v>
      </c>
      <c r="AA13" s="4">
        <v>16.02537532695165</v>
      </c>
      <c r="AB13" s="4">
        <v>17.630133528244404</v>
      </c>
      <c r="AC13" s="4">
        <v>13.764024418006265</v>
      </c>
      <c r="AD13" s="4">
        <v>13.777257201778625</v>
      </c>
      <c r="AE13" s="4">
        <v>20.56540297762707</v>
      </c>
      <c r="AF13" s="4">
        <v>23.904219076756124</v>
      </c>
      <c r="AG13" s="4">
        <v>17.650295098476793</v>
      </c>
      <c r="AH13" s="4">
        <v>19.277194746266478</v>
      </c>
      <c r="AI13" s="4">
        <v>18.525152835535884</v>
      </c>
      <c r="AJ13" s="4">
        <v>13.595495546291083</v>
      </c>
      <c r="AK13" s="4">
        <v>9.4411887694125642</v>
      </c>
      <c r="AL13" s="4">
        <v>11.78235545910978</v>
      </c>
      <c r="AM13" s="4">
        <v>9.5683607991192012</v>
      </c>
      <c r="AN13" s="4">
        <v>10.74813228900017</v>
      </c>
      <c r="AO13" s="4">
        <v>13.002469237861472</v>
      </c>
    </row>
    <row r="14" spans="2:41">
      <c r="B14" s="3" t="s">
        <v>62</v>
      </c>
      <c r="C14" s="29">
        <v>29.695312563900387</v>
      </c>
      <c r="D14" s="30">
        <v>5.2499999999999998E-2</v>
      </c>
      <c r="E14" s="39">
        <v>24.417791285666027</v>
      </c>
      <c r="G14" s="3" t="str">
        <f>("World-"&amp;$P$11)</f>
        <v>World-Software</v>
      </c>
      <c r="J14" s="304">
        <v>32.304347826086953</v>
      </c>
      <c r="K14" s="40">
        <v>0.1569106292199316</v>
      </c>
      <c r="L14" s="40">
        <v>0.16453430056643403</v>
      </c>
      <c r="M14" s="40">
        <v>0.2867749814911974</v>
      </c>
      <c r="R14" t="str">
        <f>($P$12&amp;"-"&amp;$P$11)</f>
        <v>UNITED STATES-Software</v>
      </c>
      <c r="S14" s="4">
        <v>22.864794385200298</v>
      </c>
      <c r="T14" s="4">
        <v>23.416278952493716</v>
      </c>
      <c r="U14" s="4">
        <v>21.627258668790805</v>
      </c>
      <c r="V14" s="4">
        <v>24.915096296833266</v>
      </c>
      <c r="W14" s="4">
        <v>19.850091975348828</v>
      </c>
      <c r="X14" s="4">
        <v>19.650813244781475</v>
      </c>
      <c r="Y14" s="4">
        <v>16.348921417159648</v>
      </c>
      <c r="Z14" s="4">
        <v>15.535215584271382</v>
      </c>
      <c r="AA14" s="4">
        <v>16.036010944793464</v>
      </c>
      <c r="AB14" s="4">
        <v>18.205442123878889</v>
      </c>
      <c r="AC14" s="4">
        <v>13.905778870397754</v>
      </c>
      <c r="AD14" s="4">
        <v>14.208885677584306</v>
      </c>
      <c r="AE14" s="4">
        <v>21.132777432199532</v>
      </c>
      <c r="AF14" s="4">
        <v>26.301316248637015</v>
      </c>
      <c r="AG14" s="4">
        <v>17.802580732621365</v>
      </c>
      <c r="AH14" s="4">
        <v>17.943074775372242</v>
      </c>
      <c r="AI14" s="4">
        <v>18.178749452800286</v>
      </c>
      <c r="AJ14" s="4">
        <v>14.046163017667121</v>
      </c>
      <c r="AK14" s="4">
        <v>10.091730913497409</v>
      </c>
      <c r="AL14" s="4">
        <v>7.629889039323734</v>
      </c>
      <c r="AM14" s="4">
        <v>6.0802164924068922</v>
      </c>
      <c r="AN14" s="4">
        <v>9.0662833642298644</v>
      </c>
      <c r="AO14" s="4">
        <v>12.281444248234671</v>
      </c>
    </row>
    <row r="15" spans="2:41">
      <c r="G15" s="3" t="str">
        <f>($P$12&amp;"-"&amp;$P$11)</f>
        <v>UNITED STATES-Software</v>
      </c>
      <c r="J15" s="304">
        <v>20.869565217391305</v>
      </c>
      <c r="K15" s="40">
        <v>0.17662572138868179</v>
      </c>
      <c r="L15" s="40">
        <v>0.16831252776457573</v>
      </c>
      <c r="M15" s="40">
        <v>0.35010519404427048</v>
      </c>
    </row>
    <row r="16" spans="2:41">
      <c r="G16" s="3" t="s">
        <v>60</v>
      </c>
      <c r="J16" s="99"/>
      <c r="K16" s="100"/>
      <c r="L16" s="100"/>
      <c r="M16" s="101"/>
    </row>
    <row r="17" spans="2:22">
      <c r="G17" s="3" t="s">
        <v>85</v>
      </c>
      <c r="J17" s="118" t="s">
        <v>41</v>
      </c>
      <c r="K17" s="118" t="s">
        <v>41</v>
      </c>
      <c r="L17" s="40">
        <f>+K40</f>
        <v>0.17199020995053291</v>
      </c>
      <c r="M17" s="40">
        <f ca="1">IFERROR(-M65/M61,"na")</f>
        <v>1.0426833609934594</v>
      </c>
    </row>
    <row r="18" spans="2:22" ht="5.0999999999999996" customHeight="1"/>
    <row r="19" spans="2:22">
      <c r="B19" s="41" t="s">
        <v>11</v>
      </c>
      <c r="C19" s="42"/>
      <c r="D19" s="42"/>
      <c r="E19" s="42"/>
      <c r="G19" s="41" t="s">
        <v>48</v>
      </c>
      <c r="H19" s="42"/>
      <c r="I19" s="42"/>
      <c r="J19" s="42"/>
      <c r="K19" s="42"/>
      <c r="L19" s="42"/>
      <c r="M19" s="42"/>
    </row>
    <row r="20" spans="2:22" ht="5.0999999999999996" customHeight="1"/>
    <row r="21" spans="2:22">
      <c r="B21" t="s">
        <v>30</v>
      </c>
      <c r="C21" s="34">
        <v>2022</v>
      </c>
      <c r="J21" s="20" t="s">
        <v>42</v>
      </c>
      <c r="K21" s="20" t="s">
        <v>43</v>
      </c>
      <c r="L21" s="20" t="s">
        <v>44</v>
      </c>
    </row>
    <row r="22" spans="2:22">
      <c r="B22" t="s">
        <v>31</v>
      </c>
      <c r="C22" s="66">
        <v>0.03</v>
      </c>
      <c r="G22" t="s">
        <v>53</v>
      </c>
      <c r="J22" s="32">
        <f>+J36</f>
        <v>3.7499999999999999E-2</v>
      </c>
      <c r="K22" s="32">
        <f>+K36</f>
        <v>4.4999999999999998E-2</v>
      </c>
      <c r="L22" s="32">
        <f>+L36</f>
        <v>5.2499999999999998E-2</v>
      </c>
    </row>
    <row r="23" spans="2:22">
      <c r="B23" t="s">
        <v>32</v>
      </c>
      <c r="C23" s="66">
        <v>0.06</v>
      </c>
      <c r="G23" t="s">
        <v>0</v>
      </c>
      <c r="I23" s="300">
        <f ca="1">+$L$83</f>
        <v>23.871845196192808</v>
      </c>
      <c r="J23" s="302">
        <f t="dataTable" ref="J23:L23" dt2D="0" dtr="1" r1="L85" ca="1"/>
        <v>19.375568546274017</v>
      </c>
      <c r="K23" s="302">
        <v>23.871845196192805</v>
      </c>
      <c r="L23" s="302">
        <v>29.695312563900387</v>
      </c>
    </row>
    <row r="24" spans="2:22">
      <c r="B24" t="s">
        <v>3</v>
      </c>
      <c r="C24" s="138">
        <v>1</v>
      </c>
      <c r="J24" s="303"/>
      <c r="K24" s="303"/>
      <c r="L24" s="303"/>
    </row>
    <row r="25" spans="2:22">
      <c r="B25" t="s">
        <v>2</v>
      </c>
      <c r="C25" s="1">
        <f>+C22+C23*C24</f>
        <v>0.09</v>
      </c>
      <c r="G25" s="41" t="s">
        <v>198</v>
      </c>
      <c r="H25" s="42"/>
      <c r="I25" s="42"/>
      <c r="J25" s="42"/>
      <c r="K25" s="42"/>
      <c r="L25" s="42"/>
      <c r="M25" s="42"/>
    </row>
    <row r="26" spans="2:22">
      <c r="B26" t="s">
        <v>33</v>
      </c>
      <c r="C26" s="17">
        <v>0.04</v>
      </c>
      <c r="G26" s="3" t="s">
        <v>199</v>
      </c>
      <c r="K26" s="302">
        <f>INDEX(Model!$1:$1048576,MATCH("D/EBITDA",Model!$A:$A,0),MATCH(DCF!$L$51,Model!$3:$3,0))</f>
        <v>0.41615345164215972</v>
      </c>
    </row>
    <row r="27" spans="2:22">
      <c r="B27" t="s">
        <v>98</v>
      </c>
      <c r="C27" s="66">
        <v>0.03</v>
      </c>
      <c r="G27" s="3" t="s">
        <v>200</v>
      </c>
      <c r="K27" s="17">
        <v>0.1</v>
      </c>
    </row>
    <row r="28" spans="2:22">
      <c r="B28" t="s">
        <v>100</v>
      </c>
      <c r="C28" s="17">
        <v>2.5000000000000001E-2</v>
      </c>
      <c r="G28" s="3" t="s">
        <v>197</v>
      </c>
      <c r="K28" s="30">
        <f>+K27*C33+D37*C26+(1-K27-D37)*C25</f>
        <v>8.5180000000000006E-2</v>
      </c>
    </row>
    <row r="29" spans="2:22">
      <c r="B29" t="s">
        <v>34</v>
      </c>
      <c r="C29" s="38">
        <f>+C27+C28</f>
        <v>5.5E-2</v>
      </c>
      <c r="O29" s="3"/>
      <c r="P29" s="22"/>
      <c r="Q29" s="22"/>
      <c r="R29" s="22"/>
      <c r="S29" s="22"/>
      <c r="T29" s="22"/>
      <c r="U29" s="22"/>
      <c r="V29" s="22"/>
    </row>
    <row r="30" spans="2:22" ht="5.0999999999999996" customHeight="1">
      <c r="C30" s="95"/>
      <c r="P30" s="22"/>
    </row>
    <row r="31" spans="2:22">
      <c r="B31" t="s">
        <v>5</v>
      </c>
      <c r="C31" s="17">
        <v>0.24</v>
      </c>
      <c r="G31" s="41" t="s">
        <v>49</v>
      </c>
      <c r="H31" s="42"/>
      <c r="I31" s="42"/>
      <c r="J31" s="42"/>
      <c r="K31" s="42"/>
      <c r="L31" s="42"/>
      <c r="M31" s="42"/>
      <c r="O31" s="3"/>
      <c r="P31" s="22"/>
      <c r="Q31" s="22"/>
      <c r="R31" s="22"/>
      <c r="S31" s="22"/>
      <c r="T31" s="22"/>
      <c r="U31" s="22"/>
      <c r="V31" s="22"/>
    </row>
    <row r="32" spans="2:22" ht="5.0999999999999996" customHeight="1"/>
    <row r="33" spans="2:22">
      <c r="B33" t="s">
        <v>35</v>
      </c>
      <c r="C33" s="1">
        <f>+C29*(1-C31)</f>
        <v>4.1800000000000004E-2</v>
      </c>
      <c r="J33" s="20" t="s">
        <v>42</v>
      </c>
      <c r="K33" s="301" t="s">
        <v>43</v>
      </c>
      <c r="L33" s="20" t="s">
        <v>44</v>
      </c>
    </row>
    <row r="34" spans="2:22">
      <c r="B34" t="s">
        <v>22</v>
      </c>
      <c r="C34" s="169">
        <f>INDEX(Model!$1:$1048576,MATCH("Ending common stock (#)",Model!$A:$A,0),MATCH(DCF!$C$21-1,Model!$3:$3,0))</f>
        <v>323.61200000000002</v>
      </c>
      <c r="D34" s="14"/>
      <c r="G34" t="s">
        <v>31</v>
      </c>
      <c r="I34" s="300"/>
      <c r="J34" s="27">
        <f>+$C$22</f>
        <v>0.03</v>
      </c>
      <c r="K34" s="23">
        <f>+$C$22</f>
        <v>0.03</v>
      </c>
      <c r="L34" s="27">
        <f>+$C$22</f>
        <v>0.03</v>
      </c>
    </row>
    <row r="35" spans="2:22">
      <c r="B35" t="s">
        <v>36</v>
      </c>
      <c r="C35" s="170">
        <v>60</v>
      </c>
      <c r="D35" s="14"/>
      <c r="E35" s="149"/>
      <c r="G35" t="s">
        <v>97</v>
      </c>
      <c r="I35" s="300"/>
      <c r="J35" s="136">
        <v>7.4999999999999997E-3</v>
      </c>
      <c r="K35" s="137">
        <v>1.4999999999999999E-2</v>
      </c>
      <c r="L35" s="136">
        <v>2.2499999999999999E-2</v>
      </c>
    </row>
    <row r="36" spans="2:22">
      <c r="B36" t="s">
        <v>21</v>
      </c>
      <c r="C36" s="7">
        <f>+C35*C34</f>
        <v>19416.72</v>
      </c>
      <c r="D36" s="14">
        <f>+C36/SUM($C$36:$C$38)</f>
        <v>0.93755622304010167</v>
      </c>
      <c r="G36" t="s">
        <v>53</v>
      </c>
      <c r="I36" s="300"/>
      <c r="J36" s="131">
        <f>+J34+J35</f>
        <v>3.7499999999999999E-2</v>
      </c>
      <c r="K36" s="132">
        <f>+K34+K35</f>
        <v>4.4999999999999998E-2</v>
      </c>
      <c r="L36" s="131">
        <f>+L34+L35</f>
        <v>5.2499999999999998E-2</v>
      </c>
    </row>
    <row r="37" spans="2:22">
      <c r="B37" t="s">
        <v>37</v>
      </c>
      <c r="C37" s="171">
        <v>0</v>
      </c>
      <c r="D37" s="14">
        <f>+C37/SUM($C$36:$C$38)</f>
        <v>0</v>
      </c>
      <c r="G37" t="s">
        <v>90</v>
      </c>
      <c r="J37" s="35">
        <f>+J36/J40</f>
        <v>0.30740171703291819</v>
      </c>
      <c r="K37" s="36">
        <f>+K36/K40</f>
        <v>0.26164279939505108</v>
      </c>
      <c r="L37" s="37">
        <f>+L36/L40</f>
        <v>0.23649691584011209</v>
      </c>
    </row>
    <row r="38" spans="2:22">
      <c r="B38" t="s">
        <v>38</v>
      </c>
      <c r="C38" s="172">
        <f>INDEX(Model!$1:$1048576,MATCH("Total Debt",Model!$A:$A,0),MATCH(DCF!$C$21-1,Model!$3:$3,0))</f>
        <v>1293.2059999999999</v>
      </c>
      <c r="D38" s="14">
        <f>+C38/SUM($C$36:$C$38)</f>
        <v>6.2443776959898355E-2</v>
      </c>
      <c r="G38" t="s">
        <v>51</v>
      </c>
      <c r="J38" s="26">
        <f>+$C$42</f>
        <v>8.6990209950532901E-2</v>
      </c>
      <c r="K38" s="23">
        <f>+$C$42</f>
        <v>8.6990209950532901E-2</v>
      </c>
      <c r="L38" s="24">
        <f>+$C$42</f>
        <v>8.6990209950532901E-2</v>
      </c>
    </row>
    <row r="39" spans="2:22" ht="15.75" customHeight="1">
      <c r="G39" t="s">
        <v>52</v>
      </c>
      <c r="J39" s="133">
        <v>3.5000000000000003E-2</v>
      </c>
      <c r="K39" s="134">
        <v>8.5000000000000006E-2</v>
      </c>
      <c r="L39" s="135">
        <v>0.13500000000000001</v>
      </c>
    </row>
    <row r="40" spans="2:22" ht="15.75" thickBot="1">
      <c r="B40" t="s">
        <v>11</v>
      </c>
      <c r="C40" s="14">
        <f>+(D36*C25)+(D37*C26)+(C33*D38)</f>
        <v>8.6990209950532901E-2</v>
      </c>
      <c r="G40" s="2" t="s">
        <v>67</v>
      </c>
      <c r="H40" s="2"/>
      <c r="I40" s="2"/>
      <c r="J40" s="21">
        <f>+J39+J38</f>
        <v>0.1219902099505329</v>
      </c>
      <c r="K40" s="21">
        <f>+K39+K38</f>
        <v>0.17199020995053291</v>
      </c>
      <c r="L40" s="21">
        <f>+L39+L38</f>
        <v>0.22199020995053292</v>
      </c>
    </row>
    <row r="41" spans="2:22" ht="15.75" thickBot="1">
      <c r="B41" t="s">
        <v>39</v>
      </c>
      <c r="C41" s="18"/>
      <c r="G41" s="3" t="s">
        <v>91</v>
      </c>
      <c r="J41" s="32">
        <f ca="1">(18.94-23.62*(-$M$65/$M$61)+12.19*((-$M$65/$M$61)^2))/100</f>
        <v>7.5646479411914866E-2</v>
      </c>
      <c r="K41" s="32">
        <f ca="1">(18.94-23.62*(-$M$65/$M$61)+12.19*((-$M$65/$M$61)^2))/100</f>
        <v>7.5646479411914866E-2</v>
      </c>
      <c r="L41" s="32">
        <f ca="1">(18.94-23.62*(-$M$65/$M$61)+12.19*((-$M$65/$M$61)^2))/100</f>
        <v>7.5646479411914866E-2</v>
      </c>
    </row>
    <row r="42" spans="2:22">
      <c r="B42" t="s">
        <v>40</v>
      </c>
      <c r="C42" s="19">
        <f>+IF(ISBLANK(C41)=TRUE,C40,C41)</f>
        <v>8.6990209950532901E-2</v>
      </c>
      <c r="O42" s="3"/>
      <c r="P42" s="22"/>
      <c r="Q42" s="22"/>
      <c r="R42" s="22"/>
      <c r="S42" s="22"/>
      <c r="T42" s="22"/>
      <c r="U42" s="22"/>
      <c r="V42" s="22"/>
    </row>
    <row r="43" spans="2:22" ht="5.0999999999999996" customHeight="1"/>
    <row r="44" spans="2:22">
      <c r="B44" s="41" t="s">
        <v>29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</row>
    <row r="45" spans="2:22" ht="5.0999999999999996" customHeight="1"/>
    <row r="46" spans="2:22">
      <c r="B46" t="s">
        <v>11</v>
      </c>
      <c r="C46" s="299">
        <f>+C42</f>
        <v>8.6990209950532901E-2</v>
      </c>
      <c r="D46" s="299">
        <f t="shared" ref="D46:K46" si="1">C46-($C$46-$L$46)/8</f>
        <v>8.6763933706716284E-2</v>
      </c>
      <c r="E46" s="299">
        <f t="shared" si="1"/>
        <v>8.6537657462899667E-2</v>
      </c>
      <c r="F46" s="299">
        <f t="shared" si="1"/>
        <v>8.631138121908305E-2</v>
      </c>
      <c r="G46" s="299">
        <f t="shared" si="1"/>
        <v>8.6085104975266433E-2</v>
      </c>
      <c r="H46" s="299">
        <f t="shared" si="1"/>
        <v>8.5858828731449816E-2</v>
      </c>
      <c r="I46" s="299">
        <f t="shared" si="1"/>
        <v>8.5632552487633198E-2</v>
      </c>
      <c r="J46" s="299">
        <f t="shared" si="1"/>
        <v>8.5406276243816581E-2</v>
      </c>
      <c r="K46" s="299">
        <f t="shared" si="1"/>
        <v>8.5179999999999964E-2</v>
      </c>
      <c r="L46" s="66">
        <f>+K28</f>
        <v>8.5180000000000006E-2</v>
      </c>
      <c r="M46" s="299">
        <f>+L46</f>
        <v>8.5180000000000006E-2</v>
      </c>
    </row>
    <row r="47" spans="2:22">
      <c r="B47" t="s">
        <v>14</v>
      </c>
      <c r="C47" s="298">
        <f ca="1">IF($C$21&lt;YEAR(TODAY()),1+(DAY(TODAY())+MONTH(TODAY())*30-30)/365,(DAY(TODAY())+MONTH(TODAY())*30-30)/365)</f>
        <v>0.70958904109589038</v>
      </c>
    </row>
    <row r="48" spans="2:22">
      <c r="B48" t="s">
        <v>13</v>
      </c>
      <c r="C48" s="138">
        <v>0.5</v>
      </c>
      <c r="O48" s="15"/>
      <c r="P48" s="15"/>
      <c r="Q48" s="15"/>
      <c r="R48" s="15"/>
      <c r="S48" s="15"/>
      <c r="T48" s="15"/>
      <c r="U48" s="15"/>
      <c r="V48" s="15"/>
    </row>
    <row r="49" spans="2:16383" ht="5.0999999999999996" customHeight="1"/>
    <row r="50" spans="2:16383">
      <c r="B50" s="43" t="s">
        <v>9</v>
      </c>
      <c r="C50" s="43">
        <v>1</v>
      </c>
      <c r="D50" s="43">
        <f t="shared" ref="D50:M50" si="2">+C50+1</f>
        <v>2</v>
      </c>
      <c r="E50" s="43">
        <f t="shared" si="2"/>
        <v>3</v>
      </c>
      <c r="F50" s="43">
        <f t="shared" si="2"/>
        <v>4</v>
      </c>
      <c r="G50" s="43">
        <f t="shared" si="2"/>
        <v>5</v>
      </c>
      <c r="H50" s="43">
        <f t="shared" si="2"/>
        <v>6</v>
      </c>
      <c r="I50" s="43">
        <f t="shared" si="2"/>
        <v>7</v>
      </c>
      <c r="J50" s="43">
        <f t="shared" si="2"/>
        <v>8</v>
      </c>
      <c r="K50" s="43">
        <f t="shared" si="2"/>
        <v>9</v>
      </c>
      <c r="L50" s="43">
        <f t="shared" si="2"/>
        <v>10</v>
      </c>
      <c r="M50" s="43">
        <f t="shared" si="2"/>
        <v>11</v>
      </c>
    </row>
    <row r="51" spans="2:16383">
      <c r="B51" s="43" t="s">
        <v>8</v>
      </c>
      <c r="C51" s="43">
        <f>+C21</f>
        <v>2022</v>
      </c>
      <c r="D51" s="43">
        <f t="shared" ref="D51:M51" si="3">+C51+1</f>
        <v>2023</v>
      </c>
      <c r="E51" s="43">
        <f t="shared" si="3"/>
        <v>2024</v>
      </c>
      <c r="F51" s="43">
        <f t="shared" si="3"/>
        <v>2025</v>
      </c>
      <c r="G51" s="43">
        <f t="shared" si="3"/>
        <v>2026</v>
      </c>
      <c r="H51" s="43">
        <f t="shared" si="3"/>
        <v>2027</v>
      </c>
      <c r="I51" s="43">
        <f t="shared" si="3"/>
        <v>2028</v>
      </c>
      <c r="J51" s="43">
        <f t="shared" si="3"/>
        <v>2029</v>
      </c>
      <c r="K51" s="43">
        <f t="shared" si="3"/>
        <v>2030</v>
      </c>
      <c r="L51" s="43">
        <f t="shared" si="3"/>
        <v>2031</v>
      </c>
      <c r="M51" s="43">
        <f t="shared" si="3"/>
        <v>2032</v>
      </c>
      <c r="O51" s="15"/>
      <c r="P51" s="15"/>
      <c r="Q51" s="15"/>
      <c r="R51" s="15"/>
      <c r="S51" s="15"/>
      <c r="T51" s="15"/>
      <c r="U51" s="15"/>
      <c r="V51" s="15"/>
    </row>
    <row r="52" spans="2:16383" ht="5.0999999999999996" customHeight="1">
      <c r="W52" s="15"/>
      <c r="X52" s="15"/>
      <c r="Y52" s="15"/>
      <c r="Z52" s="15"/>
      <c r="AA52" s="15"/>
      <c r="AB52" s="15"/>
      <c r="AC52" s="15"/>
      <c r="AD52" s="15"/>
      <c r="AE52" s="15"/>
      <c r="AF52" s="15"/>
      <c r="AG52" s="15"/>
    </row>
    <row r="53" spans="2:16383">
      <c r="B53" t="s">
        <v>25</v>
      </c>
      <c r="C53" s="57">
        <f ca="1">+INDEX(Model!$A:$AQ,MATCH("EPS",Model!$A:$A,0),MATCH(DCF!C$51,Model!$3:$3,0))</f>
        <v>-0.63674347189408009</v>
      </c>
      <c r="D53" s="57">
        <f ca="1">+INDEX(Model!$A:$AQ,MATCH("EPS",Model!$A:$A,0),MATCH(DCF!D$51,Model!$3:$3,0))</f>
        <v>-0.63528644037623239</v>
      </c>
      <c r="E53" s="57">
        <f ca="1">+INDEX(Model!$A:$AQ,MATCH("EPS",Model!$A:$A,0),MATCH(DCF!E$51,Model!$3:$3,0))</f>
        <v>-0.5763302036481972</v>
      </c>
      <c r="F53" s="57">
        <f ca="1">+INDEX(Model!$A:$AQ,MATCH("EPS",Model!$A:$A,0),MATCH(DCF!F$51,Model!$3:$3,0))</f>
        <v>-0.40882161627543778</v>
      </c>
      <c r="G53" s="57">
        <f ca="1">+INDEX(Model!$A:$AQ,MATCH("EPS",Model!$A:$A,0),MATCH(DCF!G$51,Model!$3:$3,0))</f>
        <v>-0.25100846435387369</v>
      </c>
      <c r="H53" s="57">
        <f ca="1">+INDEX(Model!$A:$AQ,MATCH("EPS",Model!$A:$A,0),MATCH(DCF!H$51,Model!$3:$3,0))</f>
        <v>-1.8744831118827049E-2</v>
      </c>
      <c r="I53" s="57">
        <f ca="1">+INDEX(Model!$A:$AQ,MATCH("EPS",Model!$A:$A,0),MATCH(DCF!I$51,Model!$3:$3,0))</f>
        <v>0.30956752731652964</v>
      </c>
      <c r="J53" s="57">
        <f ca="1">+INDEX(Model!$A:$AQ,MATCH("EPS",Model!$A:$A,0),MATCH(DCF!J$51,Model!$3:$3,0))</f>
        <v>0.74157479065953102</v>
      </c>
      <c r="K53" s="57">
        <f ca="1">+INDEX(Model!$A:$AQ,MATCH("EPS",Model!$A:$A,0),MATCH(DCF!K$51,Model!$3:$3,0))</f>
        <v>1.180100923523776</v>
      </c>
      <c r="L53" s="57">
        <f ca="1">+INDEX(Model!$A:$AQ,MATCH("EPS",Model!$A:$A,0),MATCH(DCF!L$51,Model!$3:$3,0))</f>
        <v>1.6077337337391928</v>
      </c>
      <c r="M53" s="297">
        <f ca="1">+L53*(1+$K$36)</f>
        <v>1.6800817517574564</v>
      </c>
      <c r="AH53" s="15"/>
      <c r="AI53" s="15"/>
      <c r="AJ53" s="15"/>
      <c r="AK53" s="15"/>
      <c r="AL53" s="15"/>
      <c r="AM53" s="15"/>
      <c r="AN53" s="15"/>
      <c r="AO53" s="15"/>
      <c r="AP53" s="15"/>
      <c r="AQ53" s="15"/>
      <c r="AR53" s="15"/>
      <c r="AS53" s="15"/>
      <c r="AT53" s="15"/>
      <c r="AU53" s="15"/>
      <c r="AV53" s="15"/>
      <c r="AW53" s="15"/>
      <c r="AX53" s="15"/>
      <c r="AY53" s="15"/>
      <c r="AZ53" s="15"/>
      <c r="BA53" s="15"/>
      <c r="BB53" s="15"/>
      <c r="BC53" s="15"/>
      <c r="BD53" s="15"/>
      <c r="BE53" s="15"/>
      <c r="BF53" s="15"/>
      <c r="BG53" s="15"/>
      <c r="BH53" s="15"/>
      <c r="BI53" s="15"/>
      <c r="BJ53" s="15"/>
      <c r="BK53" s="15"/>
      <c r="BL53" s="15"/>
      <c r="BM53" s="15"/>
      <c r="BN53" s="15"/>
      <c r="BO53" s="15"/>
      <c r="BP53" s="15"/>
      <c r="BQ53" s="15"/>
      <c r="BR53" s="15"/>
      <c r="BS53" s="15"/>
      <c r="BT53" s="15"/>
      <c r="BU53" s="15"/>
      <c r="BV53" s="15"/>
      <c r="BW53" s="15"/>
      <c r="BX53" s="15"/>
      <c r="BY53" s="15"/>
      <c r="BZ53" s="15"/>
      <c r="CA53" s="15"/>
      <c r="CB53" s="15"/>
      <c r="CC53" s="15"/>
      <c r="CD53" s="15"/>
      <c r="CE53" s="15"/>
      <c r="CF53" s="15"/>
      <c r="CG53" s="15"/>
      <c r="CH53" s="15"/>
      <c r="CI53" s="15"/>
      <c r="CJ53" s="15"/>
      <c r="CK53" s="15"/>
      <c r="CL53" s="15"/>
      <c r="CM53" s="15"/>
      <c r="CN53" s="15"/>
      <c r="CO53" s="15"/>
      <c r="CP53" s="15"/>
      <c r="CQ53" s="15"/>
      <c r="CR53" s="15"/>
      <c r="CS53" s="15"/>
      <c r="CT53" s="15"/>
      <c r="CU53" s="15"/>
      <c r="CV53" s="15"/>
      <c r="CW53" s="15"/>
      <c r="CX53" s="15"/>
      <c r="CY53" s="15"/>
      <c r="CZ53" s="15"/>
      <c r="DA53" s="15"/>
      <c r="DB53" s="15"/>
      <c r="DC53" s="15"/>
      <c r="DD53" s="15"/>
      <c r="DE53" s="15"/>
      <c r="DF53" s="15"/>
      <c r="DG53" s="15"/>
      <c r="DH53" s="15"/>
      <c r="DI53" s="15"/>
      <c r="DJ53" s="15"/>
      <c r="DK53" s="15"/>
      <c r="DL53" s="15"/>
      <c r="DM53" s="15"/>
      <c r="DN53" s="15"/>
      <c r="DO53" s="15"/>
      <c r="DP53" s="15"/>
      <c r="DQ53" s="15"/>
      <c r="DR53" s="15"/>
      <c r="DS53" s="15"/>
      <c r="DT53" s="15"/>
      <c r="DU53" s="15"/>
      <c r="DV53" s="15"/>
      <c r="DW53" s="15"/>
      <c r="DX53" s="15"/>
      <c r="DY53" s="15"/>
      <c r="DZ53" s="15"/>
      <c r="EA53" s="15"/>
      <c r="EB53" s="15"/>
      <c r="EC53" s="15"/>
      <c r="ED53" s="15"/>
      <c r="EE53" s="15"/>
      <c r="EF53" s="15"/>
      <c r="EG53" s="15"/>
      <c r="EH53" s="15"/>
      <c r="EI53" s="15"/>
      <c r="EJ53" s="15"/>
      <c r="EK53" s="15"/>
      <c r="EL53" s="15"/>
      <c r="EM53" s="15"/>
      <c r="EN53" s="15"/>
      <c r="EO53" s="15"/>
      <c r="EP53" s="15"/>
      <c r="EQ53" s="15"/>
      <c r="ER53" s="15"/>
      <c r="ES53" s="15"/>
      <c r="ET53" s="15"/>
      <c r="EU53" s="15"/>
      <c r="EV53" s="15"/>
      <c r="EW53" s="15"/>
      <c r="EX53" s="15"/>
      <c r="EY53" s="15"/>
      <c r="EZ53" s="15"/>
      <c r="FA53" s="15"/>
      <c r="FB53" s="15"/>
      <c r="FC53" s="15"/>
      <c r="FD53" s="15"/>
      <c r="FE53" s="15"/>
      <c r="FF53" s="15"/>
      <c r="FG53" s="15"/>
      <c r="FH53" s="15"/>
      <c r="FI53" s="15"/>
      <c r="FJ53" s="15"/>
      <c r="FK53" s="15"/>
      <c r="FL53" s="15"/>
      <c r="FM53" s="15"/>
      <c r="FN53" s="15"/>
      <c r="FO53" s="15"/>
      <c r="FP53" s="15"/>
      <c r="FQ53" s="15"/>
      <c r="FR53" s="15"/>
      <c r="FS53" s="15"/>
      <c r="FT53" s="15"/>
      <c r="FU53" s="15"/>
      <c r="FV53" s="15"/>
      <c r="FW53" s="15"/>
      <c r="FX53" s="15"/>
      <c r="FY53" s="15"/>
      <c r="FZ53" s="15"/>
      <c r="GA53" s="15"/>
      <c r="GB53" s="15"/>
      <c r="GC53" s="15"/>
      <c r="GD53" s="15"/>
      <c r="GE53" s="15"/>
      <c r="GF53" s="15"/>
      <c r="GG53" s="15"/>
      <c r="GH53" s="15"/>
      <c r="GI53" s="15"/>
      <c r="GJ53" s="15"/>
      <c r="GK53" s="15"/>
      <c r="GL53" s="15"/>
      <c r="GM53" s="15"/>
      <c r="GN53" s="15"/>
      <c r="GO53" s="15"/>
      <c r="GP53" s="15"/>
      <c r="GQ53" s="15"/>
      <c r="GR53" s="15"/>
      <c r="GS53" s="15"/>
      <c r="GT53" s="15"/>
      <c r="GU53" s="15"/>
      <c r="GV53" s="15"/>
      <c r="GW53" s="15"/>
      <c r="GX53" s="15"/>
      <c r="GY53" s="15"/>
      <c r="GZ53" s="15"/>
      <c r="HA53" s="15"/>
      <c r="HB53" s="15"/>
      <c r="HC53" s="15"/>
      <c r="HD53" s="15"/>
      <c r="HE53" s="15"/>
      <c r="HF53" s="15"/>
      <c r="HG53" s="15"/>
      <c r="HH53" s="15"/>
      <c r="HI53" s="15"/>
      <c r="HJ53" s="15"/>
      <c r="HK53" s="15"/>
      <c r="HL53" s="15"/>
      <c r="HM53" s="15"/>
      <c r="HN53" s="15"/>
      <c r="HO53" s="15"/>
      <c r="HP53" s="15"/>
      <c r="HQ53" s="15"/>
      <c r="HR53" s="15"/>
      <c r="HS53" s="15"/>
      <c r="HT53" s="15"/>
      <c r="HU53" s="15"/>
      <c r="HV53" s="15"/>
      <c r="HW53" s="15"/>
      <c r="HX53" s="15"/>
      <c r="HY53" s="15"/>
      <c r="HZ53" s="15"/>
      <c r="IA53" s="15"/>
      <c r="IB53" s="15"/>
      <c r="IC53" s="15"/>
      <c r="ID53" s="15"/>
      <c r="IE53" s="15"/>
      <c r="IF53" s="15"/>
      <c r="IG53" s="15"/>
      <c r="IH53" s="15"/>
      <c r="II53" s="15"/>
      <c r="IJ53" s="15"/>
      <c r="IK53" s="15"/>
      <c r="IL53" s="15"/>
      <c r="IM53" s="15"/>
      <c r="IN53" s="15"/>
      <c r="IO53" s="15"/>
      <c r="IP53" s="15"/>
      <c r="IQ53" s="15"/>
      <c r="IR53" s="15"/>
      <c r="IS53" s="15"/>
      <c r="IT53" s="15"/>
      <c r="IU53" s="15"/>
      <c r="IV53" s="15"/>
      <c r="IW53" s="15"/>
      <c r="IX53" s="15"/>
      <c r="IY53" s="15"/>
      <c r="IZ53" s="15"/>
      <c r="JA53" s="15"/>
      <c r="JB53" s="15"/>
      <c r="JC53" s="15"/>
      <c r="JD53" s="15"/>
      <c r="JE53" s="15"/>
      <c r="JF53" s="15"/>
      <c r="JG53" s="15"/>
      <c r="JH53" s="15"/>
      <c r="JI53" s="15"/>
      <c r="JJ53" s="15"/>
      <c r="JK53" s="15"/>
      <c r="JL53" s="15"/>
      <c r="JM53" s="15"/>
      <c r="JN53" s="15"/>
      <c r="JO53" s="15"/>
      <c r="JP53" s="15"/>
      <c r="JQ53" s="15"/>
      <c r="JR53" s="15"/>
      <c r="JS53" s="15"/>
      <c r="JT53" s="15"/>
      <c r="JU53" s="15"/>
      <c r="JV53" s="15"/>
      <c r="JW53" s="15"/>
      <c r="JX53" s="15"/>
      <c r="JY53" s="15"/>
      <c r="JZ53" s="15"/>
      <c r="KA53" s="15"/>
      <c r="KB53" s="15"/>
      <c r="KC53" s="15"/>
      <c r="KD53" s="15"/>
      <c r="KE53" s="15"/>
      <c r="KF53" s="15"/>
      <c r="KG53" s="15"/>
      <c r="KH53" s="15"/>
      <c r="KI53" s="15"/>
      <c r="KJ53" s="15"/>
      <c r="KK53" s="15"/>
      <c r="KL53" s="15"/>
      <c r="KM53" s="15"/>
      <c r="KN53" s="15"/>
      <c r="KO53" s="15"/>
      <c r="KP53" s="15"/>
      <c r="KQ53" s="15"/>
      <c r="KR53" s="15"/>
      <c r="KS53" s="15"/>
      <c r="KT53" s="15"/>
      <c r="KU53" s="15"/>
      <c r="KV53" s="15"/>
      <c r="KW53" s="15"/>
      <c r="KX53" s="15"/>
      <c r="KY53" s="15"/>
      <c r="KZ53" s="15"/>
      <c r="LA53" s="15"/>
      <c r="LB53" s="15"/>
      <c r="LC53" s="15"/>
      <c r="LD53" s="15"/>
      <c r="LE53" s="15"/>
      <c r="LF53" s="15"/>
      <c r="LG53" s="15"/>
      <c r="LH53" s="15"/>
      <c r="LI53" s="15"/>
      <c r="LJ53" s="15"/>
      <c r="LK53" s="15"/>
      <c r="LL53" s="15"/>
      <c r="LM53" s="15"/>
      <c r="LN53" s="15"/>
      <c r="LO53" s="15"/>
      <c r="LP53" s="15"/>
      <c r="LQ53" s="15"/>
      <c r="LR53" s="15"/>
      <c r="LS53" s="15"/>
      <c r="LT53" s="15"/>
      <c r="LU53" s="15"/>
      <c r="LV53" s="15"/>
      <c r="LW53" s="15"/>
      <c r="LX53" s="15"/>
      <c r="LY53" s="15"/>
      <c r="LZ53" s="15"/>
      <c r="MA53" s="15"/>
      <c r="MB53" s="15"/>
      <c r="MC53" s="15"/>
      <c r="MD53" s="15"/>
      <c r="ME53" s="15"/>
      <c r="MF53" s="15"/>
      <c r="MG53" s="15"/>
      <c r="MH53" s="15"/>
      <c r="MI53" s="15"/>
      <c r="MJ53" s="15"/>
      <c r="MK53" s="15"/>
      <c r="ML53" s="15"/>
      <c r="MM53" s="15"/>
      <c r="MN53" s="15"/>
      <c r="MO53" s="15"/>
      <c r="MP53" s="15"/>
      <c r="MQ53" s="15"/>
      <c r="MR53" s="15"/>
      <c r="MS53" s="15"/>
      <c r="MT53" s="15"/>
      <c r="MU53" s="15"/>
      <c r="MV53" s="15"/>
      <c r="MW53" s="15"/>
      <c r="MX53" s="15"/>
      <c r="MY53" s="15"/>
      <c r="MZ53" s="15"/>
      <c r="NA53" s="15"/>
      <c r="NB53" s="15"/>
      <c r="NC53" s="15"/>
      <c r="ND53" s="15"/>
      <c r="NE53" s="15"/>
      <c r="NF53" s="15"/>
      <c r="NG53" s="15"/>
      <c r="NH53" s="15"/>
      <c r="NI53" s="15"/>
      <c r="NJ53" s="15"/>
      <c r="NK53" s="15"/>
      <c r="NL53" s="15"/>
      <c r="NM53" s="15"/>
      <c r="NN53" s="15"/>
      <c r="NO53" s="15"/>
      <c r="NP53" s="15"/>
      <c r="NQ53" s="15"/>
      <c r="NR53" s="15"/>
      <c r="NS53" s="15"/>
      <c r="NT53" s="15"/>
      <c r="NU53" s="15"/>
      <c r="NV53" s="15"/>
      <c r="NW53" s="15"/>
      <c r="NX53" s="15"/>
      <c r="NY53" s="15"/>
      <c r="NZ53" s="15"/>
      <c r="OA53" s="15"/>
      <c r="OB53" s="15"/>
      <c r="OC53" s="15"/>
      <c r="OD53" s="15"/>
      <c r="OE53" s="15"/>
      <c r="OF53" s="15"/>
      <c r="OG53" s="15"/>
      <c r="OH53" s="15"/>
      <c r="OI53" s="15"/>
      <c r="OJ53" s="15"/>
      <c r="OK53" s="15"/>
      <c r="OL53" s="15"/>
      <c r="OM53" s="15"/>
      <c r="ON53" s="15"/>
      <c r="OO53" s="15"/>
      <c r="OP53" s="15"/>
      <c r="OQ53" s="15"/>
      <c r="OR53" s="15"/>
      <c r="OS53" s="15"/>
      <c r="OT53" s="15"/>
      <c r="OU53" s="15"/>
      <c r="OV53" s="15"/>
      <c r="OW53" s="15"/>
      <c r="OX53" s="15"/>
      <c r="OY53" s="15"/>
      <c r="OZ53" s="15"/>
      <c r="PA53" s="15"/>
      <c r="PB53" s="15"/>
      <c r="PC53" s="15"/>
      <c r="PD53" s="15"/>
      <c r="PE53" s="15"/>
      <c r="PF53" s="15"/>
      <c r="PG53" s="15"/>
      <c r="PH53" s="15"/>
      <c r="PI53" s="15"/>
      <c r="PJ53" s="15"/>
      <c r="PK53" s="15"/>
      <c r="PL53" s="15"/>
      <c r="PM53" s="15"/>
      <c r="PN53" s="15"/>
      <c r="PO53" s="15"/>
      <c r="PP53" s="15"/>
      <c r="PQ53" s="15"/>
      <c r="PR53" s="15"/>
      <c r="PS53" s="15"/>
      <c r="PT53" s="15"/>
      <c r="PU53" s="15"/>
      <c r="PV53" s="15"/>
      <c r="PW53" s="15"/>
      <c r="PX53" s="15"/>
      <c r="PY53" s="15"/>
      <c r="PZ53" s="15"/>
      <c r="QA53" s="15"/>
      <c r="QB53" s="15"/>
      <c r="QC53" s="15"/>
      <c r="QD53" s="15"/>
      <c r="QE53" s="15"/>
      <c r="QF53" s="15"/>
      <c r="QG53" s="15"/>
      <c r="QH53" s="15"/>
      <c r="QI53" s="15"/>
      <c r="QJ53" s="15"/>
      <c r="QK53" s="15"/>
      <c r="QL53" s="15"/>
      <c r="QM53" s="15"/>
      <c r="QN53" s="15"/>
      <c r="QO53" s="15"/>
      <c r="QP53" s="15"/>
      <c r="QQ53" s="15"/>
      <c r="QR53" s="15"/>
      <c r="QS53" s="15"/>
      <c r="QT53" s="15"/>
      <c r="QU53" s="15"/>
      <c r="QV53" s="15"/>
      <c r="QW53" s="15"/>
      <c r="QX53" s="15"/>
      <c r="QY53" s="15"/>
      <c r="QZ53" s="15"/>
      <c r="RA53" s="15"/>
      <c r="RB53" s="15"/>
      <c r="RC53" s="15"/>
      <c r="RD53" s="15"/>
      <c r="RE53" s="15"/>
      <c r="RF53" s="15"/>
      <c r="RG53" s="15"/>
      <c r="RH53" s="15"/>
      <c r="RI53" s="15"/>
      <c r="RJ53" s="15"/>
      <c r="RK53" s="15"/>
      <c r="RL53" s="15"/>
      <c r="RM53" s="15"/>
      <c r="RN53" s="15"/>
      <c r="RO53" s="15"/>
      <c r="RP53" s="15"/>
      <c r="RQ53" s="15"/>
      <c r="RR53" s="15"/>
      <c r="RS53" s="15"/>
      <c r="RT53" s="15"/>
      <c r="RU53" s="15"/>
      <c r="RV53" s="15"/>
      <c r="RW53" s="15"/>
      <c r="RX53" s="15"/>
      <c r="RY53" s="15"/>
      <c r="RZ53" s="15"/>
      <c r="SA53" s="15"/>
      <c r="SB53" s="15"/>
      <c r="SC53" s="15"/>
      <c r="SD53" s="15"/>
      <c r="SE53" s="15"/>
      <c r="SF53" s="15"/>
      <c r="SG53" s="15"/>
      <c r="SH53" s="15"/>
      <c r="SI53" s="15"/>
      <c r="SJ53" s="15"/>
      <c r="SK53" s="15"/>
      <c r="SL53" s="15"/>
      <c r="SM53" s="15"/>
      <c r="SN53" s="15"/>
      <c r="SO53" s="15"/>
      <c r="SP53" s="15"/>
      <c r="SQ53" s="15"/>
      <c r="SR53" s="15"/>
      <c r="SS53" s="15"/>
      <c r="ST53" s="15"/>
      <c r="SU53" s="15"/>
      <c r="SV53" s="15"/>
      <c r="SW53" s="15"/>
      <c r="SX53" s="15"/>
      <c r="SY53" s="15"/>
      <c r="SZ53" s="15"/>
      <c r="TA53" s="15"/>
      <c r="TB53" s="15"/>
      <c r="TC53" s="15"/>
      <c r="TD53" s="15"/>
      <c r="TE53" s="15"/>
      <c r="TF53" s="15"/>
      <c r="TG53" s="15"/>
      <c r="TH53" s="15"/>
      <c r="TI53" s="15"/>
      <c r="TJ53" s="15"/>
      <c r="TK53" s="15"/>
      <c r="TL53" s="15"/>
      <c r="TM53" s="15"/>
      <c r="TN53" s="15"/>
      <c r="TO53" s="15"/>
      <c r="TP53" s="15"/>
      <c r="TQ53" s="15"/>
      <c r="TR53" s="15"/>
      <c r="TS53" s="15"/>
      <c r="TT53" s="15"/>
      <c r="TU53" s="15"/>
      <c r="TV53" s="15"/>
      <c r="TW53" s="15"/>
      <c r="TX53" s="15"/>
      <c r="TY53" s="15"/>
      <c r="TZ53" s="15"/>
      <c r="UA53" s="15"/>
      <c r="UB53" s="15"/>
      <c r="UC53" s="15"/>
      <c r="UD53" s="15"/>
      <c r="UE53" s="15"/>
      <c r="UF53" s="15"/>
      <c r="UG53" s="15"/>
      <c r="UH53" s="15"/>
      <c r="UI53" s="15"/>
      <c r="UJ53" s="15"/>
      <c r="UK53" s="15"/>
      <c r="UL53" s="15"/>
      <c r="UM53" s="15"/>
      <c r="UN53" s="15"/>
      <c r="UO53" s="15"/>
      <c r="UP53" s="15"/>
      <c r="UQ53" s="15"/>
      <c r="UR53" s="15"/>
      <c r="US53" s="15"/>
      <c r="UT53" s="15"/>
      <c r="UU53" s="15"/>
      <c r="UV53" s="15"/>
      <c r="UW53" s="15"/>
      <c r="UX53" s="15"/>
      <c r="UY53" s="15"/>
      <c r="UZ53" s="15"/>
      <c r="VA53" s="15"/>
      <c r="VB53" s="15"/>
      <c r="VC53" s="15"/>
      <c r="VD53" s="15"/>
      <c r="VE53" s="15"/>
      <c r="VF53" s="15"/>
      <c r="VG53" s="15"/>
      <c r="VH53" s="15"/>
      <c r="VI53" s="15"/>
      <c r="VJ53" s="15"/>
      <c r="VK53" s="15"/>
      <c r="VL53" s="15"/>
      <c r="VM53" s="15"/>
      <c r="VN53" s="15"/>
      <c r="VO53" s="15"/>
      <c r="VP53" s="15"/>
      <c r="VQ53" s="15"/>
      <c r="VR53" s="15"/>
      <c r="VS53" s="15"/>
      <c r="VT53" s="15"/>
      <c r="VU53" s="15"/>
      <c r="VV53" s="15"/>
      <c r="VW53" s="15"/>
      <c r="VX53" s="15"/>
      <c r="VY53" s="15"/>
      <c r="VZ53" s="15"/>
      <c r="WA53" s="15"/>
      <c r="WB53" s="15"/>
      <c r="WC53" s="15"/>
      <c r="WD53" s="15"/>
      <c r="WE53" s="15"/>
      <c r="WF53" s="15"/>
      <c r="WG53" s="15"/>
      <c r="WH53" s="15"/>
      <c r="WI53" s="15"/>
      <c r="WJ53" s="15"/>
      <c r="WK53" s="15"/>
      <c r="WL53" s="15"/>
      <c r="WM53" s="15"/>
      <c r="WN53" s="15"/>
      <c r="WO53" s="15"/>
      <c r="WP53" s="15"/>
      <c r="WQ53" s="15"/>
      <c r="WR53" s="15"/>
      <c r="WS53" s="15"/>
      <c r="WT53" s="15"/>
      <c r="WU53" s="15"/>
      <c r="WV53" s="15"/>
      <c r="WW53" s="15"/>
      <c r="WX53" s="15"/>
      <c r="WY53" s="15"/>
      <c r="WZ53" s="15"/>
      <c r="XA53" s="15"/>
      <c r="XB53" s="15"/>
      <c r="XC53" s="15"/>
      <c r="XD53" s="15"/>
      <c r="XE53" s="15"/>
      <c r="XF53" s="15"/>
      <c r="XG53" s="15"/>
      <c r="XH53" s="15"/>
      <c r="XI53" s="15"/>
      <c r="XJ53" s="15"/>
      <c r="XK53" s="15"/>
      <c r="XL53" s="15"/>
      <c r="XM53" s="15"/>
      <c r="XN53" s="15"/>
      <c r="XO53" s="15"/>
      <c r="XP53" s="15"/>
      <c r="XQ53" s="15"/>
      <c r="XR53" s="15"/>
      <c r="XS53" s="15"/>
      <c r="XT53" s="15"/>
      <c r="XU53" s="15"/>
      <c r="XV53" s="15"/>
      <c r="XW53" s="15"/>
      <c r="XX53" s="15"/>
      <c r="XY53" s="15"/>
      <c r="XZ53" s="15"/>
      <c r="YA53" s="15"/>
      <c r="YB53" s="15"/>
      <c r="YC53" s="15"/>
      <c r="YD53" s="15"/>
      <c r="YE53" s="15"/>
      <c r="YF53" s="15"/>
      <c r="YG53" s="15"/>
      <c r="YH53" s="15"/>
      <c r="YI53" s="15"/>
      <c r="YJ53" s="15"/>
      <c r="YK53" s="15"/>
      <c r="YL53" s="15"/>
      <c r="YM53" s="15"/>
      <c r="YN53" s="15"/>
      <c r="YO53" s="15"/>
      <c r="YP53" s="15"/>
      <c r="YQ53" s="15"/>
      <c r="YR53" s="15"/>
      <c r="YS53" s="15"/>
      <c r="YT53" s="15"/>
      <c r="YU53" s="15"/>
      <c r="YV53" s="15"/>
      <c r="YW53" s="15"/>
      <c r="YX53" s="15"/>
      <c r="YY53" s="15"/>
      <c r="YZ53" s="15"/>
      <c r="ZA53" s="15"/>
      <c r="ZB53" s="15"/>
      <c r="ZC53" s="15"/>
      <c r="ZD53" s="15"/>
      <c r="ZE53" s="15"/>
      <c r="ZF53" s="15"/>
      <c r="ZG53" s="15"/>
      <c r="ZH53" s="15"/>
      <c r="ZI53" s="15"/>
      <c r="ZJ53" s="15"/>
      <c r="ZK53" s="15"/>
      <c r="ZL53" s="15"/>
      <c r="ZM53" s="15"/>
      <c r="ZN53" s="15"/>
      <c r="ZO53" s="15"/>
      <c r="ZP53" s="15"/>
      <c r="ZQ53" s="15"/>
      <c r="ZR53" s="15"/>
      <c r="ZS53" s="15"/>
      <c r="ZT53" s="15"/>
      <c r="ZU53" s="15"/>
      <c r="ZV53" s="15"/>
      <c r="ZW53" s="15"/>
      <c r="ZX53" s="15"/>
      <c r="ZY53" s="15"/>
      <c r="ZZ53" s="15"/>
      <c r="AAA53" s="15"/>
      <c r="AAB53" s="15"/>
      <c r="AAC53" s="15"/>
      <c r="AAD53" s="15"/>
      <c r="AAE53" s="15"/>
      <c r="AAF53" s="15"/>
      <c r="AAG53" s="15"/>
      <c r="AAH53" s="15"/>
      <c r="AAI53" s="15"/>
      <c r="AAJ53" s="15"/>
      <c r="AAK53" s="15"/>
      <c r="AAL53" s="15"/>
      <c r="AAM53" s="15"/>
      <c r="AAN53" s="15"/>
      <c r="AAO53" s="15"/>
      <c r="AAP53" s="15"/>
      <c r="AAQ53" s="15"/>
      <c r="AAR53" s="15"/>
      <c r="AAS53" s="15"/>
      <c r="AAT53" s="15"/>
      <c r="AAU53" s="15"/>
      <c r="AAV53" s="15"/>
      <c r="AAW53" s="15"/>
      <c r="AAX53" s="15"/>
      <c r="AAY53" s="15"/>
      <c r="AAZ53" s="15"/>
      <c r="ABA53" s="15"/>
      <c r="ABB53" s="15"/>
      <c r="ABC53" s="15"/>
      <c r="ABD53" s="15"/>
      <c r="ABE53" s="15"/>
      <c r="ABF53" s="15"/>
      <c r="ABG53" s="15"/>
      <c r="ABH53" s="15"/>
      <c r="ABI53" s="15"/>
      <c r="ABJ53" s="15"/>
      <c r="ABK53" s="15"/>
      <c r="ABL53" s="15"/>
      <c r="ABM53" s="15"/>
      <c r="ABN53" s="15"/>
      <c r="ABO53" s="15"/>
      <c r="ABP53" s="15"/>
      <c r="ABQ53" s="15"/>
      <c r="ABR53" s="15"/>
      <c r="ABS53" s="15"/>
      <c r="ABT53" s="15"/>
      <c r="ABU53" s="15"/>
      <c r="ABV53" s="15"/>
      <c r="ABW53" s="15"/>
      <c r="ABX53" s="15"/>
      <c r="ABY53" s="15"/>
      <c r="ABZ53" s="15"/>
      <c r="ACA53" s="15"/>
      <c r="ACB53" s="15"/>
      <c r="ACC53" s="15"/>
      <c r="ACD53" s="15"/>
      <c r="ACE53" s="15"/>
      <c r="ACF53" s="15"/>
      <c r="ACG53" s="15"/>
      <c r="ACH53" s="15"/>
      <c r="ACI53" s="15"/>
      <c r="ACJ53" s="15"/>
      <c r="ACK53" s="15"/>
      <c r="ACL53" s="15"/>
      <c r="ACM53" s="15"/>
      <c r="ACN53" s="15"/>
      <c r="ACO53" s="15"/>
      <c r="ACP53" s="15"/>
      <c r="ACQ53" s="15"/>
      <c r="ACR53" s="15"/>
      <c r="ACS53" s="15"/>
      <c r="ACT53" s="15"/>
      <c r="ACU53" s="15"/>
      <c r="ACV53" s="15"/>
      <c r="ACW53" s="15"/>
      <c r="ACX53" s="15"/>
      <c r="ACY53" s="15"/>
      <c r="ACZ53" s="15"/>
      <c r="ADA53" s="15"/>
      <c r="ADB53" s="15"/>
      <c r="ADC53" s="15"/>
      <c r="ADD53" s="15"/>
      <c r="ADE53" s="15"/>
      <c r="ADF53" s="15"/>
      <c r="ADG53" s="15"/>
      <c r="ADH53" s="15"/>
      <c r="ADI53" s="15"/>
      <c r="ADJ53" s="15"/>
      <c r="ADK53" s="15"/>
      <c r="ADL53" s="15"/>
      <c r="ADM53" s="15"/>
      <c r="ADN53" s="15"/>
      <c r="ADO53" s="15"/>
      <c r="ADP53" s="15"/>
      <c r="ADQ53" s="15"/>
      <c r="ADR53" s="15"/>
      <c r="ADS53" s="15"/>
      <c r="ADT53" s="15"/>
      <c r="ADU53" s="15"/>
      <c r="ADV53" s="15"/>
      <c r="ADW53" s="15"/>
      <c r="ADX53" s="15"/>
      <c r="ADY53" s="15"/>
      <c r="ADZ53" s="15"/>
      <c r="AEA53" s="15"/>
      <c r="AEB53" s="15"/>
      <c r="AEC53" s="15"/>
      <c r="AED53" s="15"/>
      <c r="AEE53" s="15"/>
      <c r="AEF53" s="15"/>
      <c r="AEG53" s="15"/>
      <c r="AEH53" s="15"/>
      <c r="AEI53" s="15"/>
      <c r="AEJ53" s="15"/>
      <c r="AEK53" s="15"/>
      <c r="AEL53" s="15"/>
      <c r="AEM53" s="15"/>
      <c r="AEN53" s="15"/>
      <c r="AEO53" s="15"/>
      <c r="AEP53" s="15"/>
      <c r="AEQ53" s="15"/>
      <c r="AER53" s="15"/>
      <c r="AES53" s="15"/>
      <c r="AET53" s="15"/>
      <c r="AEU53" s="15"/>
      <c r="AEV53" s="15"/>
      <c r="AEW53" s="15"/>
      <c r="AEX53" s="15"/>
      <c r="AEY53" s="15"/>
      <c r="AEZ53" s="15"/>
      <c r="AFA53" s="15"/>
      <c r="AFB53" s="15"/>
      <c r="AFC53" s="15"/>
      <c r="AFD53" s="15"/>
      <c r="AFE53" s="15"/>
      <c r="AFF53" s="15"/>
      <c r="AFG53" s="15"/>
      <c r="AFH53" s="15"/>
      <c r="AFI53" s="15"/>
      <c r="AFJ53" s="15"/>
      <c r="AFK53" s="15"/>
      <c r="AFL53" s="15"/>
      <c r="AFM53" s="15"/>
      <c r="AFN53" s="15"/>
      <c r="AFO53" s="15"/>
      <c r="AFP53" s="15"/>
      <c r="AFQ53" s="15"/>
      <c r="AFR53" s="15"/>
      <c r="AFS53" s="15"/>
      <c r="AFT53" s="15"/>
      <c r="AFU53" s="15"/>
      <c r="AFV53" s="15"/>
      <c r="AFW53" s="15"/>
      <c r="AFX53" s="15"/>
      <c r="AFY53" s="15"/>
      <c r="AFZ53" s="15"/>
      <c r="AGA53" s="15"/>
      <c r="AGB53" s="15"/>
      <c r="AGC53" s="15"/>
      <c r="AGD53" s="15"/>
      <c r="AGE53" s="15"/>
      <c r="AGF53" s="15"/>
      <c r="AGG53" s="15"/>
      <c r="AGH53" s="15"/>
      <c r="AGI53" s="15"/>
      <c r="AGJ53" s="15"/>
      <c r="AGK53" s="15"/>
      <c r="AGL53" s="15"/>
      <c r="AGM53" s="15"/>
      <c r="AGN53" s="15"/>
      <c r="AGO53" s="15"/>
      <c r="AGP53" s="15"/>
      <c r="AGQ53" s="15"/>
      <c r="AGR53" s="15"/>
      <c r="AGS53" s="15"/>
      <c r="AGT53" s="15"/>
      <c r="AGU53" s="15"/>
      <c r="AGV53" s="15"/>
      <c r="AGW53" s="15"/>
      <c r="AGX53" s="15"/>
      <c r="AGY53" s="15"/>
      <c r="AGZ53" s="15"/>
      <c r="AHA53" s="15"/>
      <c r="AHB53" s="15"/>
      <c r="AHC53" s="15"/>
      <c r="AHD53" s="15"/>
      <c r="AHE53" s="15"/>
      <c r="AHF53" s="15"/>
      <c r="AHG53" s="15"/>
      <c r="AHH53" s="15"/>
      <c r="AHI53" s="15"/>
      <c r="AHJ53" s="15"/>
      <c r="AHK53" s="15"/>
      <c r="AHL53" s="15"/>
      <c r="AHM53" s="15"/>
      <c r="AHN53" s="15"/>
      <c r="AHO53" s="15"/>
      <c r="AHP53" s="15"/>
      <c r="AHQ53" s="15"/>
      <c r="AHR53" s="15"/>
      <c r="AHS53" s="15"/>
      <c r="AHT53" s="15"/>
      <c r="AHU53" s="15"/>
      <c r="AHV53" s="15"/>
      <c r="AHW53" s="15"/>
      <c r="AHX53" s="15"/>
      <c r="AHY53" s="15"/>
      <c r="AHZ53" s="15"/>
      <c r="AIA53" s="15"/>
      <c r="AIB53" s="15"/>
      <c r="AIC53" s="15"/>
      <c r="AID53" s="15"/>
      <c r="AIE53" s="15"/>
      <c r="AIF53" s="15"/>
      <c r="AIG53" s="15"/>
      <c r="AIH53" s="15"/>
      <c r="AII53" s="15"/>
      <c r="AIJ53" s="15"/>
      <c r="AIK53" s="15"/>
      <c r="AIL53" s="15"/>
      <c r="AIM53" s="15"/>
      <c r="AIN53" s="15"/>
      <c r="AIO53" s="15"/>
      <c r="AIP53" s="15"/>
      <c r="AIQ53" s="15"/>
      <c r="AIR53" s="15"/>
      <c r="AIS53" s="15"/>
      <c r="AIT53" s="15"/>
      <c r="AIU53" s="15"/>
      <c r="AIV53" s="15"/>
      <c r="AIW53" s="15"/>
      <c r="AIX53" s="15"/>
      <c r="AIY53" s="15"/>
      <c r="AIZ53" s="15"/>
      <c r="AJA53" s="15"/>
      <c r="AJB53" s="15"/>
      <c r="AJC53" s="15"/>
      <c r="AJD53" s="15"/>
      <c r="AJE53" s="15"/>
      <c r="AJF53" s="15"/>
      <c r="AJG53" s="15"/>
      <c r="AJH53" s="15"/>
      <c r="AJI53" s="15"/>
      <c r="AJJ53" s="15"/>
      <c r="AJK53" s="15"/>
      <c r="AJL53" s="15"/>
      <c r="AJM53" s="15"/>
      <c r="AJN53" s="15"/>
      <c r="AJO53" s="15"/>
      <c r="AJP53" s="15"/>
      <c r="AJQ53" s="15"/>
      <c r="AJR53" s="15"/>
      <c r="AJS53" s="15"/>
      <c r="AJT53" s="15"/>
      <c r="AJU53" s="15"/>
      <c r="AJV53" s="15"/>
      <c r="AJW53" s="15"/>
      <c r="AJX53" s="15"/>
      <c r="AJY53" s="15"/>
      <c r="AJZ53" s="15"/>
      <c r="AKA53" s="15"/>
      <c r="AKB53" s="15"/>
      <c r="AKC53" s="15"/>
      <c r="AKD53" s="15"/>
      <c r="AKE53" s="15"/>
      <c r="AKF53" s="15"/>
      <c r="AKG53" s="15"/>
      <c r="AKH53" s="15"/>
      <c r="AKI53" s="15"/>
      <c r="AKJ53" s="15"/>
      <c r="AKK53" s="15"/>
      <c r="AKL53" s="15"/>
      <c r="AKM53" s="15"/>
      <c r="AKN53" s="15"/>
      <c r="AKO53" s="15"/>
      <c r="AKP53" s="15"/>
      <c r="AKQ53" s="15"/>
      <c r="AKR53" s="15"/>
      <c r="AKS53" s="15"/>
      <c r="AKT53" s="15"/>
      <c r="AKU53" s="15"/>
      <c r="AKV53" s="15"/>
      <c r="AKW53" s="15"/>
      <c r="AKX53" s="15"/>
      <c r="AKY53" s="15"/>
      <c r="AKZ53" s="15"/>
      <c r="ALA53" s="15"/>
      <c r="ALB53" s="15"/>
      <c r="ALC53" s="15"/>
      <c r="ALD53" s="15"/>
      <c r="ALE53" s="15"/>
      <c r="ALF53" s="15"/>
      <c r="ALG53" s="15"/>
      <c r="ALH53" s="15"/>
      <c r="ALI53" s="15"/>
      <c r="ALJ53" s="15"/>
      <c r="ALK53" s="15"/>
      <c r="ALL53" s="15"/>
      <c r="ALM53" s="15"/>
      <c r="ALN53" s="15"/>
      <c r="ALO53" s="15"/>
      <c r="ALP53" s="15"/>
      <c r="ALQ53" s="15"/>
      <c r="ALR53" s="15"/>
      <c r="ALS53" s="15"/>
      <c r="ALT53" s="15"/>
      <c r="ALU53" s="15"/>
      <c r="ALV53" s="15"/>
      <c r="ALW53" s="15"/>
      <c r="ALX53" s="15"/>
      <c r="ALY53" s="15"/>
      <c r="ALZ53" s="15"/>
      <c r="AMA53" s="15"/>
      <c r="AMB53" s="15"/>
      <c r="AMC53" s="15"/>
      <c r="AMD53" s="15"/>
      <c r="AME53" s="15"/>
      <c r="AMF53" s="15"/>
      <c r="AMG53" s="15"/>
      <c r="AMH53" s="15"/>
      <c r="AMI53" s="15"/>
      <c r="AMJ53" s="15"/>
      <c r="AMK53" s="15"/>
      <c r="AML53" s="15"/>
      <c r="AMM53" s="15"/>
      <c r="AMN53" s="15"/>
      <c r="AMO53" s="15"/>
      <c r="AMP53" s="15"/>
      <c r="AMQ53" s="15"/>
      <c r="AMR53" s="15"/>
      <c r="AMS53" s="15"/>
      <c r="AMT53" s="15"/>
      <c r="AMU53" s="15"/>
      <c r="AMV53" s="15"/>
      <c r="AMW53" s="15"/>
      <c r="AMX53" s="15"/>
      <c r="AMY53" s="15"/>
      <c r="AMZ53" s="15"/>
      <c r="ANA53" s="15"/>
      <c r="ANB53" s="15"/>
      <c r="ANC53" s="15"/>
      <c r="AND53" s="15"/>
      <c r="ANE53" s="15"/>
      <c r="ANF53" s="15"/>
      <c r="ANG53" s="15"/>
      <c r="ANH53" s="15"/>
      <c r="ANI53" s="15"/>
      <c r="ANJ53" s="15"/>
      <c r="ANK53" s="15"/>
      <c r="ANL53" s="15"/>
      <c r="ANM53" s="15"/>
      <c r="ANN53" s="15"/>
      <c r="ANO53" s="15"/>
      <c r="ANP53" s="15"/>
      <c r="ANQ53" s="15"/>
      <c r="ANR53" s="15"/>
      <c r="ANS53" s="15"/>
      <c r="ANT53" s="15"/>
      <c r="ANU53" s="15"/>
      <c r="ANV53" s="15"/>
      <c r="ANW53" s="15"/>
      <c r="ANX53" s="15"/>
      <c r="ANY53" s="15"/>
      <c r="ANZ53" s="15"/>
      <c r="AOA53" s="15"/>
      <c r="AOB53" s="15"/>
      <c r="AOC53" s="15"/>
      <c r="AOD53" s="15"/>
      <c r="AOE53" s="15"/>
      <c r="AOF53" s="15"/>
      <c r="AOG53" s="15"/>
      <c r="AOH53" s="15"/>
      <c r="AOI53" s="15"/>
      <c r="AOJ53" s="15"/>
      <c r="AOK53" s="15"/>
      <c r="AOL53" s="15"/>
      <c r="AOM53" s="15"/>
      <c r="AON53" s="15"/>
      <c r="AOO53" s="15"/>
      <c r="AOP53" s="15"/>
      <c r="AOQ53" s="15"/>
      <c r="AOR53" s="15"/>
      <c r="AOS53" s="15"/>
      <c r="AOT53" s="15"/>
      <c r="AOU53" s="15"/>
      <c r="AOV53" s="15"/>
      <c r="AOW53" s="15"/>
      <c r="AOX53" s="15"/>
      <c r="AOY53" s="15"/>
      <c r="AOZ53" s="15"/>
      <c r="APA53" s="15"/>
      <c r="APB53" s="15"/>
      <c r="APC53" s="15"/>
      <c r="APD53" s="15"/>
      <c r="APE53" s="15"/>
      <c r="APF53" s="15"/>
      <c r="APG53" s="15"/>
      <c r="APH53" s="15"/>
      <c r="API53" s="15"/>
      <c r="APJ53" s="15"/>
      <c r="APK53" s="15"/>
      <c r="APL53" s="15"/>
      <c r="APM53" s="15"/>
      <c r="APN53" s="15"/>
      <c r="APO53" s="15"/>
      <c r="APP53" s="15"/>
      <c r="APQ53" s="15"/>
      <c r="APR53" s="15"/>
      <c r="APS53" s="15"/>
      <c r="APT53" s="15"/>
      <c r="APU53" s="15"/>
      <c r="APV53" s="15"/>
      <c r="APW53" s="15"/>
      <c r="APX53" s="15"/>
      <c r="APY53" s="15"/>
      <c r="APZ53" s="15"/>
      <c r="AQA53" s="15"/>
      <c r="AQB53" s="15"/>
      <c r="AQC53" s="15"/>
      <c r="AQD53" s="15"/>
      <c r="AQE53" s="15"/>
      <c r="AQF53" s="15"/>
      <c r="AQG53" s="15"/>
      <c r="AQH53" s="15"/>
      <c r="AQI53" s="15"/>
      <c r="AQJ53" s="15"/>
      <c r="AQK53" s="15"/>
      <c r="AQL53" s="15"/>
      <c r="AQM53" s="15"/>
      <c r="AQN53" s="15"/>
      <c r="AQO53" s="15"/>
      <c r="AQP53" s="15"/>
      <c r="AQQ53" s="15"/>
      <c r="AQR53" s="15"/>
      <c r="AQS53" s="15"/>
      <c r="AQT53" s="15"/>
      <c r="AQU53" s="15"/>
      <c r="AQV53" s="15"/>
      <c r="AQW53" s="15"/>
      <c r="AQX53" s="15"/>
      <c r="AQY53" s="15"/>
      <c r="AQZ53" s="15"/>
      <c r="ARA53" s="15"/>
      <c r="ARB53" s="15"/>
      <c r="ARC53" s="15"/>
      <c r="ARD53" s="15"/>
      <c r="ARE53" s="15"/>
      <c r="ARF53" s="15"/>
      <c r="ARG53" s="15"/>
      <c r="ARH53" s="15"/>
      <c r="ARI53" s="15"/>
      <c r="ARJ53" s="15"/>
      <c r="ARK53" s="15"/>
      <c r="ARL53" s="15"/>
      <c r="ARM53" s="15"/>
      <c r="ARN53" s="15"/>
      <c r="ARO53" s="15"/>
      <c r="ARP53" s="15"/>
      <c r="ARQ53" s="15"/>
      <c r="ARR53" s="15"/>
      <c r="ARS53" s="15"/>
      <c r="ART53" s="15"/>
      <c r="ARU53" s="15"/>
      <c r="ARV53" s="15"/>
      <c r="ARW53" s="15"/>
      <c r="ARX53" s="15"/>
      <c r="ARY53" s="15"/>
      <c r="ARZ53" s="15"/>
      <c r="ASA53" s="15"/>
      <c r="ASB53" s="15"/>
      <c r="ASC53" s="15"/>
      <c r="ASD53" s="15"/>
      <c r="ASE53" s="15"/>
      <c r="ASF53" s="15"/>
      <c r="ASG53" s="15"/>
      <c r="ASH53" s="15"/>
      <c r="ASI53" s="15"/>
      <c r="ASJ53" s="15"/>
      <c r="ASK53" s="15"/>
      <c r="ASL53" s="15"/>
      <c r="ASM53" s="15"/>
      <c r="ASN53" s="15"/>
      <c r="ASO53" s="15"/>
      <c r="ASP53" s="15"/>
      <c r="ASQ53" s="15"/>
      <c r="ASR53" s="15"/>
      <c r="ASS53" s="15"/>
      <c r="AST53" s="15"/>
      <c r="ASU53" s="15"/>
      <c r="ASV53" s="15"/>
      <c r="ASW53" s="15"/>
      <c r="ASX53" s="15"/>
      <c r="ASY53" s="15"/>
      <c r="ASZ53" s="15"/>
      <c r="ATA53" s="15"/>
      <c r="ATB53" s="15"/>
      <c r="ATC53" s="15"/>
      <c r="ATD53" s="15"/>
      <c r="ATE53" s="15"/>
      <c r="ATF53" s="15"/>
      <c r="ATG53" s="15"/>
      <c r="ATH53" s="15"/>
      <c r="ATI53" s="15"/>
      <c r="ATJ53" s="15"/>
      <c r="ATK53" s="15"/>
      <c r="ATL53" s="15"/>
      <c r="ATM53" s="15"/>
      <c r="ATN53" s="15"/>
      <c r="ATO53" s="15"/>
      <c r="ATP53" s="15"/>
      <c r="ATQ53" s="15"/>
      <c r="ATR53" s="15"/>
      <c r="ATS53" s="15"/>
      <c r="ATT53" s="15"/>
      <c r="ATU53" s="15"/>
      <c r="ATV53" s="15"/>
      <c r="ATW53" s="15"/>
      <c r="ATX53" s="15"/>
      <c r="ATY53" s="15"/>
      <c r="ATZ53" s="15"/>
      <c r="AUA53" s="15"/>
      <c r="AUB53" s="15"/>
      <c r="AUC53" s="15"/>
      <c r="AUD53" s="15"/>
      <c r="AUE53" s="15"/>
      <c r="AUF53" s="15"/>
      <c r="AUG53" s="15"/>
      <c r="AUH53" s="15"/>
      <c r="AUI53" s="15"/>
      <c r="AUJ53" s="15"/>
      <c r="AUK53" s="15"/>
      <c r="AUL53" s="15"/>
      <c r="AUM53" s="15"/>
      <c r="AUN53" s="15"/>
      <c r="AUO53" s="15"/>
      <c r="AUP53" s="15"/>
      <c r="AUQ53" s="15"/>
      <c r="AUR53" s="15"/>
      <c r="AUS53" s="15"/>
      <c r="AUT53" s="15"/>
      <c r="AUU53" s="15"/>
      <c r="AUV53" s="15"/>
      <c r="AUW53" s="15"/>
      <c r="AUX53" s="15"/>
      <c r="AUY53" s="15"/>
      <c r="AUZ53" s="15"/>
      <c r="AVA53" s="15"/>
      <c r="AVB53" s="15"/>
      <c r="AVC53" s="15"/>
      <c r="AVD53" s="15"/>
      <c r="AVE53" s="15"/>
      <c r="AVF53" s="15"/>
      <c r="AVG53" s="15"/>
      <c r="AVH53" s="15"/>
      <c r="AVI53" s="15"/>
      <c r="AVJ53" s="15"/>
      <c r="AVK53" s="15"/>
      <c r="AVL53" s="15"/>
      <c r="AVM53" s="15"/>
      <c r="AVN53" s="15"/>
      <c r="AVO53" s="15"/>
      <c r="AVP53" s="15"/>
      <c r="AVQ53" s="15"/>
      <c r="AVR53" s="15"/>
      <c r="AVS53" s="15"/>
      <c r="AVT53" s="15"/>
      <c r="AVU53" s="15"/>
      <c r="AVV53" s="15"/>
      <c r="AVW53" s="15"/>
      <c r="AVX53" s="15"/>
      <c r="AVY53" s="15"/>
      <c r="AVZ53" s="15"/>
      <c r="AWA53" s="15"/>
      <c r="AWB53" s="15"/>
      <c r="AWC53" s="15"/>
      <c r="AWD53" s="15"/>
      <c r="AWE53" s="15"/>
      <c r="AWF53" s="15"/>
      <c r="AWG53" s="15"/>
      <c r="AWH53" s="15"/>
      <c r="AWI53" s="15"/>
      <c r="AWJ53" s="15"/>
      <c r="AWK53" s="15"/>
      <c r="AWL53" s="15"/>
      <c r="AWM53" s="15"/>
      <c r="AWN53" s="15"/>
      <c r="AWO53" s="15"/>
      <c r="AWP53" s="15"/>
      <c r="AWQ53" s="15"/>
      <c r="AWR53" s="15"/>
      <c r="AWS53" s="15"/>
      <c r="AWT53" s="15"/>
      <c r="AWU53" s="15"/>
      <c r="AWV53" s="15"/>
      <c r="AWW53" s="15"/>
      <c r="AWX53" s="15"/>
      <c r="AWY53" s="15"/>
      <c r="AWZ53" s="15"/>
      <c r="AXA53" s="15"/>
      <c r="AXB53" s="15"/>
      <c r="AXC53" s="15"/>
      <c r="AXD53" s="15"/>
      <c r="AXE53" s="15"/>
      <c r="AXF53" s="15"/>
      <c r="AXG53" s="15"/>
      <c r="AXH53" s="15"/>
      <c r="AXI53" s="15"/>
      <c r="AXJ53" s="15"/>
      <c r="AXK53" s="15"/>
      <c r="AXL53" s="15"/>
      <c r="AXM53" s="15"/>
      <c r="AXN53" s="15"/>
      <c r="AXO53" s="15"/>
      <c r="AXP53" s="15"/>
      <c r="AXQ53" s="15"/>
      <c r="AXR53" s="15"/>
      <c r="AXS53" s="15"/>
      <c r="AXT53" s="15"/>
      <c r="AXU53" s="15"/>
      <c r="AXV53" s="15"/>
      <c r="AXW53" s="15"/>
      <c r="AXX53" s="15"/>
      <c r="AXY53" s="15"/>
      <c r="AXZ53" s="15"/>
      <c r="AYA53" s="15"/>
      <c r="AYB53" s="15"/>
      <c r="AYC53" s="15"/>
      <c r="AYD53" s="15"/>
      <c r="AYE53" s="15"/>
      <c r="AYF53" s="15"/>
      <c r="AYG53" s="15"/>
      <c r="AYH53" s="15"/>
      <c r="AYI53" s="15"/>
      <c r="AYJ53" s="15"/>
      <c r="AYK53" s="15"/>
      <c r="AYL53" s="15"/>
      <c r="AYM53" s="15"/>
      <c r="AYN53" s="15"/>
      <c r="AYO53" s="15"/>
      <c r="AYP53" s="15"/>
      <c r="AYQ53" s="15"/>
      <c r="AYR53" s="15"/>
      <c r="AYS53" s="15"/>
      <c r="AYT53" s="15"/>
      <c r="AYU53" s="15"/>
      <c r="AYV53" s="15"/>
      <c r="AYW53" s="15"/>
      <c r="AYX53" s="15"/>
      <c r="AYY53" s="15"/>
      <c r="AYZ53" s="15"/>
      <c r="AZA53" s="15"/>
      <c r="AZB53" s="15"/>
      <c r="AZC53" s="15"/>
      <c r="AZD53" s="15"/>
      <c r="AZE53" s="15"/>
      <c r="AZF53" s="15"/>
      <c r="AZG53" s="15"/>
      <c r="AZH53" s="15"/>
      <c r="AZI53" s="15"/>
      <c r="AZJ53" s="15"/>
      <c r="AZK53" s="15"/>
      <c r="AZL53" s="15"/>
      <c r="AZM53" s="15"/>
      <c r="AZN53" s="15"/>
      <c r="AZO53" s="15"/>
      <c r="AZP53" s="15"/>
      <c r="AZQ53" s="15"/>
      <c r="AZR53" s="15"/>
      <c r="AZS53" s="15"/>
      <c r="AZT53" s="15"/>
      <c r="AZU53" s="15"/>
      <c r="AZV53" s="15"/>
      <c r="AZW53" s="15"/>
      <c r="AZX53" s="15"/>
      <c r="AZY53" s="15"/>
      <c r="AZZ53" s="15"/>
      <c r="BAA53" s="15"/>
      <c r="BAB53" s="15"/>
      <c r="BAC53" s="15"/>
      <c r="BAD53" s="15"/>
      <c r="BAE53" s="15"/>
      <c r="BAF53" s="15"/>
      <c r="BAG53" s="15"/>
      <c r="BAH53" s="15"/>
      <c r="BAI53" s="15"/>
      <c r="BAJ53" s="15"/>
      <c r="BAK53" s="15"/>
      <c r="BAL53" s="15"/>
      <c r="BAM53" s="15"/>
      <c r="BAN53" s="15"/>
      <c r="BAO53" s="15"/>
      <c r="BAP53" s="15"/>
      <c r="BAQ53" s="15"/>
      <c r="BAR53" s="15"/>
      <c r="BAS53" s="15"/>
      <c r="BAT53" s="15"/>
      <c r="BAU53" s="15"/>
      <c r="BAV53" s="15"/>
      <c r="BAW53" s="15"/>
      <c r="BAX53" s="15"/>
      <c r="BAY53" s="15"/>
      <c r="BAZ53" s="15"/>
      <c r="BBA53" s="15"/>
      <c r="BBB53" s="15"/>
      <c r="BBC53" s="15"/>
      <c r="BBD53" s="15"/>
      <c r="BBE53" s="15"/>
      <c r="BBF53" s="15"/>
      <c r="BBG53" s="15"/>
      <c r="BBH53" s="15"/>
      <c r="BBI53" s="15"/>
      <c r="BBJ53" s="15"/>
      <c r="BBK53" s="15"/>
      <c r="BBL53" s="15"/>
      <c r="BBM53" s="15"/>
      <c r="BBN53" s="15"/>
      <c r="BBO53" s="15"/>
      <c r="BBP53" s="15"/>
      <c r="BBQ53" s="15"/>
      <c r="BBR53" s="15"/>
      <c r="BBS53" s="15"/>
      <c r="BBT53" s="15"/>
      <c r="BBU53" s="15"/>
      <c r="BBV53" s="15"/>
      <c r="BBW53" s="15"/>
      <c r="BBX53" s="15"/>
      <c r="BBY53" s="15"/>
      <c r="BBZ53" s="15"/>
      <c r="BCA53" s="15"/>
      <c r="BCB53" s="15"/>
      <c r="BCC53" s="15"/>
      <c r="BCD53" s="15"/>
      <c r="BCE53" s="15"/>
      <c r="BCF53" s="15"/>
      <c r="BCG53" s="15"/>
      <c r="BCH53" s="15"/>
      <c r="BCI53" s="15"/>
      <c r="BCJ53" s="15"/>
      <c r="BCK53" s="15"/>
      <c r="BCL53" s="15"/>
      <c r="BCM53" s="15"/>
      <c r="BCN53" s="15"/>
      <c r="BCO53" s="15"/>
      <c r="BCP53" s="15"/>
      <c r="BCQ53" s="15"/>
      <c r="BCR53" s="15"/>
      <c r="BCS53" s="15"/>
      <c r="BCT53" s="15"/>
      <c r="BCU53" s="15"/>
      <c r="BCV53" s="15"/>
      <c r="BCW53" s="15"/>
      <c r="BCX53" s="15"/>
      <c r="BCY53" s="15"/>
      <c r="BCZ53" s="15"/>
      <c r="BDA53" s="15"/>
      <c r="BDB53" s="15"/>
      <c r="BDC53" s="15"/>
      <c r="BDD53" s="15"/>
      <c r="BDE53" s="15"/>
      <c r="BDF53" s="15"/>
      <c r="BDG53" s="15"/>
      <c r="BDH53" s="15"/>
      <c r="BDI53" s="15"/>
      <c r="BDJ53" s="15"/>
      <c r="BDK53" s="15"/>
      <c r="BDL53" s="15"/>
      <c r="BDM53" s="15"/>
      <c r="BDN53" s="15"/>
      <c r="BDO53" s="15"/>
      <c r="BDP53" s="15"/>
      <c r="BDQ53" s="15"/>
      <c r="BDR53" s="15"/>
      <c r="BDS53" s="15"/>
      <c r="BDT53" s="15"/>
      <c r="BDU53" s="15"/>
      <c r="BDV53" s="15"/>
      <c r="BDW53" s="15"/>
      <c r="BDX53" s="15"/>
      <c r="BDY53" s="15"/>
      <c r="BDZ53" s="15"/>
      <c r="BEA53" s="15"/>
      <c r="BEB53" s="15"/>
      <c r="BEC53" s="15"/>
      <c r="BED53" s="15"/>
      <c r="BEE53" s="15"/>
      <c r="BEF53" s="15"/>
      <c r="BEG53" s="15"/>
      <c r="BEH53" s="15"/>
      <c r="BEI53" s="15"/>
      <c r="BEJ53" s="15"/>
      <c r="BEK53" s="15"/>
      <c r="BEL53" s="15"/>
      <c r="BEM53" s="15"/>
      <c r="BEN53" s="15"/>
      <c r="BEO53" s="15"/>
      <c r="BEP53" s="15"/>
      <c r="BEQ53" s="15"/>
      <c r="BER53" s="15"/>
      <c r="BES53" s="15"/>
      <c r="BET53" s="15"/>
      <c r="BEU53" s="15"/>
      <c r="BEV53" s="15"/>
      <c r="BEW53" s="15"/>
      <c r="BEX53" s="15"/>
      <c r="BEY53" s="15"/>
      <c r="BEZ53" s="15"/>
      <c r="BFA53" s="15"/>
      <c r="BFB53" s="15"/>
      <c r="BFC53" s="15"/>
      <c r="BFD53" s="15"/>
      <c r="BFE53" s="15"/>
      <c r="BFF53" s="15"/>
      <c r="BFG53" s="15"/>
      <c r="BFH53" s="15"/>
      <c r="BFI53" s="15"/>
      <c r="BFJ53" s="15"/>
      <c r="BFK53" s="15"/>
      <c r="BFL53" s="15"/>
      <c r="BFM53" s="15"/>
      <c r="BFN53" s="15"/>
      <c r="BFO53" s="15"/>
      <c r="BFP53" s="15"/>
      <c r="BFQ53" s="15"/>
      <c r="BFR53" s="15"/>
      <c r="BFS53" s="15"/>
      <c r="BFT53" s="15"/>
      <c r="BFU53" s="15"/>
      <c r="BFV53" s="15"/>
      <c r="BFW53" s="15"/>
      <c r="BFX53" s="15"/>
      <c r="BFY53" s="15"/>
      <c r="BFZ53" s="15"/>
      <c r="BGA53" s="15"/>
      <c r="BGB53" s="15"/>
      <c r="BGC53" s="15"/>
      <c r="BGD53" s="15"/>
      <c r="BGE53" s="15"/>
      <c r="BGF53" s="15"/>
      <c r="BGG53" s="15"/>
      <c r="BGH53" s="15"/>
      <c r="BGI53" s="15"/>
      <c r="BGJ53" s="15"/>
      <c r="BGK53" s="15"/>
      <c r="BGL53" s="15"/>
      <c r="BGM53" s="15"/>
      <c r="BGN53" s="15"/>
      <c r="BGO53" s="15"/>
      <c r="BGP53" s="15"/>
      <c r="BGQ53" s="15"/>
      <c r="BGR53" s="15"/>
      <c r="BGS53" s="15"/>
      <c r="BGT53" s="15"/>
      <c r="BGU53" s="15"/>
      <c r="BGV53" s="15"/>
      <c r="BGW53" s="15"/>
      <c r="BGX53" s="15"/>
      <c r="BGY53" s="15"/>
      <c r="BGZ53" s="15"/>
      <c r="BHA53" s="15"/>
      <c r="BHB53" s="15"/>
      <c r="BHC53" s="15"/>
      <c r="BHD53" s="15"/>
      <c r="BHE53" s="15"/>
      <c r="BHF53" s="15"/>
      <c r="BHG53" s="15"/>
      <c r="BHH53" s="15"/>
      <c r="BHI53" s="15"/>
      <c r="BHJ53" s="15"/>
      <c r="BHK53" s="15"/>
      <c r="BHL53" s="15"/>
      <c r="BHM53" s="15"/>
      <c r="BHN53" s="15"/>
      <c r="BHO53" s="15"/>
      <c r="BHP53" s="15"/>
      <c r="BHQ53" s="15"/>
      <c r="BHR53" s="15"/>
      <c r="BHS53" s="15"/>
      <c r="BHT53" s="15"/>
      <c r="BHU53" s="15"/>
      <c r="BHV53" s="15"/>
      <c r="BHW53" s="15"/>
      <c r="BHX53" s="15"/>
      <c r="BHY53" s="15"/>
      <c r="BHZ53" s="15"/>
      <c r="BIA53" s="15"/>
      <c r="BIB53" s="15"/>
      <c r="BIC53" s="15"/>
      <c r="BID53" s="15"/>
      <c r="BIE53" s="15"/>
      <c r="BIF53" s="15"/>
      <c r="BIG53" s="15"/>
      <c r="BIH53" s="15"/>
      <c r="BII53" s="15"/>
      <c r="BIJ53" s="15"/>
      <c r="BIK53" s="15"/>
      <c r="BIL53" s="15"/>
      <c r="BIM53" s="15"/>
      <c r="BIN53" s="15"/>
      <c r="BIO53" s="15"/>
      <c r="BIP53" s="15"/>
      <c r="BIQ53" s="15"/>
      <c r="BIR53" s="15"/>
      <c r="BIS53" s="15"/>
      <c r="BIT53" s="15"/>
      <c r="BIU53" s="15"/>
      <c r="BIV53" s="15"/>
      <c r="BIW53" s="15"/>
      <c r="BIX53" s="15"/>
      <c r="BIY53" s="15"/>
      <c r="BIZ53" s="15"/>
      <c r="BJA53" s="15"/>
      <c r="BJB53" s="15"/>
      <c r="BJC53" s="15"/>
      <c r="BJD53" s="15"/>
      <c r="BJE53" s="15"/>
      <c r="BJF53" s="15"/>
      <c r="BJG53" s="15"/>
      <c r="BJH53" s="15"/>
      <c r="BJI53" s="15"/>
      <c r="BJJ53" s="15"/>
      <c r="BJK53" s="15"/>
      <c r="BJL53" s="15"/>
      <c r="BJM53" s="15"/>
      <c r="BJN53" s="15"/>
      <c r="BJO53" s="15"/>
      <c r="BJP53" s="15"/>
      <c r="BJQ53" s="15"/>
      <c r="BJR53" s="15"/>
      <c r="BJS53" s="15"/>
      <c r="BJT53" s="15"/>
      <c r="BJU53" s="15"/>
      <c r="BJV53" s="15"/>
      <c r="BJW53" s="15"/>
      <c r="BJX53" s="15"/>
      <c r="BJY53" s="15"/>
      <c r="BJZ53" s="15"/>
      <c r="BKA53" s="15"/>
      <c r="BKB53" s="15"/>
      <c r="BKC53" s="15"/>
      <c r="BKD53" s="15"/>
      <c r="BKE53" s="15"/>
      <c r="BKF53" s="15"/>
      <c r="BKG53" s="15"/>
      <c r="BKH53" s="15"/>
      <c r="BKI53" s="15"/>
      <c r="BKJ53" s="15"/>
      <c r="BKK53" s="15"/>
      <c r="BKL53" s="15"/>
      <c r="BKM53" s="15"/>
      <c r="BKN53" s="15"/>
      <c r="BKO53" s="15"/>
      <c r="BKP53" s="15"/>
      <c r="BKQ53" s="15"/>
      <c r="BKR53" s="15"/>
      <c r="BKS53" s="15"/>
      <c r="BKT53" s="15"/>
      <c r="BKU53" s="15"/>
      <c r="BKV53" s="15"/>
      <c r="BKW53" s="15"/>
      <c r="BKX53" s="15"/>
      <c r="BKY53" s="15"/>
      <c r="BKZ53" s="15"/>
      <c r="BLA53" s="15"/>
      <c r="BLB53" s="15"/>
      <c r="BLC53" s="15"/>
      <c r="BLD53" s="15"/>
      <c r="BLE53" s="15"/>
      <c r="BLF53" s="15"/>
      <c r="BLG53" s="15"/>
      <c r="BLH53" s="15"/>
      <c r="BLI53" s="15"/>
      <c r="BLJ53" s="15"/>
      <c r="BLK53" s="15"/>
      <c r="BLL53" s="15"/>
      <c r="BLM53" s="15"/>
      <c r="BLN53" s="15"/>
      <c r="BLO53" s="15"/>
      <c r="BLP53" s="15"/>
      <c r="BLQ53" s="15"/>
      <c r="BLR53" s="15"/>
      <c r="BLS53" s="15"/>
      <c r="BLT53" s="15"/>
      <c r="BLU53" s="15"/>
      <c r="BLV53" s="15"/>
      <c r="BLW53" s="15"/>
      <c r="BLX53" s="15"/>
      <c r="BLY53" s="15"/>
      <c r="BLZ53" s="15"/>
      <c r="BMA53" s="15"/>
      <c r="BMB53" s="15"/>
      <c r="BMC53" s="15"/>
      <c r="BMD53" s="15"/>
      <c r="BME53" s="15"/>
      <c r="BMF53" s="15"/>
      <c r="BMG53" s="15"/>
      <c r="BMH53" s="15"/>
      <c r="BMI53" s="15"/>
      <c r="BMJ53" s="15"/>
      <c r="BMK53" s="15"/>
      <c r="BML53" s="15"/>
      <c r="BMM53" s="15"/>
      <c r="BMN53" s="15"/>
      <c r="BMO53" s="15"/>
      <c r="BMP53" s="15"/>
      <c r="BMQ53" s="15"/>
      <c r="BMR53" s="15"/>
      <c r="BMS53" s="15"/>
      <c r="BMT53" s="15"/>
      <c r="BMU53" s="15"/>
      <c r="BMV53" s="15"/>
      <c r="BMW53" s="15"/>
      <c r="BMX53" s="15"/>
      <c r="BMY53" s="15"/>
      <c r="BMZ53" s="15"/>
      <c r="BNA53" s="15"/>
      <c r="BNB53" s="15"/>
      <c r="BNC53" s="15"/>
      <c r="BND53" s="15"/>
      <c r="BNE53" s="15"/>
      <c r="BNF53" s="15"/>
      <c r="BNG53" s="15"/>
      <c r="BNH53" s="15"/>
      <c r="BNI53" s="15"/>
      <c r="BNJ53" s="15"/>
      <c r="BNK53" s="15"/>
      <c r="BNL53" s="15"/>
      <c r="BNM53" s="15"/>
      <c r="BNN53" s="15"/>
      <c r="BNO53" s="15"/>
      <c r="BNP53" s="15"/>
      <c r="BNQ53" s="15"/>
      <c r="BNR53" s="15"/>
      <c r="BNS53" s="15"/>
      <c r="BNT53" s="15"/>
      <c r="BNU53" s="15"/>
      <c r="BNV53" s="15"/>
      <c r="BNW53" s="15"/>
      <c r="BNX53" s="15"/>
      <c r="BNY53" s="15"/>
      <c r="BNZ53" s="15"/>
      <c r="BOA53" s="15"/>
      <c r="BOB53" s="15"/>
      <c r="BOC53" s="15"/>
      <c r="BOD53" s="15"/>
      <c r="BOE53" s="15"/>
      <c r="BOF53" s="15"/>
      <c r="BOG53" s="15"/>
      <c r="BOH53" s="15"/>
      <c r="BOI53" s="15"/>
      <c r="BOJ53" s="15"/>
      <c r="BOK53" s="15"/>
      <c r="BOL53" s="15"/>
      <c r="BOM53" s="15"/>
      <c r="BON53" s="15"/>
      <c r="BOO53" s="15"/>
      <c r="BOP53" s="15"/>
      <c r="BOQ53" s="15"/>
      <c r="BOR53" s="15"/>
      <c r="BOS53" s="15"/>
      <c r="BOT53" s="15"/>
      <c r="BOU53" s="15"/>
      <c r="BOV53" s="15"/>
      <c r="BOW53" s="15"/>
      <c r="BOX53" s="15"/>
      <c r="BOY53" s="15"/>
      <c r="BOZ53" s="15"/>
      <c r="BPA53" s="15"/>
      <c r="BPB53" s="15"/>
      <c r="BPC53" s="15"/>
      <c r="BPD53" s="15"/>
      <c r="BPE53" s="15"/>
      <c r="BPF53" s="15"/>
      <c r="BPG53" s="15"/>
      <c r="BPH53" s="15"/>
      <c r="BPI53" s="15"/>
      <c r="BPJ53" s="15"/>
      <c r="BPK53" s="15"/>
      <c r="BPL53" s="15"/>
      <c r="BPM53" s="15"/>
      <c r="BPN53" s="15"/>
      <c r="BPO53" s="15"/>
      <c r="BPP53" s="15"/>
      <c r="BPQ53" s="15"/>
      <c r="BPR53" s="15"/>
      <c r="BPS53" s="15"/>
      <c r="BPT53" s="15"/>
      <c r="BPU53" s="15"/>
      <c r="BPV53" s="15"/>
      <c r="BPW53" s="15"/>
      <c r="BPX53" s="15"/>
      <c r="BPY53" s="15"/>
      <c r="BPZ53" s="15"/>
      <c r="BQA53" s="15"/>
      <c r="BQB53" s="15"/>
      <c r="BQC53" s="15"/>
      <c r="BQD53" s="15"/>
      <c r="BQE53" s="15"/>
      <c r="BQF53" s="15"/>
      <c r="BQG53" s="15"/>
      <c r="BQH53" s="15"/>
      <c r="BQI53" s="15"/>
      <c r="BQJ53" s="15"/>
      <c r="BQK53" s="15"/>
      <c r="BQL53" s="15"/>
      <c r="BQM53" s="15"/>
      <c r="BQN53" s="15"/>
      <c r="BQO53" s="15"/>
      <c r="BQP53" s="15"/>
      <c r="BQQ53" s="15"/>
      <c r="BQR53" s="15"/>
      <c r="BQS53" s="15"/>
      <c r="BQT53" s="15"/>
      <c r="BQU53" s="15"/>
      <c r="BQV53" s="15"/>
      <c r="BQW53" s="15"/>
      <c r="BQX53" s="15"/>
      <c r="BQY53" s="15"/>
      <c r="BQZ53" s="15"/>
      <c r="BRA53" s="15"/>
      <c r="BRB53" s="15"/>
      <c r="BRC53" s="15"/>
      <c r="BRD53" s="15"/>
      <c r="BRE53" s="15"/>
      <c r="BRF53" s="15"/>
      <c r="BRG53" s="15"/>
      <c r="BRH53" s="15"/>
      <c r="BRI53" s="15"/>
      <c r="BRJ53" s="15"/>
      <c r="BRK53" s="15"/>
      <c r="BRL53" s="15"/>
      <c r="BRM53" s="15"/>
      <c r="BRN53" s="15"/>
      <c r="BRO53" s="15"/>
      <c r="BRP53" s="15"/>
      <c r="BRQ53" s="15"/>
      <c r="BRR53" s="15"/>
      <c r="BRS53" s="15"/>
      <c r="BRT53" s="15"/>
      <c r="BRU53" s="15"/>
      <c r="BRV53" s="15"/>
      <c r="BRW53" s="15"/>
      <c r="BRX53" s="15"/>
      <c r="BRY53" s="15"/>
      <c r="BRZ53" s="15"/>
      <c r="BSA53" s="15"/>
      <c r="BSB53" s="15"/>
      <c r="BSC53" s="15"/>
      <c r="BSD53" s="15"/>
      <c r="BSE53" s="15"/>
      <c r="BSF53" s="15"/>
      <c r="BSG53" s="15"/>
      <c r="BSH53" s="15"/>
      <c r="BSI53" s="15"/>
      <c r="BSJ53" s="15"/>
      <c r="BSK53" s="15"/>
      <c r="BSL53" s="15"/>
      <c r="BSM53" s="15"/>
      <c r="BSN53" s="15"/>
      <c r="BSO53" s="15"/>
      <c r="BSP53" s="15"/>
      <c r="BSQ53" s="15"/>
      <c r="BSR53" s="15"/>
      <c r="BSS53" s="15"/>
      <c r="BST53" s="15"/>
      <c r="BSU53" s="15"/>
      <c r="BSV53" s="15"/>
      <c r="BSW53" s="15"/>
      <c r="BSX53" s="15"/>
      <c r="BSY53" s="15"/>
      <c r="BSZ53" s="15"/>
      <c r="BTA53" s="15"/>
      <c r="BTB53" s="15"/>
      <c r="BTC53" s="15"/>
      <c r="BTD53" s="15"/>
      <c r="BTE53" s="15"/>
      <c r="BTF53" s="15"/>
      <c r="BTG53" s="15"/>
      <c r="BTH53" s="15"/>
      <c r="BTI53" s="15"/>
      <c r="BTJ53" s="15"/>
      <c r="BTK53" s="15"/>
      <c r="BTL53" s="15"/>
      <c r="BTM53" s="15"/>
      <c r="BTN53" s="15"/>
      <c r="BTO53" s="15"/>
      <c r="BTP53" s="15"/>
      <c r="BTQ53" s="15"/>
      <c r="BTR53" s="15"/>
      <c r="BTS53" s="15"/>
      <c r="BTT53" s="15"/>
      <c r="BTU53" s="15"/>
      <c r="BTV53" s="15"/>
      <c r="BTW53" s="15"/>
      <c r="BTX53" s="15"/>
      <c r="BTY53" s="15"/>
      <c r="BTZ53" s="15"/>
      <c r="BUA53" s="15"/>
      <c r="BUB53" s="15"/>
      <c r="BUC53" s="15"/>
      <c r="BUD53" s="15"/>
      <c r="BUE53" s="15"/>
      <c r="BUF53" s="15"/>
      <c r="BUG53" s="15"/>
      <c r="BUH53" s="15"/>
      <c r="BUI53" s="15"/>
      <c r="BUJ53" s="15"/>
      <c r="BUK53" s="15"/>
      <c r="BUL53" s="15"/>
      <c r="BUM53" s="15"/>
      <c r="BUN53" s="15"/>
      <c r="BUO53" s="15"/>
      <c r="BUP53" s="15"/>
      <c r="BUQ53" s="15"/>
      <c r="BUR53" s="15"/>
      <c r="BUS53" s="15"/>
      <c r="BUT53" s="15"/>
      <c r="BUU53" s="15"/>
      <c r="BUV53" s="15"/>
      <c r="BUW53" s="15"/>
      <c r="BUX53" s="15"/>
      <c r="BUY53" s="15"/>
      <c r="BUZ53" s="15"/>
      <c r="BVA53" s="15"/>
      <c r="BVB53" s="15"/>
      <c r="BVC53" s="15"/>
      <c r="BVD53" s="15"/>
      <c r="BVE53" s="15"/>
      <c r="BVF53" s="15"/>
      <c r="BVG53" s="15"/>
      <c r="BVH53" s="15"/>
      <c r="BVI53" s="15"/>
      <c r="BVJ53" s="15"/>
      <c r="BVK53" s="15"/>
      <c r="BVL53" s="15"/>
      <c r="BVM53" s="15"/>
      <c r="BVN53" s="15"/>
      <c r="BVO53" s="15"/>
      <c r="BVP53" s="15"/>
      <c r="BVQ53" s="15"/>
      <c r="BVR53" s="15"/>
      <c r="BVS53" s="15"/>
      <c r="BVT53" s="15"/>
      <c r="BVU53" s="15"/>
      <c r="BVV53" s="15"/>
      <c r="BVW53" s="15"/>
      <c r="BVX53" s="15"/>
      <c r="BVY53" s="15"/>
      <c r="BVZ53" s="15"/>
      <c r="BWA53" s="15"/>
      <c r="BWB53" s="15"/>
      <c r="BWC53" s="15"/>
      <c r="BWD53" s="15"/>
      <c r="BWE53" s="15"/>
      <c r="BWF53" s="15"/>
      <c r="BWG53" s="15"/>
      <c r="BWH53" s="15"/>
      <c r="BWI53" s="15"/>
      <c r="BWJ53" s="15"/>
      <c r="BWK53" s="15"/>
      <c r="BWL53" s="15"/>
      <c r="BWM53" s="15"/>
      <c r="BWN53" s="15"/>
      <c r="BWO53" s="15"/>
      <c r="BWP53" s="15"/>
      <c r="BWQ53" s="15"/>
      <c r="BWR53" s="15"/>
      <c r="BWS53" s="15"/>
      <c r="BWT53" s="15"/>
      <c r="BWU53" s="15"/>
      <c r="BWV53" s="15"/>
      <c r="BWW53" s="15"/>
      <c r="BWX53" s="15"/>
      <c r="BWY53" s="15"/>
      <c r="BWZ53" s="15"/>
      <c r="BXA53" s="15"/>
      <c r="BXB53" s="15"/>
      <c r="BXC53" s="15"/>
      <c r="BXD53" s="15"/>
      <c r="BXE53" s="15"/>
      <c r="BXF53" s="15"/>
      <c r="BXG53" s="15"/>
      <c r="BXH53" s="15"/>
      <c r="BXI53" s="15"/>
      <c r="BXJ53" s="15"/>
      <c r="BXK53" s="15"/>
      <c r="BXL53" s="15"/>
      <c r="BXM53" s="15"/>
      <c r="BXN53" s="15"/>
      <c r="BXO53" s="15"/>
      <c r="BXP53" s="15"/>
      <c r="BXQ53" s="15"/>
      <c r="BXR53" s="15"/>
      <c r="BXS53" s="15"/>
      <c r="BXT53" s="15"/>
      <c r="BXU53" s="15"/>
      <c r="BXV53" s="15"/>
      <c r="BXW53" s="15"/>
      <c r="BXX53" s="15"/>
      <c r="BXY53" s="15"/>
      <c r="BXZ53" s="15"/>
      <c r="BYA53" s="15"/>
      <c r="BYB53" s="15"/>
      <c r="BYC53" s="15"/>
      <c r="BYD53" s="15"/>
      <c r="BYE53" s="15"/>
      <c r="BYF53" s="15"/>
      <c r="BYG53" s="15"/>
      <c r="BYH53" s="15"/>
      <c r="BYI53" s="15"/>
      <c r="BYJ53" s="15"/>
      <c r="BYK53" s="15"/>
      <c r="BYL53" s="15"/>
      <c r="BYM53" s="15"/>
      <c r="BYN53" s="15"/>
      <c r="BYO53" s="15"/>
      <c r="BYP53" s="15"/>
      <c r="BYQ53" s="15"/>
      <c r="BYR53" s="15"/>
      <c r="BYS53" s="15"/>
      <c r="BYT53" s="15"/>
      <c r="BYU53" s="15"/>
      <c r="BYV53" s="15"/>
      <c r="BYW53" s="15"/>
      <c r="BYX53" s="15"/>
      <c r="BYY53" s="15"/>
      <c r="BYZ53" s="15"/>
      <c r="BZA53" s="15"/>
      <c r="BZB53" s="15"/>
      <c r="BZC53" s="15"/>
      <c r="BZD53" s="15"/>
      <c r="BZE53" s="15"/>
      <c r="BZF53" s="15"/>
      <c r="BZG53" s="15"/>
      <c r="BZH53" s="15"/>
      <c r="BZI53" s="15"/>
      <c r="BZJ53" s="15"/>
      <c r="BZK53" s="15"/>
      <c r="BZL53" s="15"/>
      <c r="BZM53" s="15"/>
      <c r="BZN53" s="15"/>
      <c r="BZO53" s="15"/>
      <c r="BZP53" s="15"/>
      <c r="BZQ53" s="15"/>
      <c r="BZR53" s="15"/>
      <c r="BZS53" s="15"/>
      <c r="BZT53" s="15"/>
      <c r="BZU53" s="15"/>
      <c r="BZV53" s="15"/>
      <c r="BZW53" s="15"/>
      <c r="BZX53" s="15"/>
      <c r="BZY53" s="15"/>
      <c r="BZZ53" s="15"/>
      <c r="CAA53" s="15"/>
      <c r="CAB53" s="15"/>
      <c r="CAC53" s="15"/>
      <c r="CAD53" s="15"/>
      <c r="CAE53" s="15"/>
      <c r="CAF53" s="15"/>
      <c r="CAG53" s="15"/>
      <c r="CAH53" s="15"/>
      <c r="CAI53" s="15"/>
      <c r="CAJ53" s="15"/>
      <c r="CAK53" s="15"/>
      <c r="CAL53" s="15"/>
      <c r="CAM53" s="15"/>
      <c r="CAN53" s="15"/>
      <c r="CAO53" s="15"/>
      <c r="CAP53" s="15"/>
      <c r="CAQ53" s="15"/>
      <c r="CAR53" s="15"/>
      <c r="CAS53" s="15"/>
      <c r="CAT53" s="15"/>
      <c r="CAU53" s="15"/>
      <c r="CAV53" s="15"/>
      <c r="CAW53" s="15"/>
      <c r="CAX53" s="15"/>
      <c r="CAY53" s="15"/>
      <c r="CAZ53" s="15"/>
      <c r="CBA53" s="15"/>
      <c r="CBB53" s="15"/>
      <c r="CBC53" s="15"/>
      <c r="CBD53" s="15"/>
      <c r="CBE53" s="15"/>
      <c r="CBF53" s="15"/>
      <c r="CBG53" s="15"/>
      <c r="CBH53" s="15"/>
      <c r="CBI53" s="15"/>
      <c r="CBJ53" s="15"/>
      <c r="CBK53" s="15"/>
      <c r="CBL53" s="15"/>
      <c r="CBM53" s="15"/>
      <c r="CBN53" s="15"/>
      <c r="CBO53" s="15"/>
      <c r="CBP53" s="15"/>
      <c r="CBQ53" s="15"/>
      <c r="CBR53" s="15"/>
      <c r="CBS53" s="15"/>
      <c r="CBT53" s="15"/>
      <c r="CBU53" s="15"/>
      <c r="CBV53" s="15"/>
      <c r="CBW53" s="15"/>
      <c r="CBX53" s="15"/>
      <c r="CBY53" s="15"/>
      <c r="CBZ53" s="15"/>
      <c r="CCA53" s="15"/>
      <c r="CCB53" s="15"/>
      <c r="CCC53" s="15"/>
      <c r="CCD53" s="15"/>
      <c r="CCE53" s="15"/>
      <c r="CCF53" s="15"/>
      <c r="CCG53" s="15"/>
      <c r="CCH53" s="15"/>
      <c r="CCI53" s="15"/>
      <c r="CCJ53" s="15"/>
      <c r="CCK53" s="15"/>
      <c r="CCL53" s="15"/>
      <c r="CCM53" s="15"/>
      <c r="CCN53" s="15"/>
      <c r="CCO53" s="15"/>
      <c r="CCP53" s="15"/>
      <c r="CCQ53" s="15"/>
      <c r="CCR53" s="15"/>
      <c r="CCS53" s="15"/>
      <c r="CCT53" s="15"/>
      <c r="CCU53" s="15"/>
      <c r="CCV53" s="15"/>
      <c r="CCW53" s="15"/>
      <c r="CCX53" s="15"/>
      <c r="CCY53" s="15"/>
      <c r="CCZ53" s="15"/>
      <c r="CDA53" s="15"/>
      <c r="CDB53" s="15"/>
      <c r="CDC53" s="15"/>
      <c r="CDD53" s="15"/>
      <c r="CDE53" s="15"/>
      <c r="CDF53" s="15"/>
      <c r="CDG53" s="15"/>
      <c r="CDH53" s="15"/>
      <c r="CDI53" s="15"/>
      <c r="CDJ53" s="15"/>
      <c r="CDK53" s="15"/>
      <c r="CDL53" s="15"/>
      <c r="CDM53" s="15"/>
      <c r="CDN53" s="15"/>
      <c r="CDO53" s="15"/>
      <c r="CDP53" s="15"/>
      <c r="CDQ53" s="15"/>
      <c r="CDR53" s="15"/>
      <c r="CDS53" s="15"/>
      <c r="CDT53" s="15"/>
      <c r="CDU53" s="15"/>
      <c r="CDV53" s="15"/>
      <c r="CDW53" s="15"/>
      <c r="CDX53" s="15"/>
      <c r="CDY53" s="15"/>
      <c r="CDZ53" s="15"/>
      <c r="CEA53" s="15"/>
      <c r="CEB53" s="15"/>
      <c r="CEC53" s="15"/>
      <c r="CED53" s="15"/>
      <c r="CEE53" s="15"/>
      <c r="CEF53" s="15"/>
      <c r="CEG53" s="15"/>
      <c r="CEH53" s="15"/>
      <c r="CEI53" s="15"/>
      <c r="CEJ53" s="15"/>
      <c r="CEK53" s="15"/>
      <c r="CEL53" s="15"/>
      <c r="CEM53" s="15"/>
      <c r="CEN53" s="15"/>
      <c r="CEO53" s="15"/>
      <c r="CEP53" s="15"/>
      <c r="CEQ53" s="15"/>
      <c r="CER53" s="15"/>
      <c r="CES53" s="15"/>
      <c r="CET53" s="15"/>
      <c r="CEU53" s="15"/>
      <c r="CEV53" s="15"/>
      <c r="CEW53" s="15"/>
      <c r="CEX53" s="15"/>
      <c r="CEY53" s="15"/>
      <c r="CEZ53" s="15"/>
      <c r="CFA53" s="15"/>
      <c r="CFB53" s="15"/>
      <c r="CFC53" s="15"/>
      <c r="CFD53" s="15"/>
      <c r="CFE53" s="15"/>
      <c r="CFF53" s="15"/>
      <c r="CFG53" s="15"/>
      <c r="CFH53" s="15"/>
      <c r="CFI53" s="15"/>
      <c r="CFJ53" s="15"/>
      <c r="CFK53" s="15"/>
      <c r="CFL53" s="15"/>
      <c r="CFM53" s="15"/>
      <c r="CFN53" s="15"/>
      <c r="CFO53" s="15"/>
      <c r="CFP53" s="15"/>
      <c r="CFQ53" s="15"/>
      <c r="CFR53" s="15"/>
      <c r="CFS53" s="15"/>
      <c r="CFT53" s="15"/>
      <c r="CFU53" s="15"/>
      <c r="CFV53" s="15"/>
      <c r="CFW53" s="15"/>
      <c r="CFX53" s="15"/>
      <c r="CFY53" s="15"/>
      <c r="CFZ53" s="15"/>
      <c r="CGA53" s="15"/>
      <c r="CGB53" s="15"/>
      <c r="CGC53" s="15"/>
      <c r="CGD53" s="15"/>
      <c r="CGE53" s="15"/>
      <c r="CGF53" s="15"/>
      <c r="CGG53" s="15"/>
      <c r="CGH53" s="15"/>
      <c r="CGI53" s="15"/>
      <c r="CGJ53" s="15"/>
      <c r="CGK53" s="15"/>
      <c r="CGL53" s="15"/>
      <c r="CGM53" s="15"/>
      <c r="CGN53" s="15"/>
      <c r="CGO53" s="15"/>
      <c r="CGP53" s="15"/>
      <c r="CGQ53" s="15"/>
      <c r="CGR53" s="15"/>
      <c r="CGS53" s="15"/>
      <c r="CGT53" s="15"/>
      <c r="CGU53" s="15"/>
      <c r="CGV53" s="15"/>
      <c r="CGW53" s="15"/>
      <c r="CGX53" s="15"/>
      <c r="CGY53" s="15"/>
      <c r="CGZ53" s="15"/>
      <c r="CHA53" s="15"/>
      <c r="CHB53" s="15"/>
      <c r="CHC53" s="15"/>
      <c r="CHD53" s="15"/>
      <c r="CHE53" s="15"/>
      <c r="CHF53" s="15"/>
      <c r="CHG53" s="15"/>
      <c r="CHH53" s="15"/>
      <c r="CHI53" s="15"/>
      <c r="CHJ53" s="15"/>
      <c r="CHK53" s="15"/>
      <c r="CHL53" s="15"/>
      <c r="CHM53" s="15"/>
      <c r="CHN53" s="15"/>
      <c r="CHO53" s="15"/>
      <c r="CHP53" s="15"/>
      <c r="CHQ53" s="15"/>
      <c r="CHR53" s="15"/>
      <c r="CHS53" s="15"/>
      <c r="CHT53" s="15"/>
      <c r="CHU53" s="15"/>
      <c r="CHV53" s="15"/>
      <c r="CHW53" s="15"/>
      <c r="CHX53" s="15"/>
      <c r="CHY53" s="15"/>
      <c r="CHZ53" s="15"/>
      <c r="CIA53" s="15"/>
      <c r="CIB53" s="15"/>
      <c r="CIC53" s="15"/>
      <c r="CID53" s="15"/>
      <c r="CIE53" s="15"/>
      <c r="CIF53" s="15"/>
      <c r="CIG53" s="15"/>
      <c r="CIH53" s="15"/>
      <c r="CII53" s="15"/>
      <c r="CIJ53" s="15"/>
      <c r="CIK53" s="15"/>
      <c r="CIL53" s="15"/>
      <c r="CIM53" s="15"/>
      <c r="CIN53" s="15"/>
      <c r="CIO53" s="15"/>
      <c r="CIP53" s="15"/>
      <c r="CIQ53" s="15"/>
      <c r="CIR53" s="15"/>
      <c r="CIS53" s="15"/>
      <c r="CIT53" s="15"/>
      <c r="CIU53" s="15"/>
      <c r="CIV53" s="15"/>
      <c r="CIW53" s="15"/>
      <c r="CIX53" s="15"/>
      <c r="CIY53" s="15"/>
      <c r="CIZ53" s="15"/>
      <c r="CJA53" s="15"/>
      <c r="CJB53" s="15"/>
      <c r="CJC53" s="15"/>
      <c r="CJD53" s="15"/>
      <c r="CJE53" s="15"/>
      <c r="CJF53" s="15"/>
      <c r="CJG53" s="15"/>
      <c r="CJH53" s="15"/>
      <c r="CJI53" s="15"/>
      <c r="CJJ53" s="15"/>
      <c r="CJK53" s="15"/>
      <c r="CJL53" s="15"/>
      <c r="CJM53" s="15"/>
      <c r="CJN53" s="15"/>
      <c r="CJO53" s="15"/>
      <c r="CJP53" s="15"/>
      <c r="CJQ53" s="15"/>
      <c r="CJR53" s="15"/>
      <c r="CJS53" s="15"/>
      <c r="CJT53" s="15"/>
      <c r="CJU53" s="15"/>
      <c r="CJV53" s="15"/>
      <c r="CJW53" s="15"/>
      <c r="CJX53" s="15"/>
      <c r="CJY53" s="15"/>
      <c r="CJZ53" s="15"/>
      <c r="CKA53" s="15"/>
      <c r="CKB53" s="15"/>
      <c r="CKC53" s="15"/>
      <c r="CKD53" s="15"/>
      <c r="CKE53" s="15"/>
      <c r="CKF53" s="15"/>
      <c r="CKG53" s="15"/>
      <c r="CKH53" s="15"/>
      <c r="CKI53" s="15"/>
      <c r="CKJ53" s="15"/>
      <c r="CKK53" s="15"/>
      <c r="CKL53" s="15"/>
      <c r="CKM53" s="15"/>
      <c r="CKN53" s="15"/>
      <c r="CKO53" s="15"/>
      <c r="CKP53" s="15"/>
      <c r="CKQ53" s="15"/>
      <c r="CKR53" s="15"/>
      <c r="CKS53" s="15"/>
      <c r="CKT53" s="15"/>
      <c r="CKU53" s="15"/>
      <c r="CKV53" s="15"/>
      <c r="CKW53" s="15"/>
      <c r="CKX53" s="15"/>
      <c r="CKY53" s="15"/>
      <c r="CKZ53" s="15"/>
      <c r="CLA53" s="15"/>
      <c r="CLB53" s="15"/>
      <c r="CLC53" s="15"/>
      <c r="CLD53" s="15"/>
      <c r="CLE53" s="15"/>
      <c r="CLF53" s="15"/>
      <c r="CLG53" s="15"/>
      <c r="CLH53" s="15"/>
      <c r="CLI53" s="15"/>
      <c r="CLJ53" s="15"/>
      <c r="CLK53" s="15"/>
      <c r="CLL53" s="15"/>
      <c r="CLM53" s="15"/>
      <c r="CLN53" s="15"/>
      <c r="CLO53" s="15"/>
      <c r="CLP53" s="15"/>
      <c r="CLQ53" s="15"/>
      <c r="CLR53" s="15"/>
      <c r="CLS53" s="15"/>
      <c r="CLT53" s="15"/>
      <c r="CLU53" s="15"/>
      <c r="CLV53" s="15"/>
      <c r="CLW53" s="15"/>
      <c r="CLX53" s="15"/>
      <c r="CLY53" s="15"/>
      <c r="CLZ53" s="15"/>
      <c r="CMA53" s="15"/>
      <c r="CMB53" s="15"/>
      <c r="CMC53" s="15"/>
      <c r="CMD53" s="15"/>
      <c r="CME53" s="15"/>
      <c r="CMF53" s="15"/>
      <c r="CMG53" s="15"/>
      <c r="CMH53" s="15"/>
      <c r="CMI53" s="15"/>
      <c r="CMJ53" s="15"/>
      <c r="CMK53" s="15"/>
      <c r="CML53" s="15"/>
      <c r="CMM53" s="15"/>
      <c r="CMN53" s="15"/>
      <c r="CMO53" s="15"/>
      <c r="CMP53" s="15"/>
      <c r="CMQ53" s="15"/>
      <c r="CMR53" s="15"/>
      <c r="CMS53" s="15"/>
      <c r="CMT53" s="15"/>
      <c r="CMU53" s="15"/>
      <c r="CMV53" s="15"/>
      <c r="CMW53" s="15"/>
      <c r="CMX53" s="15"/>
      <c r="CMY53" s="15"/>
      <c r="CMZ53" s="15"/>
      <c r="CNA53" s="15"/>
      <c r="CNB53" s="15"/>
      <c r="CNC53" s="15"/>
      <c r="CND53" s="15"/>
      <c r="CNE53" s="15"/>
      <c r="CNF53" s="15"/>
      <c r="CNG53" s="15"/>
      <c r="CNH53" s="15"/>
      <c r="CNI53" s="15"/>
      <c r="CNJ53" s="15"/>
      <c r="CNK53" s="15"/>
      <c r="CNL53" s="15"/>
      <c r="CNM53" s="15"/>
      <c r="CNN53" s="15"/>
      <c r="CNO53" s="15"/>
      <c r="CNP53" s="15"/>
      <c r="CNQ53" s="15"/>
      <c r="CNR53" s="15"/>
      <c r="CNS53" s="15"/>
      <c r="CNT53" s="15"/>
      <c r="CNU53" s="15"/>
      <c r="CNV53" s="15"/>
      <c r="CNW53" s="15"/>
      <c r="CNX53" s="15"/>
      <c r="CNY53" s="15"/>
      <c r="CNZ53" s="15"/>
      <c r="COA53" s="15"/>
      <c r="COB53" s="15"/>
      <c r="COC53" s="15"/>
      <c r="COD53" s="15"/>
      <c r="COE53" s="15"/>
      <c r="COF53" s="15"/>
      <c r="COG53" s="15"/>
      <c r="COH53" s="15"/>
      <c r="COI53" s="15"/>
      <c r="COJ53" s="15"/>
      <c r="COK53" s="15"/>
      <c r="COL53" s="15"/>
      <c r="COM53" s="15"/>
      <c r="CON53" s="15"/>
      <c r="COO53" s="15"/>
      <c r="COP53" s="15"/>
      <c r="COQ53" s="15"/>
      <c r="COR53" s="15"/>
      <c r="COS53" s="15"/>
      <c r="COT53" s="15"/>
      <c r="COU53" s="15"/>
      <c r="COV53" s="15"/>
      <c r="COW53" s="15"/>
      <c r="COX53" s="15"/>
      <c r="COY53" s="15"/>
      <c r="COZ53" s="15"/>
      <c r="CPA53" s="15"/>
      <c r="CPB53" s="15"/>
      <c r="CPC53" s="15"/>
      <c r="CPD53" s="15"/>
      <c r="CPE53" s="15"/>
      <c r="CPF53" s="15"/>
      <c r="CPG53" s="15"/>
      <c r="CPH53" s="15"/>
      <c r="CPI53" s="15"/>
      <c r="CPJ53" s="15"/>
      <c r="CPK53" s="15"/>
      <c r="CPL53" s="15"/>
      <c r="CPM53" s="15"/>
      <c r="CPN53" s="15"/>
      <c r="CPO53" s="15"/>
      <c r="CPP53" s="15"/>
      <c r="CPQ53" s="15"/>
      <c r="CPR53" s="15"/>
      <c r="CPS53" s="15"/>
      <c r="CPT53" s="15"/>
      <c r="CPU53" s="15"/>
      <c r="CPV53" s="15"/>
      <c r="CPW53" s="15"/>
      <c r="CPX53" s="15"/>
      <c r="CPY53" s="15"/>
      <c r="CPZ53" s="15"/>
      <c r="CQA53" s="15"/>
      <c r="CQB53" s="15"/>
      <c r="CQC53" s="15"/>
      <c r="CQD53" s="15"/>
      <c r="CQE53" s="15"/>
      <c r="CQF53" s="15"/>
      <c r="CQG53" s="15"/>
      <c r="CQH53" s="15"/>
      <c r="CQI53" s="15"/>
      <c r="CQJ53" s="15"/>
      <c r="CQK53" s="15"/>
      <c r="CQL53" s="15"/>
      <c r="CQM53" s="15"/>
      <c r="CQN53" s="15"/>
      <c r="CQO53" s="15"/>
      <c r="CQP53" s="15"/>
      <c r="CQQ53" s="15"/>
      <c r="CQR53" s="15"/>
      <c r="CQS53" s="15"/>
      <c r="CQT53" s="15"/>
      <c r="CQU53" s="15"/>
      <c r="CQV53" s="15"/>
      <c r="CQW53" s="15"/>
      <c r="CQX53" s="15"/>
      <c r="CQY53" s="15"/>
      <c r="CQZ53" s="15"/>
      <c r="CRA53" s="15"/>
      <c r="CRB53" s="15"/>
      <c r="CRC53" s="15"/>
      <c r="CRD53" s="15"/>
      <c r="CRE53" s="15"/>
      <c r="CRF53" s="15"/>
      <c r="CRG53" s="15"/>
      <c r="CRH53" s="15"/>
      <c r="CRI53" s="15"/>
      <c r="CRJ53" s="15"/>
      <c r="CRK53" s="15"/>
      <c r="CRL53" s="15"/>
      <c r="CRM53" s="15"/>
      <c r="CRN53" s="15"/>
      <c r="CRO53" s="15"/>
      <c r="CRP53" s="15"/>
      <c r="CRQ53" s="15"/>
      <c r="CRR53" s="15"/>
      <c r="CRS53" s="15"/>
      <c r="CRT53" s="15"/>
      <c r="CRU53" s="15"/>
      <c r="CRV53" s="15"/>
      <c r="CRW53" s="15"/>
      <c r="CRX53" s="15"/>
      <c r="CRY53" s="15"/>
      <c r="CRZ53" s="15"/>
      <c r="CSA53" s="15"/>
      <c r="CSB53" s="15"/>
      <c r="CSC53" s="15"/>
      <c r="CSD53" s="15"/>
      <c r="CSE53" s="15"/>
      <c r="CSF53" s="15"/>
      <c r="CSG53" s="15"/>
      <c r="CSH53" s="15"/>
      <c r="CSI53" s="15"/>
      <c r="CSJ53" s="15"/>
      <c r="CSK53" s="15"/>
      <c r="CSL53" s="15"/>
      <c r="CSM53" s="15"/>
      <c r="CSN53" s="15"/>
      <c r="CSO53" s="15"/>
      <c r="CSP53" s="15"/>
      <c r="CSQ53" s="15"/>
      <c r="CSR53" s="15"/>
      <c r="CSS53" s="15"/>
      <c r="CST53" s="15"/>
      <c r="CSU53" s="15"/>
      <c r="CSV53" s="15"/>
      <c r="CSW53" s="15"/>
      <c r="CSX53" s="15"/>
      <c r="CSY53" s="15"/>
      <c r="CSZ53" s="15"/>
      <c r="CTA53" s="15"/>
      <c r="CTB53" s="15"/>
      <c r="CTC53" s="15"/>
      <c r="CTD53" s="15"/>
      <c r="CTE53" s="15"/>
      <c r="CTF53" s="15"/>
      <c r="CTG53" s="15"/>
      <c r="CTH53" s="15"/>
      <c r="CTI53" s="15"/>
      <c r="CTJ53" s="15"/>
      <c r="CTK53" s="15"/>
      <c r="CTL53" s="15"/>
      <c r="CTM53" s="15"/>
      <c r="CTN53" s="15"/>
      <c r="CTO53" s="15"/>
      <c r="CTP53" s="15"/>
      <c r="CTQ53" s="15"/>
      <c r="CTR53" s="15"/>
      <c r="CTS53" s="15"/>
      <c r="CTT53" s="15"/>
      <c r="CTU53" s="15"/>
      <c r="CTV53" s="15"/>
      <c r="CTW53" s="15"/>
      <c r="CTX53" s="15"/>
      <c r="CTY53" s="15"/>
      <c r="CTZ53" s="15"/>
      <c r="CUA53" s="15"/>
      <c r="CUB53" s="15"/>
      <c r="CUC53" s="15"/>
      <c r="CUD53" s="15"/>
      <c r="CUE53" s="15"/>
      <c r="CUF53" s="15"/>
      <c r="CUG53" s="15"/>
      <c r="CUH53" s="15"/>
      <c r="CUI53" s="15"/>
      <c r="CUJ53" s="15"/>
      <c r="CUK53" s="15"/>
      <c r="CUL53" s="15"/>
      <c r="CUM53" s="15"/>
      <c r="CUN53" s="15"/>
      <c r="CUO53" s="15"/>
      <c r="CUP53" s="15"/>
      <c r="CUQ53" s="15"/>
      <c r="CUR53" s="15"/>
      <c r="CUS53" s="15"/>
      <c r="CUT53" s="15"/>
      <c r="CUU53" s="15"/>
      <c r="CUV53" s="15"/>
      <c r="CUW53" s="15"/>
      <c r="CUX53" s="15"/>
      <c r="CUY53" s="15"/>
      <c r="CUZ53" s="15"/>
      <c r="CVA53" s="15"/>
      <c r="CVB53" s="15"/>
      <c r="CVC53" s="15"/>
      <c r="CVD53" s="15"/>
      <c r="CVE53" s="15"/>
      <c r="CVF53" s="15"/>
      <c r="CVG53" s="15"/>
      <c r="CVH53" s="15"/>
      <c r="CVI53" s="15"/>
      <c r="CVJ53" s="15"/>
      <c r="CVK53" s="15"/>
      <c r="CVL53" s="15"/>
      <c r="CVM53" s="15"/>
      <c r="CVN53" s="15"/>
      <c r="CVO53" s="15"/>
      <c r="CVP53" s="15"/>
      <c r="CVQ53" s="15"/>
      <c r="CVR53" s="15"/>
      <c r="CVS53" s="15"/>
      <c r="CVT53" s="15"/>
      <c r="CVU53" s="15"/>
      <c r="CVV53" s="15"/>
      <c r="CVW53" s="15"/>
      <c r="CVX53" s="15"/>
      <c r="CVY53" s="15"/>
      <c r="CVZ53" s="15"/>
      <c r="CWA53" s="15"/>
      <c r="CWB53" s="15"/>
      <c r="CWC53" s="15"/>
      <c r="CWD53" s="15"/>
      <c r="CWE53" s="15"/>
      <c r="CWF53" s="15"/>
      <c r="CWG53" s="15"/>
      <c r="CWH53" s="15"/>
      <c r="CWI53" s="15"/>
      <c r="CWJ53" s="15"/>
      <c r="CWK53" s="15"/>
      <c r="CWL53" s="15"/>
      <c r="CWM53" s="15"/>
      <c r="CWN53" s="15"/>
      <c r="CWO53" s="15"/>
      <c r="CWP53" s="15"/>
      <c r="CWQ53" s="15"/>
      <c r="CWR53" s="15"/>
      <c r="CWS53" s="15"/>
      <c r="CWT53" s="15"/>
      <c r="CWU53" s="15"/>
      <c r="CWV53" s="15"/>
      <c r="CWW53" s="15"/>
      <c r="CWX53" s="15"/>
      <c r="CWY53" s="15"/>
      <c r="CWZ53" s="15"/>
      <c r="CXA53" s="15"/>
      <c r="CXB53" s="15"/>
      <c r="CXC53" s="15"/>
      <c r="CXD53" s="15"/>
      <c r="CXE53" s="15"/>
      <c r="CXF53" s="15"/>
      <c r="CXG53" s="15"/>
      <c r="CXH53" s="15"/>
      <c r="CXI53" s="15"/>
      <c r="CXJ53" s="15"/>
      <c r="CXK53" s="15"/>
      <c r="CXL53" s="15"/>
      <c r="CXM53" s="15"/>
      <c r="CXN53" s="15"/>
      <c r="CXO53" s="15"/>
      <c r="CXP53" s="15"/>
      <c r="CXQ53" s="15"/>
      <c r="CXR53" s="15"/>
      <c r="CXS53" s="15"/>
      <c r="CXT53" s="15"/>
      <c r="CXU53" s="15"/>
      <c r="CXV53" s="15"/>
      <c r="CXW53" s="15"/>
      <c r="CXX53" s="15"/>
      <c r="CXY53" s="15"/>
      <c r="CXZ53" s="15"/>
      <c r="CYA53" s="15"/>
      <c r="CYB53" s="15"/>
      <c r="CYC53" s="15"/>
      <c r="CYD53" s="15"/>
      <c r="CYE53" s="15"/>
      <c r="CYF53" s="15"/>
      <c r="CYG53" s="15"/>
      <c r="CYH53" s="15"/>
      <c r="CYI53" s="15"/>
      <c r="CYJ53" s="15"/>
      <c r="CYK53" s="15"/>
      <c r="CYL53" s="15"/>
      <c r="CYM53" s="15"/>
      <c r="CYN53" s="15"/>
      <c r="CYO53" s="15"/>
      <c r="CYP53" s="15"/>
      <c r="CYQ53" s="15"/>
      <c r="CYR53" s="15"/>
      <c r="CYS53" s="15"/>
      <c r="CYT53" s="15"/>
      <c r="CYU53" s="15"/>
      <c r="CYV53" s="15"/>
      <c r="CYW53" s="15"/>
      <c r="CYX53" s="15"/>
      <c r="CYY53" s="15"/>
      <c r="CYZ53" s="15"/>
      <c r="CZA53" s="15"/>
      <c r="CZB53" s="15"/>
      <c r="CZC53" s="15"/>
      <c r="CZD53" s="15"/>
      <c r="CZE53" s="15"/>
      <c r="CZF53" s="15"/>
      <c r="CZG53" s="15"/>
      <c r="CZH53" s="15"/>
      <c r="CZI53" s="15"/>
      <c r="CZJ53" s="15"/>
      <c r="CZK53" s="15"/>
      <c r="CZL53" s="15"/>
      <c r="CZM53" s="15"/>
      <c r="CZN53" s="15"/>
      <c r="CZO53" s="15"/>
      <c r="CZP53" s="15"/>
      <c r="CZQ53" s="15"/>
      <c r="CZR53" s="15"/>
      <c r="CZS53" s="15"/>
      <c r="CZT53" s="15"/>
      <c r="CZU53" s="15"/>
      <c r="CZV53" s="15"/>
      <c r="CZW53" s="15"/>
      <c r="CZX53" s="15"/>
      <c r="CZY53" s="15"/>
      <c r="CZZ53" s="15"/>
      <c r="DAA53" s="15"/>
      <c r="DAB53" s="15"/>
      <c r="DAC53" s="15"/>
      <c r="DAD53" s="15"/>
      <c r="DAE53" s="15"/>
      <c r="DAF53" s="15"/>
      <c r="DAG53" s="15"/>
      <c r="DAH53" s="15"/>
      <c r="DAI53" s="15"/>
      <c r="DAJ53" s="15"/>
      <c r="DAK53" s="15"/>
      <c r="DAL53" s="15"/>
      <c r="DAM53" s="15"/>
      <c r="DAN53" s="15"/>
      <c r="DAO53" s="15"/>
      <c r="DAP53" s="15"/>
      <c r="DAQ53" s="15"/>
      <c r="DAR53" s="15"/>
      <c r="DAS53" s="15"/>
      <c r="DAT53" s="15"/>
      <c r="DAU53" s="15"/>
      <c r="DAV53" s="15"/>
      <c r="DAW53" s="15"/>
      <c r="DAX53" s="15"/>
      <c r="DAY53" s="15"/>
      <c r="DAZ53" s="15"/>
      <c r="DBA53" s="15"/>
      <c r="DBB53" s="15"/>
      <c r="DBC53" s="15"/>
      <c r="DBD53" s="15"/>
      <c r="DBE53" s="15"/>
      <c r="DBF53" s="15"/>
      <c r="DBG53" s="15"/>
      <c r="DBH53" s="15"/>
      <c r="DBI53" s="15"/>
      <c r="DBJ53" s="15"/>
      <c r="DBK53" s="15"/>
      <c r="DBL53" s="15"/>
      <c r="DBM53" s="15"/>
      <c r="DBN53" s="15"/>
      <c r="DBO53" s="15"/>
      <c r="DBP53" s="15"/>
      <c r="DBQ53" s="15"/>
      <c r="DBR53" s="15"/>
      <c r="DBS53" s="15"/>
      <c r="DBT53" s="15"/>
      <c r="DBU53" s="15"/>
      <c r="DBV53" s="15"/>
      <c r="DBW53" s="15"/>
      <c r="DBX53" s="15"/>
      <c r="DBY53" s="15"/>
      <c r="DBZ53" s="15"/>
      <c r="DCA53" s="15"/>
      <c r="DCB53" s="15"/>
      <c r="DCC53" s="15"/>
      <c r="DCD53" s="15"/>
      <c r="DCE53" s="15"/>
      <c r="DCF53" s="15"/>
      <c r="DCG53" s="15"/>
      <c r="DCH53" s="15"/>
      <c r="DCI53" s="15"/>
      <c r="DCJ53" s="15"/>
      <c r="DCK53" s="15"/>
      <c r="DCL53" s="15"/>
      <c r="DCM53" s="15"/>
      <c r="DCN53" s="15"/>
      <c r="DCO53" s="15"/>
      <c r="DCP53" s="15"/>
      <c r="DCQ53" s="15"/>
      <c r="DCR53" s="15"/>
      <c r="DCS53" s="15"/>
      <c r="DCT53" s="15"/>
      <c r="DCU53" s="15"/>
      <c r="DCV53" s="15"/>
      <c r="DCW53" s="15"/>
      <c r="DCX53" s="15"/>
      <c r="DCY53" s="15"/>
      <c r="DCZ53" s="15"/>
      <c r="DDA53" s="15"/>
      <c r="DDB53" s="15"/>
      <c r="DDC53" s="15"/>
      <c r="DDD53" s="15"/>
      <c r="DDE53" s="15"/>
      <c r="DDF53" s="15"/>
      <c r="DDG53" s="15"/>
      <c r="DDH53" s="15"/>
      <c r="DDI53" s="15"/>
      <c r="DDJ53" s="15"/>
      <c r="DDK53" s="15"/>
      <c r="DDL53" s="15"/>
      <c r="DDM53" s="15"/>
      <c r="DDN53" s="15"/>
      <c r="DDO53" s="15"/>
      <c r="DDP53" s="15"/>
      <c r="DDQ53" s="15"/>
      <c r="DDR53" s="15"/>
      <c r="DDS53" s="15"/>
      <c r="DDT53" s="15"/>
      <c r="DDU53" s="15"/>
      <c r="DDV53" s="15"/>
      <c r="DDW53" s="15"/>
      <c r="DDX53" s="15"/>
      <c r="DDY53" s="15"/>
      <c r="DDZ53" s="15"/>
      <c r="DEA53" s="15"/>
      <c r="DEB53" s="15"/>
      <c r="DEC53" s="15"/>
      <c r="DED53" s="15"/>
      <c r="DEE53" s="15"/>
      <c r="DEF53" s="15"/>
      <c r="DEG53" s="15"/>
      <c r="DEH53" s="15"/>
      <c r="DEI53" s="15"/>
      <c r="DEJ53" s="15"/>
      <c r="DEK53" s="15"/>
      <c r="DEL53" s="15"/>
      <c r="DEM53" s="15"/>
      <c r="DEN53" s="15"/>
      <c r="DEO53" s="15"/>
      <c r="DEP53" s="15"/>
      <c r="DEQ53" s="15"/>
      <c r="DER53" s="15"/>
      <c r="DES53" s="15"/>
      <c r="DET53" s="15"/>
      <c r="DEU53" s="15"/>
      <c r="DEV53" s="15"/>
      <c r="DEW53" s="15"/>
      <c r="DEX53" s="15"/>
      <c r="DEY53" s="15"/>
      <c r="DEZ53" s="15"/>
      <c r="DFA53" s="15"/>
      <c r="DFB53" s="15"/>
      <c r="DFC53" s="15"/>
      <c r="DFD53" s="15"/>
      <c r="DFE53" s="15"/>
      <c r="DFF53" s="15"/>
      <c r="DFG53" s="15"/>
      <c r="DFH53" s="15"/>
      <c r="DFI53" s="15"/>
      <c r="DFJ53" s="15"/>
      <c r="DFK53" s="15"/>
      <c r="DFL53" s="15"/>
      <c r="DFM53" s="15"/>
      <c r="DFN53" s="15"/>
      <c r="DFO53" s="15"/>
      <c r="DFP53" s="15"/>
      <c r="DFQ53" s="15"/>
      <c r="DFR53" s="15"/>
      <c r="DFS53" s="15"/>
      <c r="DFT53" s="15"/>
      <c r="DFU53" s="15"/>
      <c r="DFV53" s="15"/>
      <c r="DFW53" s="15"/>
      <c r="DFX53" s="15"/>
      <c r="DFY53" s="15"/>
      <c r="DFZ53" s="15"/>
      <c r="DGA53" s="15"/>
      <c r="DGB53" s="15"/>
      <c r="DGC53" s="15"/>
      <c r="DGD53" s="15"/>
      <c r="DGE53" s="15"/>
      <c r="DGF53" s="15"/>
      <c r="DGG53" s="15"/>
      <c r="DGH53" s="15"/>
      <c r="DGI53" s="15"/>
      <c r="DGJ53" s="15"/>
      <c r="DGK53" s="15"/>
      <c r="DGL53" s="15"/>
      <c r="DGM53" s="15"/>
      <c r="DGN53" s="15"/>
      <c r="DGO53" s="15"/>
      <c r="DGP53" s="15"/>
      <c r="DGQ53" s="15"/>
      <c r="DGR53" s="15"/>
      <c r="DGS53" s="15"/>
      <c r="DGT53" s="15"/>
      <c r="DGU53" s="15"/>
      <c r="DGV53" s="15"/>
      <c r="DGW53" s="15"/>
      <c r="DGX53" s="15"/>
      <c r="DGY53" s="15"/>
      <c r="DGZ53" s="15"/>
      <c r="DHA53" s="15"/>
      <c r="DHB53" s="15"/>
      <c r="DHC53" s="15"/>
      <c r="DHD53" s="15"/>
      <c r="DHE53" s="15"/>
      <c r="DHF53" s="15"/>
      <c r="DHG53" s="15"/>
      <c r="DHH53" s="15"/>
      <c r="DHI53" s="15"/>
      <c r="DHJ53" s="15"/>
      <c r="DHK53" s="15"/>
      <c r="DHL53" s="15"/>
      <c r="DHM53" s="15"/>
      <c r="DHN53" s="15"/>
      <c r="DHO53" s="15"/>
      <c r="DHP53" s="15"/>
      <c r="DHQ53" s="15"/>
      <c r="DHR53" s="15"/>
      <c r="DHS53" s="15"/>
      <c r="DHT53" s="15"/>
      <c r="DHU53" s="15"/>
      <c r="DHV53" s="15"/>
      <c r="DHW53" s="15"/>
      <c r="DHX53" s="15"/>
      <c r="DHY53" s="15"/>
      <c r="DHZ53" s="15"/>
      <c r="DIA53" s="15"/>
      <c r="DIB53" s="15"/>
      <c r="DIC53" s="15"/>
      <c r="DID53" s="15"/>
      <c r="DIE53" s="15"/>
      <c r="DIF53" s="15"/>
      <c r="DIG53" s="15"/>
      <c r="DIH53" s="15"/>
      <c r="DII53" s="15"/>
      <c r="DIJ53" s="15"/>
      <c r="DIK53" s="15"/>
      <c r="DIL53" s="15"/>
      <c r="DIM53" s="15"/>
      <c r="DIN53" s="15"/>
      <c r="DIO53" s="15"/>
      <c r="DIP53" s="15"/>
      <c r="DIQ53" s="15"/>
      <c r="DIR53" s="15"/>
      <c r="DIS53" s="15"/>
      <c r="DIT53" s="15"/>
      <c r="DIU53" s="15"/>
      <c r="DIV53" s="15"/>
      <c r="DIW53" s="15"/>
      <c r="DIX53" s="15"/>
      <c r="DIY53" s="15"/>
      <c r="DIZ53" s="15"/>
      <c r="DJA53" s="15"/>
      <c r="DJB53" s="15"/>
      <c r="DJC53" s="15"/>
      <c r="DJD53" s="15"/>
      <c r="DJE53" s="15"/>
      <c r="DJF53" s="15"/>
      <c r="DJG53" s="15"/>
      <c r="DJH53" s="15"/>
      <c r="DJI53" s="15"/>
      <c r="DJJ53" s="15"/>
      <c r="DJK53" s="15"/>
      <c r="DJL53" s="15"/>
      <c r="DJM53" s="15"/>
      <c r="DJN53" s="15"/>
      <c r="DJO53" s="15"/>
      <c r="DJP53" s="15"/>
      <c r="DJQ53" s="15"/>
      <c r="DJR53" s="15"/>
      <c r="DJS53" s="15"/>
      <c r="DJT53" s="15"/>
      <c r="DJU53" s="15"/>
      <c r="DJV53" s="15"/>
      <c r="DJW53" s="15"/>
      <c r="DJX53" s="15"/>
      <c r="DJY53" s="15"/>
      <c r="DJZ53" s="15"/>
      <c r="DKA53" s="15"/>
      <c r="DKB53" s="15"/>
      <c r="DKC53" s="15"/>
      <c r="DKD53" s="15"/>
      <c r="DKE53" s="15"/>
      <c r="DKF53" s="15"/>
      <c r="DKG53" s="15"/>
      <c r="DKH53" s="15"/>
      <c r="DKI53" s="15"/>
      <c r="DKJ53" s="15"/>
      <c r="DKK53" s="15"/>
      <c r="DKL53" s="15"/>
      <c r="DKM53" s="15"/>
      <c r="DKN53" s="15"/>
      <c r="DKO53" s="15"/>
      <c r="DKP53" s="15"/>
      <c r="DKQ53" s="15"/>
      <c r="DKR53" s="15"/>
      <c r="DKS53" s="15"/>
      <c r="DKT53" s="15"/>
      <c r="DKU53" s="15"/>
      <c r="DKV53" s="15"/>
      <c r="DKW53" s="15"/>
      <c r="DKX53" s="15"/>
      <c r="DKY53" s="15"/>
      <c r="DKZ53" s="15"/>
      <c r="DLA53" s="15"/>
      <c r="DLB53" s="15"/>
      <c r="DLC53" s="15"/>
      <c r="DLD53" s="15"/>
      <c r="DLE53" s="15"/>
      <c r="DLF53" s="15"/>
      <c r="DLG53" s="15"/>
      <c r="DLH53" s="15"/>
      <c r="DLI53" s="15"/>
      <c r="DLJ53" s="15"/>
      <c r="DLK53" s="15"/>
      <c r="DLL53" s="15"/>
      <c r="DLM53" s="15"/>
      <c r="DLN53" s="15"/>
      <c r="DLO53" s="15"/>
      <c r="DLP53" s="15"/>
      <c r="DLQ53" s="15"/>
      <c r="DLR53" s="15"/>
      <c r="DLS53" s="15"/>
      <c r="DLT53" s="15"/>
      <c r="DLU53" s="15"/>
      <c r="DLV53" s="15"/>
      <c r="DLW53" s="15"/>
      <c r="DLX53" s="15"/>
      <c r="DLY53" s="15"/>
      <c r="DLZ53" s="15"/>
      <c r="DMA53" s="15"/>
      <c r="DMB53" s="15"/>
      <c r="DMC53" s="15"/>
      <c r="DMD53" s="15"/>
      <c r="DME53" s="15"/>
      <c r="DMF53" s="15"/>
      <c r="DMG53" s="15"/>
      <c r="DMH53" s="15"/>
      <c r="DMI53" s="15"/>
      <c r="DMJ53" s="15"/>
      <c r="DMK53" s="15"/>
      <c r="DML53" s="15"/>
      <c r="DMM53" s="15"/>
      <c r="DMN53" s="15"/>
      <c r="DMO53" s="15"/>
      <c r="DMP53" s="15"/>
      <c r="DMQ53" s="15"/>
      <c r="DMR53" s="15"/>
      <c r="DMS53" s="15"/>
      <c r="DMT53" s="15"/>
      <c r="DMU53" s="15"/>
      <c r="DMV53" s="15"/>
      <c r="DMW53" s="15"/>
      <c r="DMX53" s="15"/>
      <c r="DMY53" s="15"/>
      <c r="DMZ53" s="15"/>
      <c r="DNA53" s="15"/>
      <c r="DNB53" s="15"/>
      <c r="DNC53" s="15"/>
      <c r="DND53" s="15"/>
      <c r="DNE53" s="15"/>
      <c r="DNF53" s="15"/>
      <c r="DNG53" s="15"/>
      <c r="DNH53" s="15"/>
      <c r="DNI53" s="15"/>
      <c r="DNJ53" s="15"/>
      <c r="DNK53" s="15"/>
      <c r="DNL53" s="15"/>
      <c r="DNM53" s="15"/>
      <c r="DNN53" s="15"/>
      <c r="DNO53" s="15"/>
      <c r="DNP53" s="15"/>
      <c r="DNQ53" s="15"/>
      <c r="DNR53" s="15"/>
      <c r="DNS53" s="15"/>
      <c r="DNT53" s="15"/>
      <c r="DNU53" s="15"/>
      <c r="DNV53" s="15"/>
      <c r="DNW53" s="15"/>
      <c r="DNX53" s="15"/>
      <c r="DNY53" s="15"/>
      <c r="DNZ53" s="15"/>
      <c r="DOA53" s="15"/>
      <c r="DOB53" s="15"/>
      <c r="DOC53" s="15"/>
      <c r="DOD53" s="15"/>
      <c r="DOE53" s="15"/>
      <c r="DOF53" s="15"/>
      <c r="DOG53" s="15"/>
      <c r="DOH53" s="15"/>
      <c r="DOI53" s="15"/>
      <c r="DOJ53" s="15"/>
      <c r="DOK53" s="15"/>
      <c r="DOL53" s="15"/>
      <c r="DOM53" s="15"/>
      <c r="DON53" s="15"/>
      <c r="DOO53" s="15"/>
      <c r="DOP53" s="15"/>
      <c r="DOQ53" s="15"/>
      <c r="DOR53" s="15"/>
      <c r="DOS53" s="15"/>
      <c r="DOT53" s="15"/>
      <c r="DOU53" s="15"/>
      <c r="DOV53" s="15"/>
      <c r="DOW53" s="15"/>
      <c r="DOX53" s="15"/>
      <c r="DOY53" s="15"/>
      <c r="DOZ53" s="15"/>
      <c r="DPA53" s="15"/>
      <c r="DPB53" s="15"/>
      <c r="DPC53" s="15"/>
      <c r="DPD53" s="15"/>
      <c r="DPE53" s="15"/>
      <c r="DPF53" s="15"/>
      <c r="DPG53" s="15"/>
      <c r="DPH53" s="15"/>
      <c r="DPI53" s="15"/>
      <c r="DPJ53" s="15"/>
      <c r="DPK53" s="15"/>
      <c r="DPL53" s="15"/>
      <c r="DPM53" s="15"/>
      <c r="DPN53" s="15"/>
      <c r="DPO53" s="15"/>
      <c r="DPP53" s="15"/>
      <c r="DPQ53" s="15"/>
      <c r="DPR53" s="15"/>
      <c r="DPS53" s="15"/>
      <c r="DPT53" s="15"/>
      <c r="DPU53" s="15"/>
      <c r="DPV53" s="15"/>
      <c r="DPW53" s="15"/>
      <c r="DPX53" s="15"/>
      <c r="DPY53" s="15"/>
      <c r="DPZ53" s="15"/>
      <c r="DQA53" s="15"/>
      <c r="DQB53" s="15"/>
      <c r="DQC53" s="15"/>
      <c r="DQD53" s="15"/>
      <c r="DQE53" s="15"/>
      <c r="DQF53" s="15"/>
      <c r="DQG53" s="15"/>
      <c r="DQH53" s="15"/>
      <c r="DQI53" s="15"/>
      <c r="DQJ53" s="15"/>
      <c r="DQK53" s="15"/>
      <c r="DQL53" s="15"/>
      <c r="DQM53" s="15"/>
      <c r="DQN53" s="15"/>
      <c r="DQO53" s="15"/>
      <c r="DQP53" s="15"/>
      <c r="DQQ53" s="15"/>
      <c r="DQR53" s="15"/>
      <c r="DQS53" s="15"/>
      <c r="DQT53" s="15"/>
      <c r="DQU53" s="15"/>
      <c r="DQV53" s="15"/>
      <c r="DQW53" s="15"/>
      <c r="DQX53" s="15"/>
      <c r="DQY53" s="15"/>
      <c r="DQZ53" s="15"/>
      <c r="DRA53" s="15"/>
      <c r="DRB53" s="15"/>
      <c r="DRC53" s="15"/>
      <c r="DRD53" s="15"/>
      <c r="DRE53" s="15"/>
      <c r="DRF53" s="15"/>
      <c r="DRG53" s="15"/>
      <c r="DRH53" s="15"/>
      <c r="DRI53" s="15"/>
      <c r="DRJ53" s="15"/>
      <c r="DRK53" s="15"/>
      <c r="DRL53" s="15"/>
      <c r="DRM53" s="15"/>
      <c r="DRN53" s="15"/>
      <c r="DRO53" s="15"/>
      <c r="DRP53" s="15"/>
      <c r="DRQ53" s="15"/>
      <c r="DRR53" s="15"/>
      <c r="DRS53" s="15"/>
      <c r="DRT53" s="15"/>
      <c r="DRU53" s="15"/>
      <c r="DRV53" s="15"/>
      <c r="DRW53" s="15"/>
      <c r="DRX53" s="15"/>
      <c r="DRY53" s="15"/>
      <c r="DRZ53" s="15"/>
      <c r="DSA53" s="15"/>
      <c r="DSB53" s="15"/>
      <c r="DSC53" s="15"/>
      <c r="DSD53" s="15"/>
      <c r="DSE53" s="15"/>
      <c r="DSF53" s="15"/>
      <c r="DSG53" s="15"/>
      <c r="DSH53" s="15"/>
      <c r="DSI53" s="15"/>
      <c r="DSJ53" s="15"/>
      <c r="DSK53" s="15"/>
      <c r="DSL53" s="15"/>
      <c r="DSM53" s="15"/>
      <c r="DSN53" s="15"/>
      <c r="DSO53" s="15"/>
      <c r="DSP53" s="15"/>
      <c r="DSQ53" s="15"/>
      <c r="DSR53" s="15"/>
      <c r="DSS53" s="15"/>
      <c r="DST53" s="15"/>
      <c r="DSU53" s="15"/>
      <c r="DSV53" s="15"/>
      <c r="DSW53" s="15"/>
      <c r="DSX53" s="15"/>
      <c r="DSY53" s="15"/>
      <c r="DSZ53" s="15"/>
      <c r="DTA53" s="15"/>
      <c r="DTB53" s="15"/>
      <c r="DTC53" s="15"/>
      <c r="DTD53" s="15"/>
      <c r="DTE53" s="15"/>
      <c r="DTF53" s="15"/>
      <c r="DTG53" s="15"/>
      <c r="DTH53" s="15"/>
      <c r="DTI53" s="15"/>
      <c r="DTJ53" s="15"/>
      <c r="DTK53" s="15"/>
      <c r="DTL53" s="15"/>
      <c r="DTM53" s="15"/>
      <c r="DTN53" s="15"/>
      <c r="DTO53" s="15"/>
      <c r="DTP53" s="15"/>
      <c r="DTQ53" s="15"/>
      <c r="DTR53" s="15"/>
      <c r="DTS53" s="15"/>
      <c r="DTT53" s="15"/>
      <c r="DTU53" s="15"/>
      <c r="DTV53" s="15"/>
      <c r="DTW53" s="15"/>
      <c r="DTX53" s="15"/>
      <c r="DTY53" s="15"/>
      <c r="DTZ53" s="15"/>
      <c r="DUA53" s="15"/>
      <c r="DUB53" s="15"/>
      <c r="DUC53" s="15"/>
      <c r="DUD53" s="15"/>
      <c r="DUE53" s="15"/>
      <c r="DUF53" s="15"/>
      <c r="DUG53" s="15"/>
      <c r="DUH53" s="15"/>
      <c r="DUI53" s="15"/>
      <c r="DUJ53" s="15"/>
      <c r="DUK53" s="15"/>
      <c r="DUL53" s="15"/>
      <c r="DUM53" s="15"/>
      <c r="DUN53" s="15"/>
      <c r="DUO53" s="15"/>
      <c r="DUP53" s="15"/>
      <c r="DUQ53" s="15"/>
      <c r="DUR53" s="15"/>
      <c r="DUS53" s="15"/>
      <c r="DUT53" s="15"/>
      <c r="DUU53" s="15"/>
      <c r="DUV53" s="15"/>
      <c r="DUW53" s="15"/>
      <c r="DUX53" s="15"/>
      <c r="DUY53" s="15"/>
      <c r="DUZ53" s="15"/>
      <c r="DVA53" s="15"/>
      <c r="DVB53" s="15"/>
      <c r="DVC53" s="15"/>
      <c r="DVD53" s="15"/>
      <c r="DVE53" s="15"/>
      <c r="DVF53" s="15"/>
      <c r="DVG53" s="15"/>
      <c r="DVH53" s="15"/>
      <c r="DVI53" s="15"/>
      <c r="DVJ53" s="15"/>
      <c r="DVK53" s="15"/>
      <c r="DVL53" s="15"/>
      <c r="DVM53" s="15"/>
      <c r="DVN53" s="15"/>
      <c r="DVO53" s="15"/>
      <c r="DVP53" s="15"/>
      <c r="DVQ53" s="15"/>
      <c r="DVR53" s="15"/>
      <c r="DVS53" s="15"/>
      <c r="DVT53" s="15"/>
      <c r="DVU53" s="15"/>
      <c r="DVV53" s="15"/>
      <c r="DVW53" s="15"/>
      <c r="DVX53" s="15"/>
      <c r="DVY53" s="15"/>
      <c r="DVZ53" s="15"/>
      <c r="DWA53" s="15"/>
      <c r="DWB53" s="15"/>
      <c r="DWC53" s="15"/>
      <c r="DWD53" s="15"/>
      <c r="DWE53" s="15"/>
      <c r="DWF53" s="15"/>
      <c r="DWG53" s="15"/>
      <c r="DWH53" s="15"/>
      <c r="DWI53" s="15"/>
      <c r="DWJ53" s="15"/>
      <c r="DWK53" s="15"/>
      <c r="DWL53" s="15"/>
      <c r="DWM53" s="15"/>
      <c r="DWN53" s="15"/>
      <c r="DWO53" s="15"/>
      <c r="DWP53" s="15"/>
      <c r="DWQ53" s="15"/>
      <c r="DWR53" s="15"/>
      <c r="DWS53" s="15"/>
      <c r="DWT53" s="15"/>
      <c r="DWU53" s="15"/>
      <c r="DWV53" s="15"/>
      <c r="DWW53" s="15"/>
      <c r="DWX53" s="15"/>
      <c r="DWY53" s="15"/>
      <c r="DWZ53" s="15"/>
      <c r="DXA53" s="15"/>
      <c r="DXB53" s="15"/>
      <c r="DXC53" s="15"/>
      <c r="DXD53" s="15"/>
      <c r="DXE53" s="15"/>
      <c r="DXF53" s="15"/>
      <c r="DXG53" s="15"/>
      <c r="DXH53" s="15"/>
      <c r="DXI53" s="15"/>
      <c r="DXJ53" s="15"/>
      <c r="DXK53" s="15"/>
      <c r="DXL53" s="15"/>
      <c r="DXM53" s="15"/>
      <c r="DXN53" s="15"/>
      <c r="DXO53" s="15"/>
      <c r="DXP53" s="15"/>
      <c r="DXQ53" s="15"/>
      <c r="DXR53" s="15"/>
      <c r="DXS53" s="15"/>
      <c r="DXT53" s="15"/>
      <c r="DXU53" s="15"/>
      <c r="DXV53" s="15"/>
      <c r="DXW53" s="15"/>
      <c r="DXX53" s="15"/>
      <c r="DXY53" s="15"/>
      <c r="DXZ53" s="15"/>
      <c r="DYA53" s="15"/>
      <c r="DYB53" s="15"/>
      <c r="DYC53" s="15"/>
      <c r="DYD53" s="15"/>
      <c r="DYE53" s="15"/>
      <c r="DYF53" s="15"/>
      <c r="DYG53" s="15"/>
      <c r="DYH53" s="15"/>
      <c r="DYI53" s="15"/>
      <c r="DYJ53" s="15"/>
      <c r="DYK53" s="15"/>
      <c r="DYL53" s="15"/>
      <c r="DYM53" s="15"/>
      <c r="DYN53" s="15"/>
      <c r="DYO53" s="15"/>
      <c r="DYP53" s="15"/>
      <c r="DYQ53" s="15"/>
      <c r="DYR53" s="15"/>
      <c r="DYS53" s="15"/>
      <c r="DYT53" s="15"/>
      <c r="DYU53" s="15"/>
      <c r="DYV53" s="15"/>
      <c r="DYW53" s="15"/>
      <c r="DYX53" s="15"/>
      <c r="DYY53" s="15"/>
      <c r="DYZ53" s="15"/>
      <c r="DZA53" s="15"/>
      <c r="DZB53" s="15"/>
      <c r="DZC53" s="15"/>
      <c r="DZD53" s="15"/>
      <c r="DZE53" s="15"/>
      <c r="DZF53" s="15"/>
      <c r="DZG53" s="15"/>
      <c r="DZH53" s="15"/>
      <c r="DZI53" s="15"/>
      <c r="DZJ53" s="15"/>
      <c r="DZK53" s="15"/>
      <c r="DZL53" s="15"/>
      <c r="DZM53" s="15"/>
      <c r="DZN53" s="15"/>
      <c r="DZO53" s="15"/>
      <c r="DZP53" s="15"/>
      <c r="DZQ53" s="15"/>
      <c r="DZR53" s="15"/>
      <c r="DZS53" s="15"/>
      <c r="DZT53" s="15"/>
      <c r="DZU53" s="15"/>
      <c r="DZV53" s="15"/>
      <c r="DZW53" s="15"/>
      <c r="DZX53" s="15"/>
      <c r="DZY53" s="15"/>
      <c r="DZZ53" s="15"/>
      <c r="EAA53" s="15"/>
      <c r="EAB53" s="15"/>
      <c r="EAC53" s="15"/>
      <c r="EAD53" s="15"/>
      <c r="EAE53" s="15"/>
      <c r="EAF53" s="15"/>
      <c r="EAG53" s="15"/>
      <c r="EAH53" s="15"/>
      <c r="EAI53" s="15"/>
      <c r="EAJ53" s="15"/>
      <c r="EAK53" s="15"/>
      <c r="EAL53" s="15"/>
      <c r="EAM53" s="15"/>
      <c r="EAN53" s="15"/>
      <c r="EAO53" s="15"/>
      <c r="EAP53" s="15"/>
      <c r="EAQ53" s="15"/>
      <c r="EAR53" s="15"/>
      <c r="EAS53" s="15"/>
      <c r="EAT53" s="15"/>
      <c r="EAU53" s="15"/>
      <c r="EAV53" s="15"/>
      <c r="EAW53" s="15"/>
      <c r="EAX53" s="15"/>
      <c r="EAY53" s="15"/>
      <c r="EAZ53" s="15"/>
      <c r="EBA53" s="15"/>
      <c r="EBB53" s="15"/>
      <c r="EBC53" s="15"/>
      <c r="EBD53" s="15"/>
      <c r="EBE53" s="15"/>
      <c r="EBF53" s="15"/>
      <c r="EBG53" s="15"/>
      <c r="EBH53" s="15"/>
      <c r="EBI53" s="15"/>
      <c r="EBJ53" s="15"/>
      <c r="EBK53" s="15"/>
      <c r="EBL53" s="15"/>
      <c r="EBM53" s="15"/>
      <c r="EBN53" s="15"/>
      <c r="EBO53" s="15"/>
      <c r="EBP53" s="15"/>
      <c r="EBQ53" s="15"/>
      <c r="EBR53" s="15"/>
      <c r="EBS53" s="15"/>
      <c r="EBT53" s="15"/>
      <c r="EBU53" s="15"/>
      <c r="EBV53" s="15"/>
      <c r="EBW53" s="15"/>
      <c r="EBX53" s="15"/>
      <c r="EBY53" s="15"/>
      <c r="EBZ53" s="15"/>
      <c r="ECA53" s="15"/>
      <c r="ECB53" s="15"/>
      <c r="ECC53" s="15"/>
      <c r="ECD53" s="15"/>
      <c r="ECE53" s="15"/>
      <c r="ECF53" s="15"/>
      <c r="ECG53" s="15"/>
      <c r="ECH53" s="15"/>
      <c r="ECI53" s="15"/>
      <c r="ECJ53" s="15"/>
      <c r="ECK53" s="15"/>
      <c r="ECL53" s="15"/>
      <c r="ECM53" s="15"/>
      <c r="ECN53" s="15"/>
      <c r="ECO53" s="15"/>
      <c r="ECP53" s="15"/>
      <c r="ECQ53" s="15"/>
      <c r="ECR53" s="15"/>
      <c r="ECS53" s="15"/>
      <c r="ECT53" s="15"/>
      <c r="ECU53" s="15"/>
      <c r="ECV53" s="15"/>
      <c r="ECW53" s="15"/>
      <c r="ECX53" s="15"/>
      <c r="ECY53" s="15"/>
      <c r="ECZ53" s="15"/>
      <c r="EDA53" s="15"/>
      <c r="EDB53" s="15"/>
      <c r="EDC53" s="15"/>
      <c r="EDD53" s="15"/>
      <c r="EDE53" s="15"/>
      <c r="EDF53" s="15"/>
      <c r="EDG53" s="15"/>
      <c r="EDH53" s="15"/>
      <c r="EDI53" s="15"/>
      <c r="EDJ53" s="15"/>
      <c r="EDK53" s="15"/>
      <c r="EDL53" s="15"/>
      <c r="EDM53" s="15"/>
      <c r="EDN53" s="15"/>
      <c r="EDO53" s="15"/>
      <c r="EDP53" s="15"/>
      <c r="EDQ53" s="15"/>
      <c r="EDR53" s="15"/>
      <c r="EDS53" s="15"/>
      <c r="EDT53" s="15"/>
      <c r="EDU53" s="15"/>
      <c r="EDV53" s="15"/>
      <c r="EDW53" s="15"/>
      <c r="EDX53" s="15"/>
      <c r="EDY53" s="15"/>
      <c r="EDZ53" s="15"/>
      <c r="EEA53" s="15"/>
      <c r="EEB53" s="15"/>
      <c r="EEC53" s="15"/>
      <c r="EED53" s="15"/>
      <c r="EEE53" s="15"/>
      <c r="EEF53" s="15"/>
      <c r="EEG53" s="15"/>
      <c r="EEH53" s="15"/>
      <c r="EEI53" s="15"/>
      <c r="EEJ53" s="15"/>
      <c r="EEK53" s="15"/>
      <c r="EEL53" s="15"/>
      <c r="EEM53" s="15"/>
      <c r="EEN53" s="15"/>
      <c r="EEO53" s="15"/>
      <c r="EEP53" s="15"/>
      <c r="EEQ53" s="15"/>
      <c r="EER53" s="15"/>
      <c r="EES53" s="15"/>
      <c r="EET53" s="15"/>
      <c r="EEU53" s="15"/>
      <c r="EEV53" s="15"/>
      <c r="EEW53" s="15"/>
      <c r="EEX53" s="15"/>
      <c r="EEY53" s="15"/>
      <c r="EEZ53" s="15"/>
      <c r="EFA53" s="15"/>
      <c r="EFB53" s="15"/>
      <c r="EFC53" s="15"/>
      <c r="EFD53" s="15"/>
      <c r="EFE53" s="15"/>
      <c r="EFF53" s="15"/>
      <c r="EFG53" s="15"/>
      <c r="EFH53" s="15"/>
      <c r="EFI53" s="15"/>
      <c r="EFJ53" s="15"/>
      <c r="EFK53" s="15"/>
      <c r="EFL53" s="15"/>
      <c r="EFM53" s="15"/>
      <c r="EFN53" s="15"/>
      <c r="EFO53" s="15"/>
      <c r="EFP53" s="15"/>
      <c r="EFQ53" s="15"/>
      <c r="EFR53" s="15"/>
      <c r="EFS53" s="15"/>
      <c r="EFT53" s="15"/>
      <c r="EFU53" s="15"/>
      <c r="EFV53" s="15"/>
      <c r="EFW53" s="15"/>
      <c r="EFX53" s="15"/>
      <c r="EFY53" s="15"/>
      <c r="EFZ53" s="15"/>
      <c r="EGA53" s="15"/>
      <c r="EGB53" s="15"/>
      <c r="EGC53" s="15"/>
      <c r="EGD53" s="15"/>
      <c r="EGE53" s="15"/>
      <c r="EGF53" s="15"/>
      <c r="EGG53" s="15"/>
      <c r="EGH53" s="15"/>
      <c r="EGI53" s="15"/>
      <c r="EGJ53" s="15"/>
      <c r="EGK53" s="15"/>
      <c r="EGL53" s="15"/>
      <c r="EGM53" s="15"/>
      <c r="EGN53" s="15"/>
      <c r="EGO53" s="15"/>
      <c r="EGP53" s="15"/>
      <c r="EGQ53" s="15"/>
      <c r="EGR53" s="15"/>
      <c r="EGS53" s="15"/>
      <c r="EGT53" s="15"/>
      <c r="EGU53" s="15"/>
      <c r="EGV53" s="15"/>
      <c r="EGW53" s="15"/>
      <c r="EGX53" s="15"/>
      <c r="EGY53" s="15"/>
      <c r="EGZ53" s="15"/>
      <c r="EHA53" s="15"/>
      <c r="EHB53" s="15"/>
      <c r="EHC53" s="15"/>
      <c r="EHD53" s="15"/>
      <c r="EHE53" s="15"/>
      <c r="EHF53" s="15"/>
      <c r="EHG53" s="15"/>
      <c r="EHH53" s="15"/>
      <c r="EHI53" s="15"/>
      <c r="EHJ53" s="15"/>
      <c r="EHK53" s="15"/>
      <c r="EHL53" s="15"/>
      <c r="EHM53" s="15"/>
      <c r="EHN53" s="15"/>
      <c r="EHO53" s="15"/>
      <c r="EHP53" s="15"/>
      <c r="EHQ53" s="15"/>
      <c r="EHR53" s="15"/>
      <c r="EHS53" s="15"/>
      <c r="EHT53" s="15"/>
      <c r="EHU53" s="15"/>
      <c r="EHV53" s="15"/>
      <c r="EHW53" s="15"/>
      <c r="EHX53" s="15"/>
      <c r="EHY53" s="15"/>
      <c r="EHZ53" s="15"/>
      <c r="EIA53" s="15"/>
      <c r="EIB53" s="15"/>
      <c r="EIC53" s="15"/>
      <c r="EID53" s="15"/>
      <c r="EIE53" s="15"/>
      <c r="EIF53" s="15"/>
      <c r="EIG53" s="15"/>
      <c r="EIH53" s="15"/>
      <c r="EII53" s="15"/>
      <c r="EIJ53" s="15"/>
      <c r="EIK53" s="15"/>
      <c r="EIL53" s="15"/>
      <c r="EIM53" s="15"/>
      <c r="EIN53" s="15"/>
      <c r="EIO53" s="15"/>
      <c r="EIP53" s="15"/>
      <c r="EIQ53" s="15"/>
      <c r="EIR53" s="15"/>
      <c r="EIS53" s="15"/>
      <c r="EIT53" s="15"/>
      <c r="EIU53" s="15"/>
      <c r="EIV53" s="15"/>
      <c r="EIW53" s="15"/>
      <c r="EIX53" s="15"/>
      <c r="EIY53" s="15"/>
      <c r="EIZ53" s="15"/>
      <c r="EJA53" s="15"/>
      <c r="EJB53" s="15"/>
      <c r="EJC53" s="15"/>
      <c r="EJD53" s="15"/>
      <c r="EJE53" s="15"/>
      <c r="EJF53" s="15"/>
      <c r="EJG53" s="15"/>
      <c r="EJH53" s="15"/>
      <c r="EJI53" s="15"/>
      <c r="EJJ53" s="15"/>
      <c r="EJK53" s="15"/>
      <c r="EJL53" s="15"/>
      <c r="EJM53" s="15"/>
      <c r="EJN53" s="15"/>
      <c r="EJO53" s="15"/>
      <c r="EJP53" s="15"/>
      <c r="EJQ53" s="15"/>
      <c r="EJR53" s="15"/>
      <c r="EJS53" s="15"/>
      <c r="EJT53" s="15"/>
      <c r="EJU53" s="15"/>
      <c r="EJV53" s="15"/>
      <c r="EJW53" s="15"/>
      <c r="EJX53" s="15"/>
      <c r="EJY53" s="15"/>
      <c r="EJZ53" s="15"/>
      <c r="EKA53" s="15"/>
      <c r="EKB53" s="15"/>
      <c r="EKC53" s="15"/>
      <c r="EKD53" s="15"/>
      <c r="EKE53" s="15"/>
      <c r="EKF53" s="15"/>
      <c r="EKG53" s="15"/>
      <c r="EKH53" s="15"/>
      <c r="EKI53" s="15"/>
      <c r="EKJ53" s="15"/>
      <c r="EKK53" s="15"/>
      <c r="EKL53" s="15"/>
      <c r="EKM53" s="15"/>
      <c r="EKN53" s="15"/>
      <c r="EKO53" s="15"/>
      <c r="EKP53" s="15"/>
      <c r="EKQ53" s="15"/>
      <c r="EKR53" s="15"/>
      <c r="EKS53" s="15"/>
      <c r="EKT53" s="15"/>
      <c r="EKU53" s="15"/>
      <c r="EKV53" s="15"/>
      <c r="EKW53" s="15"/>
      <c r="EKX53" s="15"/>
      <c r="EKY53" s="15"/>
      <c r="EKZ53" s="15"/>
      <c r="ELA53" s="15"/>
      <c r="ELB53" s="15"/>
      <c r="ELC53" s="15"/>
      <c r="ELD53" s="15"/>
      <c r="ELE53" s="15"/>
      <c r="ELF53" s="15"/>
      <c r="ELG53" s="15"/>
      <c r="ELH53" s="15"/>
      <c r="ELI53" s="15"/>
      <c r="ELJ53" s="15"/>
      <c r="ELK53" s="15"/>
      <c r="ELL53" s="15"/>
      <c r="ELM53" s="15"/>
      <c r="ELN53" s="15"/>
      <c r="ELO53" s="15"/>
      <c r="ELP53" s="15"/>
      <c r="ELQ53" s="15"/>
      <c r="ELR53" s="15"/>
      <c r="ELS53" s="15"/>
      <c r="ELT53" s="15"/>
      <c r="ELU53" s="15"/>
      <c r="ELV53" s="15"/>
      <c r="ELW53" s="15"/>
      <c r="ELX53" s="15"/>
      <c r="ELY53" s="15"/>
      <c r="ELZ53" s="15"/>
      <c r="EMA53" s="15"/>
      <c r="EMB53" s="15"/>
      <c r="EMC53" s="15"/>
      <c r="EMD53" s="15"/>
      <c r="EME53" s="15"/>
      <c r="EMF53" s="15"/>
      <c r="EMG53" s="15"/>
      <c r="EMH53" s="15"/>
      <c r="EMI53" s="15"/>
      <c r="EMJ53" s="15"/>
      <c r="EMK53" s="15"/>
      <c r="EML53" s="15"/>
      <c r="EMM53" s="15"/>
      <c r="EMN53" s="15"/>
      <c r="EMO53" s="15"/>
      <c r="EMP53" s="15"/>
      <c r="EMQ53" s="15"/>
      <c r="EMR53" s="15"/>
      <c r="EMS53" s="15"/>
      <c r="EMT53" s="15"/>
      <c r="EMU53" s="15"/>
      <c r="EMV53" s="15"/>
      <c r="EMW53" s="15"/>
      <c r="EMX53" s="15"/>
      <c r="EMY53" s="15"/>
      <c r="EMZ53" s="15"/>
      <c r="ENA53" s="15"/>
      <c r="ENB53" s="15"/>
      <c r="ENC53" s="15"/>
      <c r="END53" s="15"/>
      <c r="ENE53" s="15"/>
      <c r="ENF53" s="15"/>
      <c r="ENG53" s="15"/>
      <c r="ENH53" s="15"/>
      <c r="ENI53" s="15"/>
      <c r="ENJ53" s="15"/>
      <c r="ENK53" s="15"/>
      <c r="ENL53" s="15"/>
      <c r="ENM53" s="15"/>
      <c r="ENN53" s="15"/>
      <c r="ENO53" s="15"/>
      <c r="ENP53" s="15"/>
      <c r="ENQ53" s="15"/>
      <c r="ENR53" s="15"/>
      <c r="ENS53" s="15"/>
      <c r="ENT53" s="15"/>
      <c r="ENU53" s="15"/>
      <c r="ENV53" s="15"/>
      <c r="ENW53" s="15"/>
      <c r="ENX53" s="15"/>
      <c r="ENY53" s="15"/>
      <c r="ENZ53" s="15"/>
      <c r="EOA53" s="15"/>
      <c r="EOB53" s="15"/>
      <c r="EOC53" s="15"/>
      <c r="EOD53" s="15"/>
      <c r="EOE53" s="15"/>
      <c r="EOF53" s="15"/>
      <c r="EOG53" s="15"/>
      <c r="EOH53" s="15"/>
      <c r="EOI53" s="15"/>
      <c r="EOJ53" s="15"/>
      <c r="EOK53" s="15"/>
      <c r="EOL53" s="15"/>
      <c r="EOM53" s="15"/>
      <c r="EON53" s="15"/>
      <c r="EOO53" s="15"/>
      <c r="EOP53" s="15"/>
      <c r="EOQ53" s="15"/>
      <c r="EOR53" s="15"/>
      <c r="EOS53" s="15"/>
      <c r="EOT53" s="15"/>
      <c r="EOU53" s="15"/>
      <c r="EOV53" s="15"/>
      <c r="EOW53" s="15"/>
      <c r="EOX53" s="15"/>
      <c r="EOY53" s="15"/>
      <c r="EOZ53" s="15"/>
      <c r="EPA53" s="15"/>
      <c r="EPB53" s="15"/>
      <c r="EPC53" s="15"/>
      <c r="EPD53" s="15"/>
      <c r="EPE53" s="15"/>
      <c r="EPF53" s="15"/>
      <c r="EPG53" s="15"/>
      <c r="EPH53" s="15"/>
      <c r="EPI53" s="15"/>
      <c r="EPJ53" s="15"/>
      <c r="EPK53" s="15"/>
      <c r="EPL53" s="15"/>
      <c r="EPM53" s="15"/>
      <c r="EPN53" s="15"/>
      <c r="EPO53" s="15"/>
      <c r="EPP53" s="15"/>
      <c r="EPQ53" s="15"/>
      <c r="EPR53" s="15"/>
      <c r="EPS53" s="15"/>
      <c r="EPT53" s="15"/>
      <c r="EPU53" s="15"/>
      <c r="EPV53" s="15"/>
      <c r="EPW53" s="15"/>
      <c r="EPX53" s="15"/>
      <c r="EPY53" s="15"/>
      <c r="EPZ53" s="15"/>
      <c r="EQA53" s="15"/>
      <c r="EQB53" s="15"/>
      <c r="EQC53" s="15"/>
      <c r="EQD53" s="15"/>
      <c r="EQE53" s="15"/>
      <c r="EQF53" s="15"/>
      <c r="EQG53" s="15"/>
      <c r="EQH53" s="15"/>
      <c r="EQI53" s="15"/>
      <c r="EQJ53" s="15"/>
      <c r="EQK53" s="15"/>
      <c r="EQL53" s="15"/>
      <c r="EQM53" s="15"/>
      <c r="EQN53" s="15"/>
      <c r="EQO53" s="15"/>
      <c r="EQP53" s="15"/>
      <c r="EQQ53" s="15"/>
      <c r="EQR53" s="15"/>
      <c r="EQS53" s="15"/>
      <c r="EQT53" s="15"/>
      <c r="EQU53" s="15"/>
      <c r="EQV53" s="15"/>
      <c r="EQW53" s="15"/>
      <c r="EQX53" s="15"/>
      <c r="EQY53" s="15"/>
      <c r="EQZ53" s="15"/>
      <c r="ERA53" s="15"/>
      <c r="ERB53" s="15"/>
      <c r="ERC53" s="15"/>
      <c r="ERD53" s="15"/>
      <c r="ERE53" s="15"/>
      <c r="ERF53" s="15"/>
      <c r="ERG53" s="15"/>
      <c r="ERH53" s="15"/>
      <c r="ERI53" s="15"/>
      <c r="ERJ53" s="15"/>
      <c r="ERK53" s="15"/>
      <c r="ERL53" s="15"/>
      <c r="ERM53" s="15"/>
      <c r="ERN53" s="15"/>
      <c r="ERO53" s="15"/>
      <c r="ERP53" s="15"/>
      <c r="ERQ53" s="15"/>
      <c r="ERR53" s="15"/>
      <c r="ERS53" s="15"/>
      <c r="ERT53" s="15"/>
      <c r="ERU53" s="15"/>
      <c r="ERV53" s="15"/>
      <c r="ERW53" s="15"/>
      <c r="ERX53" s="15"/>
      <c r="ERY53" s="15"/>
      <c r="ERZ53" s="15"/>
      <c r="ESA53" s="15"/>
      <c r="ESB53" s="15"/>
      <c r="ESC53" s="15"/>
      <c r="ESD53" s="15"/>
      <c r="ESE53" s="15"/>
      <c r="ESF53" s="15"/>
      <c r="ESG53" s="15"/>
      <c r="ESH53" s="15"/>
      <c r="ESI53" s="15"/>
      <c r="ESJ53" s="15"/>
      <c r="ESK53" s="15"/>
      <c r="ESL53" s="15"/>
      <c r="ESM53" s="15"/>
      <c r="ESN53" s="15"/>
      <c r="ESO53" s="15"/>
      <c r="ESP53" s="15"/>
      <c r="ESQ53" s="15"/>
      <c r="ESR53" s="15"/>
      <c r="ESS53" s="15"/>
      <c r="EST53" s="15"/>
      <c r="ESU53" s="15"/>
      <c r="ESV53" s="15"/>
      <c r="ESW53" s="15"/>
      <c r="ESX53" s="15"/>
      <c r="ESY53" s="15"/>
      <c r="ESZ53" s="15"/>
      <c r="ETA53" s="15"/>
      <c r="ETB53" s="15"/>
      <c r="ETC53" s="15"/>
      <c r="ETD53" s="15"/>
      <c r="ETE53" s="15"/>
      <c r="ETF53" s="15"/>
      <c r="ETG53" s="15"/>
      <c r="ETH53" s="15"/>
      <c r="ETI53" s="15"/>
      <c r="ETJ53" s="15"/>
      <c r="ETK53" s="15"/>
      <c r="ETL53" s="15"/>
      <c r="ETM53" s="15"/>
      <c r="ETN53" s="15"/>
      <c r="ETO53" s="15"/>
      <c r="ETP53" s="15"/>
      <c r="ETQ53" s="15"/>
      <c r="ETR53" s="15"/>
      <c r="ETS53" s="15"/>
      <c r="ETT53" s="15"/>
      <c r="ETU53" s="15"/>
      <c r="ETV53" s="15"/>
      <c r="ETW53" s="15"/>
      <c r="ETX53" s="15"/>
      <c r="ETY53" s="15"/>
      <c r="ETZ53" s="15"/>
      <c r="EUA53" s="15"/>
      <c r="EUB53" s="15"/>
      <c r="EUC53" s="15"/>
      <c r="EUD53" s="15"/>
      <c r="EUE53" s="15"/>
      <c r="EUF53" s="15"/>
      <c r="EUG53" s="15"/>
      <c r="EUH53" s="15"/>
      <c r="EUI53" s="15"/>
      <c r="EUJ53" s="15"/>
      <c r="EUK53" s="15"/>
      <c r="EUL53" s="15"/>
      <c r="EUM53" s="15"/>
      <c r="EUN53" s="15"/>
      <c r="EUO53" s="15"/>
      <c r="EUP53" s="15"/>
      <c r="EUQ53" s="15"/>
      <c r="EUR53" s="15"/>
      <c r="EUS53" s="15"/>
      <c r="EUT53" s="15"/>
      <c r="EUU53" s="15"/>
      <c r="EUV53" s="15"/>
      <c r="EUW53" s="15"/>
      <c r="EUX53" s="15"/>
      <c r="EUY53" s="15"/>
      <c r="EUZ53" s="15"/>
      <c r="EVA53" s="15"/>
      <c r="EVB53" s="15"/>
      <c r="EVC53" s="15"/>
      <c r="EVD53" s="15"/>
      <c r="EVE53" s="15"/>
      <c r="EVF53" s="15"/>
      <c r="EVG53" s="15"/>
      <c r="EVH53" s="15"/>
      <c r="EVI53" s="15"/>
      <c r="EVJ53" s="15"/>
      <c r="EVK53" s="15"/>
      <c r="EVL53" s="15"/>
      <c r="EVM53" s="15"/>
      <c r="EVN53" s="15"/>
      <c r="EVO53" s="15"/>
      <c r="EVP53" s="15"/>
      <c r="EVQ53" s="15"/>
      <c r="EVR53" s="15"/>
      <c r="EVS53" s="15"/>
      <c r="EVT53" s="15"/>
      <c r="EVU53" s="15"/>
      <c r="EVV53" s="15"/>
      <c r="EVW53" s="15"/>
      <c r="EVX53" s="15"/>
      <c r="EVY53" s="15"/>
      <c r="EVZ53" s="15"/>
      <c r="EWA53" s="15"/>
      <c r="EWB53" s="15"/>
      <c r="EWC53" s="15"/>
      <c r="EWD53" s="15"/>
      <c r="EWE53" s="15"/>
      <c r="EWF53" s="15"/>
      <c r="EWG53" s="15"/>
      <c r="EWH53" s="15"/>
      <c r="EWI53" s="15"/>
      <c r="EWJ53" s="15"/>
      <c r="EWK53" s="15"/>
      <c r="EWL53" s="15"/>
      <c r="EWM53" s="15"/>
      <c r="EWN53" s="15"/>
      <c r="EWO53" s="15"/>
      <c r="EWP53" s="15"/>
      <c r="EWQ53" s="15"/>
      <c r="EWR53" s="15"/>
      <c r="EWS53" s="15"/>
      <c r="EWT53" s="15"/>
      <c r="EWU53" s="15"/>
      <c r="EWV53" s="15"/>
      <c r="EWW53" s="15"/>
      <c r="EWX53" s="15"/>
      <c r="EWY53" s="15"/>
      <c r="EWZ53" s="15"/>
      <c r="EXA53" s="15"/>
      <c r="EXB53" s="15"/>
      <c r="EXC53" s="15"/>
      <c r="EXD53" s="15"/>
      <c r="EXE53" s="15"/>
      <c r="EXF53" s="15"/>
      <c r="EXG53" s="15"/>
      <c r="EXH53" s="15"/>
      <c r="EXI53" s="15"/>
      <c r="EXJ53" s="15"/>
      <c r="EXK53" s="15"/>
      <c r="EXL53" s="15"/>
      <c r="EXM53" s="15"/>
      <c r="EXN53" s="15"/>
      <c r="EXO53" s="15"/>
      <c r="EXP53" s="15"/>
      <c r="EXQ53" s="15"/>
      <c r="EXR53" s="15"/>
      <c r="EXS53" s="15"/>
      <c r="EXT53" s="15"/>
      <c r="EXU53" s="15"/>
      <c r="EXV53" s="15"/>
      <c r="EXW53" s="15"/>
      <c r="EXX53" s="15"/>
      <c r="EXY53" s="15"/>
      <c r="EXZ53" s="15"/>
      <c r="EYA53" s="15"/>
      <c r="EYB53" s="15"/>
      <c r="EYC53" s="15"/>
      <c r="EYD53" s="15"/>
      <c r="EYE53" s="15"/>
      <c r="EYF53" s="15"/>
      <c r="EYG53" s="15"/>
      <c r="EYH53" s="15"/>
      <c r="EYI53" s="15"/>
      <c r="EYJ53" s="15"/>
      <c r="EYK53" s="15"/>
      <c r="EYL53" s="15"/>
      <c r="EYM53" s="15"/>
      <c r="EYN53" s="15"/>
      <c r="EYO53" s="15"/>
      <c r="EYP53" s="15"/>
      <c r="EYQ53" s="15"/>
      <c r="EYR53" s="15"/>
      <c r="EYS53" s="15"/>
      <c r="EYT53" s="15"/>
      <c r="EYU53" s="15"/>
      <c r="EYV53" s="15"/>
      <c r="EYW53" s="15"/>
      <c r="EYX53" s="15"/>
      <c r="EYY53" s="15"/>
      <c r="EYZ53" s="15"/>
      <c r="EZA53" s="15"/>
      <c r="EZB53" s="15"/>
      <c r="EZC53" s="15"/>
      <c r="EZD53" s="15"/>
      <c r="EZE53" s="15"/>
      <c r="EZF53" s="15"/>
      <c r="EZG53" s="15"/>
      <c r="EZH53" s="15"/>
      <c r="EZI53" s="15"/>
      <c r="EZJ53" s="15"/>
      <c r="EZK53" s="15"/>
      <c r="EZL53" s="15"/>
      <c r="EZM53" s="15"/>
      <c r="EZN53" s="15"/>
      <c r="EZO53" s="15"/>
      <c r="EZP53" s="15"/>
      <c r="EZQ53" s="15"/>
      <c r="EZR53" s="15"/>
      <c r="EZS53" s="15"/>
      <c r="EZT53" s="15"/>
      <c r="EZU53" s="15"/>
      <c r="EZV53" s="15"/>
      <c r="EZW53" s="15"/>
      <c r="EZX53" s="15"/>
      <c r="EZY53" s="15"/>
      <c r="EZZ53" s="15"/>
      <c r="FAA53" s="15"/>
      <c r="FAB53" s="15"/>
      <c r="FAC53" s="15"/>
      <c r="FAD53" s="15"/>
      <c r="FAE53" s="15"/>
      <c r="FAF53" s="15"/>
      <c r="FAG53" s="15"/>
      <c r="FAH53" s="15"/>
      <c r="FAI53" s="15"/>
      <c r="FAJ53" s="15"/>
      <c r="FAK53" s="15"/>
      <c r="FAL53" s="15"/>
      <c r="FAM53" s="15"/>
      <c r="FAN53" s="15"/>
      <c r="FAO53" s="15"/>
      <c r="FAP53" s="15"/>
      <c r="FAQ53" s="15"/>
      <c r="FAR53" s="15"/>
      <c r="FAS53" s="15"/>
      <c r="FAT53" s="15"/>
      <c r="FAU53" s="15"/>
      <c r="FAV53" s="15"/>
      <c r="FAW53" s="15"/>
      <c r="FAX53" s="15"/>
      <c r="FAY53" s="15"/>
      <c r="FAZ53" s="15"/>
      <c r="FBA53" s="15"/>
      <c r="FBB53" s="15"/>
      <c r="FBC53" s="15"/>
      <c r="FBD53" s="15"/>
      <c r="FBE53" s="15"/>
      <c r="FBF53" s="15"/>
      <c r="FBG53" s="15"/>
      <c r="FBH53" s="15"/>
      <c r="FBI53" s="15"/>
      <c r="FBJ53" s="15"/>
      <c r="FBK53" s="15"/>
      <c r="FBL53" s="15"/>
      <c r="FBM53" s="15"/>
      <c r="FBN53" s="15"/>
      <c r="FBO53" s="15"/>
      <c r="FBP53" s="15"/>
      <c r="FBQ53" s="15"/>
      <c r="FBR53" s="15"/>
      <c r="FBS53" s="15"/>
      <c r="FBT53" s="15"/>
      <c r="FBU53" s="15"/>
      <c r="FBV53" s="15"/>
      <c r="FBW53" s="15"/>
      <c r="FBX53" s="15"/>
      <c r="FBY53" s="15"/>
      <c r="FBZ53" s="15"/>
      <c r="FCA53" s="15"/>
      <c r="FCB53" s="15"/>
      <c r="FCC53" s="15"/>
      <c r="FCD53" s="15"/>
      <c r="FCE53" s="15"/>
      <c r="FCF53" s="15"/>
      <c r="FCG53" s="15"/>
      <c r="FCH53" s="15"/>
      <c r="FCI53" s="15"/>
      <c r="FCJ53" s="15"/>
      <c r="FCK53" s="15"/>
      <c r="FCL53" s="15"/>
      <c r="FCM53" s="15"/>
      <c r="FCN53" s="15"/>
      <c r="FCO53" s="15"/>
      <c r="FCP53" s="15"/>
      <c r="FCQ53" s="15"/>
      <c r="FCR53" s="15"/>
      <c r="FCS53" s="15"/>
      <c r="FCT53" s="15"/>
      <c r="FCU53" s="15"/>
      <c r="FCV53" s="15"/>
      <c r="FCW53" s="15"/>
      <c r="FCX53" s="15"/>
      <c r="FCY53" s="15"/>
      <c r="FCZ53" s="15"/>
      <c r="FDA53" s="15"/>
      <c r="FDB53" s="15"/>
      <c r="FDC53" s="15"/>
      <c r="FDD53" s="15"/>
      <c r="FDE53" s="15"/>
      <c r="FDF53" s="15"/>
      <c r="FDG53" s="15"/>
      <c r="FDH53" s="15"/>
      <c r="FDI53" s="15"/>
      <c r="FDJ53" s="15"/>
      <c r="FDK53" s="15"/>
      <c r="FDL53" s="15"/>
      <c r="FDM53" s="15"/>
      <c r="FDN53" s="15"/>
      <c r="FDO53" s="15"/>
      <c r="FDP53" s="15"/>
      <c r="FDQ53" s="15"/>
      <c r="FDR53" s="15"/>
      <c r="FDS53" s="15"/>
      <c r="FDT53" s="15"/>
      <c r="FDU53" s="15"/>
      <c r="FDV53" s="15"/>
      <c r="FDW53" s="15"/>
      <c r="FDX53" s="15"/>
      <c r="FDY53" s="15"/>
      <c r="FDZ53" s="15"/>
      <c r="FEA53" s="15"/>
      <c r="FEB53" s="15"/>
      <c r="FEC53" s="15"/>
      <c r="FED53" s="15"/>
      <c r="FEE53" s="15"/>
      <c r="FEF53" s="15"/>
      <c r="FEG53" s="15"/>
      <c r="FEH53" s="15"/>
      <c r="FEI53" s="15"/>
      <c r="FEJ53" s="15"/>
      <c r="FEK53" s="15"/>
      <c r="FEL53" s="15"/>
      <c r="FEM53" s="15"/>
      <c r="FEN53" s="15"/>
      <c r="FEO53" s="15"/>
      <c r="FEP53" s="15"/>
      <c r="FEQ53" s="15"/>
      <c r="FER53" s="15"/>
      <c r="FES53" s="15"/>
      <c r="FET53" s="15"/>
      <c r="FEU53" s="15"/>
      <c r="FEV53" s="15"/>
      <c r="FEW53" s="15"/>
      <c r="FEX53" s="15"/>
      <c r="FEY53" s="15"/>
      <c r="FEZ53" s="15"/>
      <c r="FFA53" s="15"/>
      <c r="FFB53" s="15"/>
      <c r="FFC53" s="15"/>
      <c r="FFD53" s="15"/>
      <c r="FFE53" s="15"/>
      <c r="FFF53" s="15"/>
      <c r="FFG53" s="15"/>
      <c r="FFH53" s="15"/>
      <c r="FFI53" s="15"/>
      <c r="FFJ53" s="15"/>
      <c r="FFK53" s="15"/>
      <c r="FFL53" s="15"/>
      <c r="FFM53" s="15"/>
      <c r="FFN53" s="15"/>
      <c r="FFO53" s="15"/>
      <c r="FFP53" s="15"/>
      <c r="FFQ53" s="15"/>
      <c r="FFR53" s="15"/>
      <c r="FFS53" s="15"/>
      <c r="FFT53" s="15"/>
      <c r="FFU53" s="15"/>
      <c r="FFV53" s="15"/>
      <c r="FFW53" s="15"/>
      <c r="FFX53" s="15"/>
      <c r="FFY53" s="15"/>
      <c r="FFZ53" s="15"/>
      <c r="FGA53" s="15"/>
      <c r="FGB53" s="15"/>
      <c r="FGC53" s="15"/>
      <c r="FGD53" s="15"/>
      <c r="FGE53" s="15"/>
      <c r="FGF53" s="15"/>
      <c r="FGG53" s="15"/>
      <c r="FGH53" s="15"/>
      <c r="FGI53" s="15"/>
      <c r="FGJ53" s="15"/>
      <c r="FGK53" s="15"/>
      <c r="FGL53" s="15"/>
      <c r="FGM53" s="15"/>
      <c r="FGN53" s="15"/>
      <c r="FGO53" s="15"/>
      <c r="FGP53" s="15"/>
      <c r="FGQ53" s="15"/>
      <c r="FGR53" s="15"/>
      <c r="FGS53" s="15"/>
      <c r="FGT53" s="15"/>
      <c r="FGU53" s="15"/>
      <c r="FGV53" s="15"/>
      <c r="FGW53" s="15"/>
      <c r="FGX53" s="15"/>
      <c r="FGY53" s="15"/>
      <c r="FGZ53" s="15"/>
      <c r="FHA53" s="15"/>
      <c r="FHB53" s="15"/>
      <c r="FHC53" s="15"/>
      <c r="FHD53" s="15"/>
      <c r="FHE53" s="15"/>
      <c r="FHF53" s="15"/>
      <c r="FHG53" s="15"/>
      <c r="FHH53" s="15"/>
      <c r="FHI53" s="15"/>
      <c r="FHJ53" s="15"/>
      <c r="FHK53" s="15"/>
      <c r="FHL53" s="15"/>
      <c r="FHM53" s="15"/>
      <c r="FHN53" s="15"/>
      <c r="FHO53" s="15"/>
      <c r="FHP53" s="15"/>
      <c r="FHQ53" s="15"/>
      <c r="FHR53" s="15"/>
      <c r="FHS53" s="15"/>
      <c r="FHT53" s="15"/>
      <c r="FHU53" s="15"/>
      <c r="FHV53" s="15"/>
      <c r="FHW53" s="15"/>
      <c r="FHX53" s="15"/>
      <c r="FHY53" s="15"/>
      <c r="FHZ53" s="15"/>
      <c r="FIA53" s="15"/>
      <c r="FIB53" s="15"/>
      <c r="FIC53" s="15"/>
      <c r="FID53" s="15"/>
      <c r="FIE53" s="15"/>
      <c r="FIF53" s="15"/>
      <c r="FIG53" s="15"/>
      <c r="FIH53" s="15"/>
      <c r="FII53" s="15"/>
      <c r="FIJ53" s="15"/>
      <c r="FIK53" s="15"/>
      <c r="FIL53" s="15"/>
      <c r="FIM53" s="15"/>
      <c r="FIN53" s="15"/>
      <c r="FIO53" s="15"/>
      <c r="FIP53" s="15"/>
      <c r="FIQ53" s="15"/>
      <c r="FIR53" s="15"/>
      <c r="FIS53" s="15"/>
      <c r="FIT53" s="15"/>
      <c r="FIU53" s="15"/>
      <c r="FIV53" s="15"/>
      <c r="FIW53" s="15"/>
      <c r="FIX53" s="15"/>
      <c r="FIY53" s="15"/>
      <c r="FIZ53" s="15"/>
      <c r="FJA53" s="15"/>
      <c r="FJB53" s="15"/>
      <c r="FJC53" s="15"/>
      <c r="FJD53" s="15"/>
      <c r="FJE53" s="15"/>
      <c r="FJF53" s="15"/>
      <c r="FJG53" s="15"/>
      <c r="FJH53" s="15"/>
      <c r="FJI53" s="15"/>
      <c r="FJJ53" s="15"/>
      <c r="FJK53" s="15"/>
      <c r="FJL53" s="15"/>
      <c r="FJM53" s="15"/>
      <c r="FJN53" s="15"/>
      <c r="FJO53" s="15"/>
      <c r="FJP53" s="15"/>
      <c r="FJQ53" s="15"/>
      <c r="FJR53" s="15"/>
      <c r="FJS53" s="15"/>
      <c r="FJT53" s="15"/>
      <c r="FJU53" s="15"/>
      <c r="FJV53" s="15"/>
      <c r="FJW53" s="15"/>
      <c r="FJX53" s="15"/>
      <c r="FJY53" s="15"/>
      <c r="FJZ53" s="15"/>
      <c r="FKA53" s="15"/>
      <c r="FKB53" s="15"/>
      <c r="FKC53" s="15"/>
      <c r="FKD53" s="15"/>
      <c r="FKE53" s="15"/>
      <c r="FKF53" s="15"/>
      <c r="FKG53" s="15"/>
      <c r="FKH53" s="15"/>
      <c r="FKI53" s="15"/>
      <c r="FKJ53" s="15"/>
      <c r="FKK53" s="15"/>
      <c r="FKL53" s="15"/>
      <c r="FKM53" s="15"/>
      <c r="FKN53" s="15"/>
      <c r="FKO53" s="15"/>
      <c r="FKP53" s="15"/>
      <c r="FKQ53" s="15"/>
      <c r="FKR53" s="15"/>
      <c r="FKS53" s="15"/>
      <c r="FKT53" s="15"/>
      <c r="FKU53" s="15"/>
      <c r="FKV53" s="15"/>
      <c r="FKW53" s="15"/>
      <c r="FKX53" s="15"/>
      <c r="FKY53" s="15"/>
      <c r="FKZ53" s="15"/>
      <c r="FLA53" s="15"/>
      <c r="FLB53" s="15"/>
      <c r="FLC53" s="15"/>
      <c r="FLD53" s="15"/>
      <c r="FLE53" s="15"/>
      <c r="FLF53" s="15"/>
      <c r="FLG53" s="15"/>
      <c r="FLH53" s="15"/>
      <c r="FLI53" s="15"/>
      <c r="FLJ53" s="15"/>
      <c r="FLK53" s="15"/>
      <c r="FLL53" s="15"/>
      <c r="FLM53" s="15"/>
      <c r="FLN53" s="15"/>
      <c r="FLO53" s="15"/>
      <c r="FLP53" s="15"/>
      <c r="FLQ53" s="15"/>
      <c r="FLR53" s="15"/>
      <c r="FLS53" s="15"/>
      <c r="FLT53" s="15"/>
      <c r="FLU53" s="15"/>
      <c r="FLV53" s="15"/>
      <c r="FLW53" s="15"/>
      <c r="FLX53" s="15"/>
      <c r="FLY53" s="15"/>
      <c r="FLZ53" s="15"/>
      <c r="FMA53" s="15"/>
      <c r="FMB53" s="15"/>
      <c r="FMC53" s="15"/>
      <c r="FMD53" s="15"/>
      <c r="FME53" s="15"/>
      <c r="FMF53" s="15"/>
      <c r="FMG53" s="15"/>
      <c r="FMH53" s="15"/>
      <c r="FMI53" s="15"/>
      <c r="FMJ53" s="15"/>
      <c r="FMK53" s="15"/>
      <c r="FML53" s="15"/>
      <c r="FMM53" s="15"/>
      <c r="FMN53" s="15"/>
      <c r="FMO53" s="15"/>
      <c r="FMP53" s="15"/>
      <c r="FMQ53" s="15"/>
      <c r="FMR53" s="15"/>
      <c r="FMS53" s="15"/>
      <c r="FMT53" s="15"/>
      <c r="FMU53" s="15"/>
      <c r="FMV53" s="15"/>
      <c r="FMW53" s="15"/>
      <c r="FMX53" s="15"/>
      <c r="FMY53" s="15"/>
      <c r="FMZ53" s="15"/>
      <c r="FNA53" s="15"/>
      <c r="FNB53" s="15"/>
      <c r="FNC53" s="15"/>
      <c r="FND53" s="15"/>
      <c r="FNE53" s="15"/>
      <c r="FNF53" s="15"/>
      <c r="FNG53" s="15"/>
      <c r="FNH53" s="15"/>
      <c r="FNI53" s="15"/>
      <c r="FNJ53" s="15"/>
      <c r="FNK53" s="15"/>
      <c r="FNL53" s="15"/>
      <c r="FNM53" s="15"/>
      <c r="FNN53" s="15"/>
      <c r="FNO53" s="15"/>
      <c r="FNP53" s="15"/>
      <c r="FNQ53" s="15"/>
      <c r="FNR53" s="15"/>
      <c r="FNS53" s="15"/>
      <c r="FNT53" s="15"/>
      <c r="FNU53" s="15"/>
      <c r="FNV53" s="15"/>
      <c r="FNW53" s="15"/>
      <c r="FNX53" s="15"/>
      <c r="FNY53" s="15"/>
      <c r="FNZ53" s="15"/>
      <c r="FOA53" s="15"/>
      <c r="FOB53" s="15"/>
      <c r="FOC53" s="15"/>
      <c r="FOD53" s="15"/>
      <c r="FOE53" s="15"/>
      <c r="FOF53" s="15"/>
      <c r="FOG53" s="15"/>
      <c r="FOH53" s="15"/>
      <c r="FOI53" s="15"/>
      <c r="FOJ53" s="15"/>
      <c r="FOK53" s="15"/>
      <c r="FOL53" s="15"/>
      <c r="FOM53" s="15"/>
      <c r="FON53" s="15"/>
      <c r="FOO53" s="15"/>
      <c r="FOP53" s="15"/>
      <c r="FOQ53" s="15"/>
      <c r="FOR53" s="15"/>
      <c r="FOS53" s="15"/>
      <c r="FOT53" s="15"/>
      <c r="FOU53" s="15"/>
      <c r="FOV53" s="15"/>
      <c r="FOW53" s="15"/>
      <c r="FOX53" s="15"/>
      <c r="FOY53" s="15"/>
      <c r="FOZ53" s="15"/>
      <c r="FPA53" s="15"/>
      <c r="FPB53" s="15"/>
      <c r="FPC53" s="15"/>
      <c r="FPD53" s="15"/>
      <c r="FPE53" s="15"/>
      <c r="FPF53" s="15"/>
      <c r="FPG53" s="15"/>
      <c r="FPH53" s="15"/>
      <c r="FPI53" s="15"/>
      <c r="FPJ53" s="15"/>
      <c r="FPK53" s="15"/>
      <c r="FPL53" s="15"/>
      <c r="FPM53" s="15"/>
      <c r="FPN53" s="15"/>
      <c r="FPO53" s="15"/>
      <c r="FPP53" s="15"/>
      <c r="FPQ53" s="15"/>
      <c r="FPR53" s="15"/>
      <c r="FPS53" s="15"/>
      <c r="FPT53" s="15"/>
      <c r="FPU53" s="15"/>
      <c r="FPV53" s="15"/>
      <c r="FPW53" s="15"/>
      <c r="FPX53" s="15"/>
      <c r="FPY53" s="15"/>
      <c r="FPZ53" s="15"/>
      <c r="FQA53" s="15"/>
      <c r="FQB53" s="15"/>
      <c r="FQC53" s="15"/>
      <c r="FQD53" s="15"/>
      <c r="FQE53" s="15"/>
      <c r="FQF53" s="15"/>
      <c r="FQG53" s="15"/>
      <c r="FQH53" s="15"/>
      <c r="FQI53" s="15"/>
      <c r="FQJ53" s="15"/>
      <c r="FQK53" s="15"/>
      <c r="FQL53" s="15"/>
      <c r="FQM53" s="15"/>
      <c r="FQN53" s="15"/>
      <c r="FQO53" s="15"/>
      <c r="FQP53" s="15"/>
      <c r="FQQ53" s="15"/>
      <c r="FQR53" s="15"/>
      <c r="FQS53" s="15"/>
      <c r="FQT53" s="15"/>
      <c r="FQU53" s="15"/>
      <c r="FQV53" s="15"/>
      <c r="FQW53" s="15"/>
      <c r="FQX53" s="15"/>
      <c r="FQY53" s="15"/>
      <c r="FQZ53" s="15"/>
      <c r="FRA53" s="15"/>
      <c r="FRB53" s="15"/>
      <c r="FRC53" s="15"/>
      <c r="FRD53" s="15"/>
      <c r="FRE53" s="15"/>
      <c r="FRF53" s="15"/>
      <c r="FRG53" s="15"/>
      <c r="FRH53" s="15"/>
      <c r="FRI53" s="15"/>
      <c r="FRJ53" s="15"/>
      <c r="FRK53" s="15"/>
      <c r="FRL53" s="15"/>
      <c r="FRM53" s="15"/>
      <c r="FRN53" s="15"/>
      <c r="FRO53" s="15"/>
      <c r="FRP53" s="15"/>
      <c r="FRQ53" s="15"/>
      <c r="FRR53" s="15"/>
      <c r="FRS53" s="15"/>
      <c r="FRT53" s="15"/>
      <c r="FRU53" s="15"/>
      <c r="FRV53" s="15"/>
      <c r="FRW53" s="15"/>
      <c r="FRX53" s="15"/>
      <c r="FRY53" s="15"/>
      <c r="FRZ53" s="15"/>
      <c r="FSA53" s="15"/>
      <c r="FSB53" s="15"/>
      <c r="FSC53" s="15"/>
      <c r="FSD53" s="15"/>
      <c r="FSE53" s="15"/>
      <c r="FSF53" s="15"/>
      <c r="FSG53" s="15"/>
      <c r="FSH53" s="15"/>
      <c r="FSI53" s="15"/>
      <c r="FSJ53" s="15"/>
      <c r="FSK53" s="15"/>
      <c r="FSL53" s="15"/>
      <c r="FSM53" s="15"/>
      <c r="FSN53" s="15"/>
      <c r="FSO53" s="15"/>
      <c r="FSP53" s="15"/>
      <c r="FSQ53" s="15"/>
      <c r="FSR53" s="15"/>
      <c r="FSS53" s="15"/>
      <c r="FST53" s="15"/>
      <c r="FSU53" s="15"/>
      <c r="FSV53" s="15"/>
      <c r="FSW53" s="15"/>
      <c r="FSX53" s="15"/>
      <c r="FSY53" s="15"/>
      <c r="FSZ53" s="15"/>
      <c r="FTA53" s="15"/>
      <c r="FTB53" s="15"/>
      <c r="FTC53" s="15"/>
      <c r="FTD53" s="15"/>
      <c r="FTE53" s="15"/>
      <c r="FTF53" s="15"/>
      <c r="FTG53" s="15"/>
      <c r="FTH53" s="15"/>
      <c r="FTI53" s="15"/>
      <c r="FTJ53" s="15"/>
      <c r="FTK53" s="15"/>
      <c r="FTL53" s="15"/>
      <c r="FTM53" s="15"/>
      <c r="FTN53" s="15"/>
      <c r="FTO53" s="15"/>
      <c r="FTP53" s="15"/>
      <c r="FTQ53" s="15"/>
      <c r="FTR53" s="15"/>
      <c r="FTS53" s="15"/>
      <c r="FTT53" s="15"/>
      <c r="FTU53" s="15"/>
      <c r="FTV53" s="15"/>
      <c r="FTW53" s="15"/>
      <c r="FTX53" s="15"/>
      <c r="FTY53" s="15"/>
      <c r="FTZ53" s="15"/>
      <c r="FUA53" s="15"/>
      <c r="FUB53" s="15"/>
      <c r="FUC53" s="15"/>
      <c r="FUD53" s="15"/>
      <c r="FUE53" s="15"/>
      <c r="FUF53" s="15"/>
      <c r="FUG53" s="15"/>
      <c r="FUH53" s="15"/>
      <c r="FUI53" s="15"/>
      <c r="FUJ53" s="15"/>
      <c r="FUK53" s="15"/>
      <c r="FUL53" s="15"/>
      <c r="FUM53" s="15"/>
      <c r="FUN53" s="15"/>
      <c r="FUO53" s="15"/>
      <c r="FUP53" s="15"/>
      <c r="FUQ53" s="15"/>
      <c r="FUR53" s="15"/>
      <c r="FUS53" s="15"/>
      <c r="FUT53" s="15"/>
      <c r="FUU53" s="15"/>
      <c r="FUV53" s="15"/>
      <c r="FUW53" s="15"/>
      <c r="FUX53" s="15"/>
      <c r="FUY53" s="15"/>
      <c r="FUZ53" s="15"/>
      <c r="FVA53" s="15"/>
      <c r="FVB53" s="15"/>
      <c r="FVC53" s="15"/>
      <c r="FVD53" s="15"/>
      <c r="FVE53" s="15"/>
      <c r="FVF53" s="15"/>
      <c r="FVG53" s="15"/>
      <c r="FVH53" s="15"/>
      <c r="FVI53" s="15"/>
      <c r="FVJ53" s="15"/>
      <c r="FVK53" s="15"/>
      <c r="FVL53" s="15"/>
      <c r="FVM53" s="15"/>
      <c r="FVN53" s="15"/>
      <c r="FVO53" s="15"/>
      <c r="FVP53" s="15"/>
      <c r="FVQ53" s="15"/>
      <c r="FVR53" s="15"/>
      <c r="FVS53" s="15"/>
      <c r="FVT53" s="15"/>
      <c r="FVU53" s="15"/>
      <c r="FVV53" s="15"/>
      <c r="FVW53" s="15"/>
      <c r="FVX53" s="15"/>
      <c r="FVY53" s="15"/>
      <c r="FVZ53" s="15"/>
      <c r="FWA53" s="15"/>
      <c r="FWB53" s="15"/>
      <c r="FWC53" s="15"/>
      <c r="FWD53" s="15"/>
      <c r="FWE53" s="15"/>
      <c r="FWF53" s="15"/>
      <c r="FWG53" s="15"/>
      <c r="FWH53" s="15"/>
      <c r="FWI53" s="15"/>
      <c r="FWJ53" s="15"/>
      <c r="FWK53" s="15"/>
      <c r="FWL53" s="15"/>
      <c r="FWM53" s="15"/>
      <c r="FWN53" s="15"/>
      <c r="FWO53" s="15"/>
      <c r="FWP53" s="15"/>
      <c r="FWQ53" s="15"/>
      <c r="FWR53" s="15"/>
      <c r="FWS53" s="15"/>
      <c r="FWT53" s="15"/>
      <c r="FWU53" s="15"/>
      <c r="FWV53" s="15"/>
      <c r="FWW53" s="15"/>
      <c r="FWX53" s="15"/>
      <c r="FWY53" s="15"/>
      <c r="FWZ53" s="15"/>
      <c r="FXA53" s="15"/>
      <c r="FXB53" s="15"/>
      <c r="FXC53" s="15"/>
      <c r="FXD53" s="15"/>
      <c r="FXE53" s="15"/>
      <c r="FXF53" s="15"/>
      <c r="FXG53" s="15"/>
      <c r="FXH53" s="15"/>
      <c r="FXI53" s="15"/>
      <c r="FXJ53" s="15"/>
      <c r="FXK53" s="15"/>
      <c r="FXL53" s="15"/>
      <c r="FXM53" s="15"/>
      <c r="FXN53" s="15"/>
      <c r="FXO53" s="15"/>
      <c r="FXP53" s="15"/>
      <c r="FXQ53" s="15"/>
      <c r="FXR53" s="15"/>
      <c r="FXS53" s="15"/>
      <c r="FXT53" s="15"/>
      <c r="FXU53" s="15"/>
      <c r="FXV53" s="15"/>
      <c r="FXW53" s="15"/>
      <c r="FXX53" s="15"/>
      <c r="FXY53" s="15"/>
      <c r="FXZ53" s="15"/>
      <c r="FYA53" s="15"/>
      <c r="FYB53" s="15"/>
      <c r="FYC53" s="15"/>
      <c r="FYD53" s="15"/>
      <c r="FYE53" s="15"/>
      <c r="FYF53" s="15"/>
      <c r="FYG53" s="15"/>
      <c r="FYH53" s="15"/>
      <c r="FYI53" s="15"/>
      <c r="FYJ53" s="15"/>
      <c r="FYK53" s="15"/>
      <c r="FYL53" s="15"/>
      <c r="FYM53" s="15"/>
      <c r="FYN53" s="15"/>
      <c r="FYO53" s="15"/>
      <c r="FYP53" s="15"/>
      <c r="FYQ53" s="15"/>
      <c r="FYR53" s="15"/>
      <c r="FYS53" s="15"/>
      <c r="FYT53" s="15"/>
      <c r="FYU53" s="15"/>
      <c r="FYV53" s="15"/>
      <c r="FYW53" s="15"/>
      <c r="FYX53" s="15"/>
      <c r="FYY53" s="15"/>
      <c r="FYZ53" s="15"/>
      <c r="FZA53" s="15"/>
      <c r="FZB53" s="15"/>
      <c r="FZC53" s="15"/>
      <c r="FZD53" s="15"/>
      <c r="FZE53" s="15"/>
      <c r="FZF53" s="15"/>
      <c r="FZG53" s="15"/>
      <c r="FZH53" s="15"/>
      <c r="FZI53" s="15"/>
      <c r="FZJ53" s="15"/>
      <c r="FZK53" s="15"/>
      <c r="FZL53" s="15"/>
      <c r="FZM53" s="15"/>
      <c r="FZN53" s="15"/>
      <c r="FZO53" s="15"/>
      <c r="FZP53" s="15"/>
      <c r="FZQ53" s="15"/>
      <c r="FZR53" s="15"/>
      <c r="FZS53" s="15"/>
      <c r="FZT53" s="15"/>
      <c r="FZU53" s="15"/>
      <c r="FZV53" s="15"/>
      <c r="FZW53" s="15"/>
      <c r="FZX53" s="15"/>
      <c r="FZY53" s="15"/>
      <c r="FZZ53" s="15"/>
      <c r="GAA53" s="15"/>
      <c r="GAB53" s="15"/>
      <c r="GAC53" s="15"/>
      <c r="GAD53" s="15"/>
      <c r="GAE53" s="15"/>
      <c r="GAF53" s="15"/>
      <c r="GAG53" s="15"/>
      <c r="GAH53" s="15"/>
      <c r="GAI53" s="15"/>
      <c r="GAJ53" s="15"/>
      <c r="GAK53" s="15"/>
      <c r="GAL53" s="15"/>
      <c r="GAM53" s="15"/>
      <c r="GAN53" s="15"/>
      <c r="GAO53" s="15"/>
      <c r="GAP53" s="15"/>
      <c r="GAQ53" s="15"/>
      <c r="GAR53" s="15"/>
      <c r="GAS53" s="15"/>
      <c r="GAT53" s="15"/>
      <c r="GAU53" s="15"/>
      <c r="GAV53" s="15"/>
      <c r="GAW53" s="15"/>
      <c r="GAX53" s="15"/>
      <c r="GAY53" s="15"/>
      <c r="GAZ53" s="15"/>
      <c r="GBA53" s="15"/>
      <c r="GBB53" s="15"/>
      <c r="GBC53" s="15"/>
      <c r="GBD53" s="15"/>
      <c r="GBE53" s="15"/>
      <c r="GBF53" s="15"/>
      <c r="GBG53" s="15"/>
      <c r="GBH53" s="15"/>
      <c r="GBI53" s="15"/>
      <c r="GBJ53" s="15"/>
      <c r="GBK53" s="15"/>
      <c r="GBL53" s="15"/>
      <c r="GBM53" s="15"/>
      <c r="GBN53" s="15"/>
      <c r="GBO53" s="15"/>
      <c r="GBP53" s="15"/>
      <c r="GBQ53" s="15"/>
      <c r="GBR53" s="15"/>
      <c r="GBS53" s="15"/>
      <c r="GBT53" s="15"/>
      <c r="GBU53" s="15"/>
      <c r="GBV53" s="15"/>
      <c r="GBW53" s="15"/>
      <c r="GBX53" s="15"/>
      <c r="GBY53" s="15"/>
      <c r="GBZ53" s="15"/>
      <c r="GCA53" s="15"/>
      <c r="GCB53" s="15"/>
      <c r="GCC53" s="15"/>
      <c r="GCD53" s="15"/>
      <c r="GCE53" s="15"/>
      <c r="GCF53" s="15"/>
      <c r="GCG53" s="15"/>
      <c r="GCH53" s="15"/>
      <c r="GCI53" s="15"/>
      <c r="GCJ53" s="15"/>
      <c r="GCK53" s="15"/>
      <c r="GCL53" s="15"/>
      <c r="GCM53" s="15"/>
      <c r="GCN53" s="15"/>
      <c r="GCO53" s="15"/>
      <c r="GCP53" s="15"/>
      <c r="GCQ53" s="15"/>
      <c r="GCR53" s="15"/>
      <c r="GCS53" s="15"/>
      <c r="GCT53" s="15"/>
      <c r="GCU53" s="15"/>
      <c r="GCV53" s="15"/>
      <c r="GCW53" s="15"/>
      <c r="GCX53" s="15"/>
      <c r="GCY53" s="15"/>
      <c r="GCZ53" s="15"/>
      <c r="GDA53" s="15"/>
      <c r="GDB53" s="15"/>
      <c r="GDC53" s="15"/>
      <c r="GDD53" s="15"/>
      <c r="GDE53" s="15"/>
      <c r="GDF53" s="15"/>
      <c r="GDG53" s="15"/>
      <c r="GDH53" s="15"/>
      <c r="GDI53" s="15"/>
      <c r="GDJ53" s="15"/>
      <c r="GDK53" s="15"/>
      <c r="GDL53" s="15"/>
      <c r="GDM53" s="15"/>
      <c r="GDN53" s="15"/>
      <c r="GDO53" s="15"/>
      <c r="GDP53" s="15"/>
      <c r="GDQ53" s="15"/>
      <c r="GDR53" s="15"/>
      <c r="GDS53" s="15"/>
      <c r="GDT53" s="15"/>
      <c r="GDU53" s="15"/>
      <c r="GDV53" s="15"/>
      <c r="GDW53" s="15"/>
      <c r="GDX53" s="15"/>
      <c r="GDY53" s="15"/>
      <c r="GDZ53" s="15"/>
      <c r="GEA53" s="15"/>
      <c r="GEB53" s="15"/>
      <c r="GEC53" s="15"/>
      <c r="GED53" s="15"/>
      <c r="GEE53" s="15"/>
      <c r="GEF53" s="15"/>
      <c r="GEG53" s="15"/>
      <c r="GEH53" s="15"/>
      <c r="GEI53" s="15"/>
      <c r="GEJ53" s="15"/>
      <c r="GEK53" s="15"/>
      <c r="GEL53" s="15"/>
      <c r="GEM53" s="15"/>
      <c r="GEN53" s="15"/>
      <c r="GEO53" s="15"/>
      <c r="GEP53" s="15"/>
      <c r="GEQ53" s="15"/>
      <c r="GER53" s="15"/>
      <c r="GES53" s="15"/>
      <c r="GET53" s="15"/>
      <c r="GEU53" s="15"/>
      <c r="GEV53" s="15"/>
      <c r="GEW53" s="15"/>
      <c r="GEX53" s="15"/>
      <c r="GEY53" s="15"/>
      <c r="GEZ53" s="15"/>
      <c r="GFA53" s="15"/>
      <c r="GFB53" s="15"/>
      <c r="GFC53" s="15"/>
      <c r="GFD53" s="15"/>
      <c r="GFE53" s="15"/>
      <c r="GFF53" s="15"/>
      <c r="GFG53" s="15"/>
      <c r="GFH53" s="15"/>
      <c r="GFI53" s="15"/>
      <c r="GFJ53" s="15"/>
      <c r="GFK53" s="15"/>
      <c r="GFL53" s="15"/>
      <c r="GFM53" s="15"/>
      <c r="GFN53" s="15"/>
      <c r="GFO53" s="15"/>
      <c r="GFP53" s="15"/>
      <c r="GFQ53" s="15"/>
      <c r="GFR53" s="15"/>
      <c r="GFS53" s="15"/>
      <c r="GFT53" s="15"/>
      <c r="GFU53" s="15"/>
      <c r="GFV53" s="15"/>
      <c r="GFW53" s="15"/>
      <c r="GFX53" s="15"/>
      <c r="GFY53" s="15"/>
      <c r="GFZ53" s="15"/>
      <c r="GGA53" s="15"/>
      <c r="GGB53" s="15"/>
      <c r="GGC53" s="15"/>
      <c r="GGD53" s="15"/>
      <c r="GGE53" s="15"/>
      <c r="GGF53" s="15"/>
      <c r="GGG53" s="15"/>
      <c r="GGH53" s="15"/>
      <c r="GGI53" s="15"/>
      <c r="GGJ53" s="15"/>
      <c r="GGK53" s="15"/>
      <c r="GGL53" s="15"/>
      <c r="GGM53" s="15"/>
      <c r="GGN53" s="15"/>
      <c r="GGO53" s="15"/>
      <c r="GGP53" s="15"/>
      <c r="GGQ53" s="15"/>
      <c r="GGR53" s="15"/>
      <c r="GGS53" s="15"/>
      <c r="GGT53" s="15"/>
      <c r="GGU53" s="15"/>
      <c r="GGV53" s="15"/>
      <c r="GGW53" s="15"/>
      <c r="GGX53" s="15"/>
      <c r="GGY53" s="15"/>
      <c r="GGZ53" s="15"/>
      <c r="GHA53" s="15"/>
      <c r="GHB53" s="15"/>
      <c r="GHC53" s="15"/>
      <c r="GHD53" s="15"/>
      <c r="GHE53" s="15"/>
      <c r="GHF53" s="15"/>
      <c r="GHG53" s="15"/>
      <c r="GHH53" s="15"/>
      <c r="GHI53" s="15"/>
      <c r="GHJ53" s="15"/>
      <c r="GHK53" s="15"/>
      <c r="GHL53" s="15"/>
      <c r="GHM53" s="15"/>
      <c r="GHN53" s="15"/>
      <c r="GHO53" s="15"/>
      <c r="GHP53" s="15"/>
      <c r="GHQ53" s="15"/>
      <c r="GHR53" s="15"/>
      <c r="GHS53" s="15"/>
      <c r="GHT53" s="15"/>
      <c r="GHU53" s="15"/>
      <c r="GHV53" s="15"/>
      <c r="GHW53" s="15"/>
      <c r="GHX53" s="15"/>
      <c r="GHY53" s="15"/>
      <c r="GHZ53" s="15"/>
      <c r="GIA53" s="15"/>
      <c r="GIB53" s="15"/>
      <c r="GIC53" s="15"/>
      <c r="GID53" s="15"/>
      <c r="GIE53" s="15"/>
      <c r="GIF53" s="15"/>
      <c r="GIG53" s="15"/>
      <c r="GIH53" s="15"/>
      <c r="GII53" s="15"/>
      <c r="GIJ53" s="15"/>
      <c r="GIK53" s="15"/>
      <c r="GIL53" s="15"/>
      <c r="GIM53" s="15"/>
      <c r="GIN53" s="15"/>
      <c r="GIO53" s="15"/>
      <c r="GIP53" s="15"/>
      <c r="GIQ53" s="15"/>
      <c r="GIR53" s="15"/>
      <c r="GIS53" s="15"/>
      <c r="GIT53" s="15"/>
      <c r="GIU53" s="15"/>
      <c r="GIV53" s="15"/>
      <c r="GIW53" s="15"/>
      <c r="GIX53" s="15"/>
      <c r="GIY53" s="15"/>
      <c r="GIZ53" s="15"/>
      <c r="GJA53" s="15"/>
      <c r="GJB53" s="15"/>
      <c r="GJC53" s="15"/>
      <c r="GJD53" s="15"/>
      <c r="GJE53" s="15"/>
      <c r="GJF53" s="15"/>
      <c r="GJG53" s="15"/>
      <c r="GJH53" s="15"/>
      <c r="GJI53" s="15"/>
      <c r="GJJ53" s="15"/>
      <c r="GJK53" s="15"/>
      <c r="GJL53" s="15"/>
      <c r="GJM53" s="15"/>
      <c r="GJN53" s="15"/>
      <c r="GJO53" s="15"/>
      <c r="GJP53" s="15"/>
      <c r="GJQ53" s="15"/>
      <c r="GJR53" s="15"/>
      <c r="GJS53" s="15"/>
      <c r="GJT53" s="15"/>
      <c r="GJU53" s="15"/>
      <c r="GJV53" s="15"/>
      <c r="GJW53" s="15"/>
      <c r="GJX53" s="15"/>
      <c r="GJY53" s="15"/>
      <c r="GJZ53" s="15"/>
      <c r="GKA53" s="15"/>
      <c r="GKB53" s="15"/>
      <c r="GKC53" s="15"/>
      <c r="GKD53" s="15"/>
      <c r="GKE53" s="15"/>
      <c r="GKF53" s="15"/>
      <c r="GKG53" s="15"/>
      <c r="GKH53" s="15"/>
      <c r="GKI53" s="15"/>
      <c r="GKJ53" s="15"/>
      <c r="GKK53" s="15"/>
      <c r="GKL53" s="15"/>
      <c r="GKM53" s="15"/>
      <c r="GKN53" s="15"/>
      <c r="GKO53" s="15"/>
      <c r="GKP53" s="15"/>
      <c r="GKQ53" s="15"/>
      <c r="GKR53" s="15"/>
      <c r="GKS53" s="15"/>
      <c r="GKT53" s="15"/>
      <c r="GKU53" s="15"/>
      <c r="GKV53" s="15"/>
      <c r="GKW53" s="15"/>
      <c r="GKX53" s="15"/>
      <c r="GKY53" s="15"/>
      <c r="GKZ53" s="15"/>
      <c r="GLA53" s="15"/>
      <c r="GLB53" s="15"/>
      <c r="GLC53" s="15"/>
      <c r="GLD53" s="15"/>
      <c r="GLE53" s="15"/>
      <c r="GLF53" s="15"/>
      <c r="GLG53" s="15"/>
      <c r="GLH53" s="15"/>
      <c r="GLI53" s="15"/>
      <c r="GLJ53" s="15"/>
      <c r="GLK53" s="15"/>
      <c r="GLL53" s="15"/>
      <c r="GLM53" s="15"/>
      <c r="GLN53" s="15"/>
      <c r="GLO53" s="15"/>
      <c r="GLP53" s="15"/>
      <c r="GLQ53" s="15"/>
      <c r="GLR53" s="15"/>
      <c r="GLS53" s="15"/>
      <c r="GLT53" s="15"/>
      <c r="GLU53" s="15"/>
      <c r="GLV53" s="15"/>
      <c r="GLW53" s="15"/>
      <c r="GLX53" s="15"/>
      <c r="GLY53" s="15"/>
      <c r="GLZ53" s="15"/>
      <c r="GMA53" s="15"/>
      <c r="GMB53" s="15"/>
      <c r="GMC53" s="15"/>
      <c r="GMD53" s="15"/>
      <c r="GME53" s="15"/>
      <c r="GMF53" s="15"/>
      <c r="GMG53" s="15"/>
      <c r="GMH53" s="15"/>
      <c r="GMI53" s="15"/>
      <c r="GMJ53" s="15"/>
      <c r="GMK53" s="15"/>
      <c r="GML53" s="15"/>
      <c r="GMM53" s="15"/>
      <c r="GMN53" s="15"/>
      <c r="GMO53" s="15"/>
      <c r="GMP53" s="15"/>
      <c r="GMQ53" s="15"/>
      <c r="GMR53" s="15"/>
      <c r="GMS53" s="15"/>
      <c r="GMT53" s="15"/>
      <c r="GMU53" s="15"/>
      <c r="GMV53" s="15"/>
      <c r="GMW53" s="15"/>
      <c r="GMX53" s="15"/>
      <c r="GMY53" s="15"/>
      <c r="GMZ53" s="15"/>
      <c r="GNA53" s="15"/>
      <c r="GNB53" s="15"/>
      <c r="GNC53" s="15"/>
      <c r="GND53" s="15"/>
      <c r="GNE53" s="15"/>
      <c r="GNF53" s="15"/>
      <c r="GNG53" s="15"/>
      <c r="GNH53" s="15"/>
      <c r="GNI53" s="15"/>
      <c r="GNJ53" s="15"/>
      <c r="GNK53" s="15"/>
      <c r="GNL53" s="15"/>
      <c r="GNM53" s="15"/>
      <c r="GNN53" s="15"/>
      <c r="GNO53" s="15"/>
      <c r="GNP53" s="15"/>
      <c r="GNQ53" s="15"/>
      <c r="GNR53" s="15"/>
      <c r="GNS53" s="15"/>
      <c r="GNT53" s="15"/>
      <c r="GNU53" s="15"/>
      <c r="GNV53" s="15"/>
      <c r="GNW53" s="15"/>
      <c r="GNX53" s="15"/>
      <c r="GNY53" s="15"/>
      <c r="GNZ53" s="15"/>
      <c r="GOA53" s="15"/>
      <c r="GOB53" s="15"/>
      <c r="GOC53" s="15"/>
      <c r="GOD53" s="15"/>
      <c r="GOE53" s="15"/>
      <c r="GOF53" s="15"/>
      <c r="GOG53" s="15"/>
      <c r="GOH53" s="15"/>
      <c r="GOI53" s="15"/>
      <c r="GOJ53" s="15"/>
      <c r="GOK53" s="15"/>
      <c r="GOL53" s="15"/>
      <c r="GOM53" s="15"/>
      <c r="GON53" s="15"/>
      <c r="GOO53" s="15"/>
      <c r="GOP53" s="15"/>
      <c r="GOQ53" s="15"/>
      <c r="GOR53" s="15"/>
      <c r="GOS53" s="15"/>
      <c r="GOT53" s="15"/>
      <c r="GOU53" s="15"/>
      <c r="GOV53" s="15"/>
      <c r="GOW53" s="15"/>
      <c r="GOX53" s="15"/>
      <c r="GOY53" s="15"/>
      <c r="GOZ53" s="15"/>
      <c r="GPA53" s="15"/>
      <c r="GPB53" s="15"/>
      <c r="GPC53" s="15"/>
      <c r="GPD53" s="15"/>
      <c r="GPE53" s="15"/>
      <c r="GPF53" s="15"/>
      <c r="GPG53" s="15"/>
      <c r="GPH53" s="15"/>
      <c r="GPI53" s="15"/>
      <c r="GPJ53" s="15"/>
      <c r="GPK53" s="15"/>
      <c r="GPL53" s="15"/>
      <c r="GPM53" s="15"/>
      <c r="GPN53" s="15"/>
      <c r="GPO53" s="15"/>
      <c r="GPP53" s="15"/>
      <c r="GPQ53" s="15"/>
      <c r="GPR53" s="15"/>
      <c r="GPS53" s="15"/>
      <c r="GPT53" s="15"/>
      <c r="GPU53" s="15"/>
      <c r="GPV53" s="15"/>
      <c r="GPW53" s="15"/>
      <c r="GPX53" s="15"/>
      <c r="GPY53" s="15"/>
      <c r="GPZ53" s="15"/>
      <c r="GQA53" s="15"/>
      <c r="GQB53" s="15"/>
      <c r="GQC53" s="15"/>
      <c r="GQD53" s="15"/>
      <c r="GQE53" s="15"/>
      <c r="GQF53" s="15"/>
      <c r="GQG53" s="15"/>
      <c r="GQH53" s="15"/>
      <c r="GQI53" s="15"/>
      <c r="GQJ53" s="15"/>
      <c r="GQK53" s="15"/>
      <c r="GQL53" s="15"/>
      <c r="GQM53" s="15"/>
      <c r="GQN53" s="15"/>
      <c r="GQO53" s="15"/>
      <c r="GQP53" s="15"/>
      <c r="GQQ53" s="15"/>
      <c r="GQR53" s="15"/>
      <c r="GQS53" s="15"/>
      <c r="GQT53" s="15"/>
      <c r="GQU53" s="15"/>
      <c r="GQV53" s="15"/>
      <c r="GQW53" s="15"/>
      <c r="GQX53" s="15"/>
      <c r="GQY53" s="15"/>
      <c r="GQZ53" s="15"/>
      <c r="GRA53" s="15"/>
      <c r="GRB53" s="15"/>
      <c r="GRC53" s="15"/>
      <c r="GRD53" s="15"/>
      <c r="GRE53" s="15"/>
      <c r="GRF53" s="15"/>
      <c r="GRG53" s="15"/>
      <c r="GRH53" s="15"/>
      <c r="GRI53" s="15"/>
      <c r="GRJ53" s="15"/>
      <c r="GRK53" s="15"/>
      <c r="GRL53" s="15"/>
      <c r="GRM53" s="15"/>
      <c r="GRN53" s="15"/>
      <c r="GRO53" s="15"/>
      <c r="GRP53" s="15"/>
      <c r="GRQ53" s="15"/>
      <c r="GRR53" s="15"/>
      <c r="GRS53" s="15"/>
      <c r="GRT53" s="15"/>
      <c r="GRU53" s="15"/>
      <c r="GRV53" s="15"/>
      <c r="GRW53" s="15"/>
      <c r="GRX53" s="15"/>
      <c r="GRY53" s="15"/>
      <c r="GRZ53" s="15"/>
      <c r="GSA53" s="15"/>
      <c r="GSB53" s="15"/>
      <c r="GSC53" s="15"/>
      <c r="GSD53" s="15"/>
      <c r="GSE53" s="15"/>
      <c r="GSF53" s="15"/>
      <c r="GSG53" s="15"/>
      <c r="GSH53" s="15"/>
      <c r="GSI53" s="15"/>
      <c r="GSJ53" s="15"/>
      <c r="GSK53" s="15"/>
      <c r="GSL53" s="15"/>
      <c r="GSM53" s="15"/>
      <c r="GSN53" s="15"/>
      <c r="GSO53" s="15"/>
      <c r="GSP53" s="15"/>
      <c r="GSQ53" s="15"/>
      <c r="GSR53" s="15"/>
      <c r="GSS53" s="15"/>
      <c r="GST53" s="15"/>
      <c r="GSU53" s="15"/>
      <c r="GSV53" s="15"/>
      <c r="GSW53" s="15"/>
      <c r="GSX53" s="15"/>
      <c r="GSY53" s="15"/>
      <c r="GSZ53" s="15"/>
      <c r="GTA53" s="15"/>
      <c r="GTB53" s="15"/>
      <c r="GTC53" s="15"/>
      <c r="GTD53" s="15"/>
      <c r="GTE53" s="15"/>
      <c r="GTF53" s="15"/>
      <c r="GTG53" s="15"/>
      <c r="GTH53" s="15"/>
      <c r="GTI53" s="15"/>
      <c r="GTJ53" s="15"/>
      <c r="GTK53" s="15"/>
      <c r="GTL53" s="15"/>
      <c r="GTM53" s="15"/>
      <c r="GTN53" s="15"/>
      <c r="GTO53" s="15"/>
      <c r="GTP53" s="15"/>
      <c r="GTQ53" s="15"/>
      <c r="GTR53" s="15"/>
      <c r="GTS53" s="15"/>
      <c r="GTT53" s="15"/>
      <c r="GTU53" s="15"/>
      <c r="GTV53" s="15"/>
      <c r="GTW53" s="15"/>
      <c r="GTX53" s="15"/>
      <c r="GTY53" s="15"/>
      <c r="GTZ53" s="15"/>
      <c r="GUA53" s="15"/>
      <c r="GUB53" s="15"/>
      <c r="GUC53" s="15"/>
      <c r="GUD53" s="15"/>
      <c r="GUE53" s="15"/>
      <c r="GUF53" s="15"/>
      <c r="GUG53" s="15"/>
      <c r="GUH53" s="15"/>
      <c r="GUI53" s="15"/>
      <c r="GUJ53" s="15"/>
      <c r="GUK53" s="15"/>
      <c r="GUL53" s="15"/>
      <c r="GUM53" s="15"/>
      <c r="GUN53" s="15"/>
      <c r="GUO53" s="15"/>
      <c r="GUP53" s="15"/>
      <c r="GUQ53" s="15"/>
      <c r="GUR53" s="15"/>
      <c r="GUS53" s="15"/>
      <c r="GUT53" s="15"/>
      <c r="GUU53" s="15"/>
      <c r="GUV53" s="15"/>
      <c r="GUW53" s="15"/>
      <c r="GUX53" s="15"/>
      <c r="GUY53" s="15"/>
      <c r="GUZ53" s="15"/>
      <c r="GVA53" s="15"/>
      <c r="GVB53" s="15"/>
      <c r="GVC53" s="15"/>
      <c r="GVD53" s="15"/>
      <c r="GVE53" s="15"/>
      <c r="GVF53" s="15"/>
      <c r="GVG53" s="15"/>
      <c r="GVH53" s="15"/>
      <c r="GVI53" s="15"/>
      <c r="GVJ53" s="15"/>
      <c r="GVK53" s="15"/>
      <c r="GVL53" s="15"/>
      <c r="GVM53" s="15"/>
      <c r="GVN53" s="15"/>
      <c r="GVO53" s="15"/>
      <c r="GVP53" s="15"/>
      <c r="GVQ53" s="15"/>
      <c r="GVR53" s="15"/>
      <c r="GVS53" s="15"/>
      <c r="GVT53" s="15"/>
      <c r="GVU53" s="15"/>
      <c r="GVV53" s="15"/>
      <c r="GVW53" s="15"/>
      <c r="GVX53" s="15"/>
      <c r="GVY53" s="15"/>
      <c r="GVZ53" s="15"/>
      <c r="GWA53" s="15"/>
      <c r="GWB53" s="15"/>
      <c r="GWC53" s="15"/>
      <c r="GWD53" s="15"/>
      <c r="GWE53" s="15"/>
      <c r="GWF53" s="15"/>
      <c r="GWG53" s="15"/>
      <c r="GWH53" s="15"/>
      <c r="GWI53" s="15"/>
      <c r="GWJ53" s="15"/>
      <c r="GWK53" s="15"/>
      <c r="GWL53" s="15"/>
      <c r="GWM53" s="15"/>
      <c r="GWN53" s="15"/>
      <c r="GWO53" s="15"/>
      <c r="GWP53" s="15"/>
      <c r="GWQ53" s="15"/>
      <c r="GWR53" s="15"/>
      <c r="GWS53" s="15"/>
      <c r="GWT53" s="15"/>
      <c r="GWU53" s="15"/>
      <c r="GWV53" s="15"/>
      <c r="GWW53" s="15"/>
      <c r="GWX53" s="15"/>
      <c r="GWY53" s="15"/>
      <c r="GWZ53" s="15"/>
      <c r="GXA53" s="15"/>
      <c r="GXB53" s="15"/>
      <c r="GXC53" s="15"/>
      <c r="GXD53" s="15"/>
      <c r="GXE53" s="15"/>
      <c r="GXF53" s="15"/>
      <c r="GXG53" s="15"/>
      <c r="GXH53" s="15"/>
      <c r="GXI53" s="15"/>
      <c r="GXJ53" s="15"/>
      <c r="GXK53" s="15"/>
      <c r="GXL53" s="15"/>
      <c r="GXM53" s="15"/>
      <c r="GXN53" s="15"/>
      <c r="GXO53" s="15"/>
      <c r="GXP53" s="15"/>
      <c r="GXQ53" s="15"/>
      <c r="GXR53" s="15"/>
      <c r="GXS53" s="15"/>
      <c r="GXT53" s="15"/>
      <c r="GXU53" s="15"/>
      <c r="GXV53" s="15"/>
      <c r="GXW53" s="15"/>
      <c r="GXX53" s="15"/>
      <c r="GXY53" s="15"/>
      <c r="GXZ53" s="15"/>
      <c r="GYA53" s="15"/>
      <c r="GYB53" s="15"/>
      <c r="GYC53" s="15"/>
      <c r="GYD53" s="15"/>
      <c r="GYE53" s="15"/>
      <c r="GYF53" s="15"/>
      <c r="GYG53" s="15"/>
      <c r="GYH53" s="15"/>
      <c r="GYI53" s="15"/>
      <c r="GYJ53" s="15"/>
      <c r="GYK53" s="15"/>
      <c r="GYL53" s="15"/>
      <c r="GYM53" s="15"/>
      <c r="GYN53" s="15"/>
      <c r="GYO53" s="15"/>
      <c r="GYP53" s="15"/>
      <c r="GYQ53" s="15"/>
      <c r="GYR53" s="15"/>
      <c r="GYS53" s="15"/>
      <c r="GYT53" s="15"/>
      <c r="GYU53" s="15"/>
      <c r="GYV53" s="15"/>
      <c r="GYW53" s="15"/>
      <c r="GYX53" s="15"/>
      <c r="GYY53" s="15"/>
      <c r="GYZ53" s="15"/>
      <c r="GZA53" s="15"/>
      <c r="GZB53" s="15"/>
      <c r="GZC53" s="15"/>
      <c r="GZD53" s="15"/>
      <c r="GZE53" s="15"/>
      <c r="GZF53" s="15"/>
      <c r="GZG53" s="15"/>
      <c r="GZH53" s="15"/>
      <c r="GZI53" s="15"/>
      <c r="GZJ53" s="15"/>
      <c r="GZK53" s="15"/>
      <c r="GZL53" s="15"/>
      <c r="GZM53" s="15"/>
      <c r="GZN53" s="15"/>
      <c r="GZO53" s="15"/>
      <c r="GZP53" s="15"/>
      <c r="GZQ53" s="15"/>
      <c r="GZR53" s="15"/>
      <c r="GZS53" s="15"/>
      <c r="GZT53" s="15"/>
      <c r="GZU53" s="15"/>
      <c r="GZV53" s="15"/>
      <c r="GZW53" s="15"/>
      <c r="GZX53" s="15"/>
      <c r="GZY53" s="15"/>
      <c r="GZZ53" s="15"/>
      <c r="HAA53" s="15"/>
      <c r="HAB53" s="15"/>
      <c r="HAC53" s="15"/>
      <c r="HAD53" s="15"/>
      <c r="HAE53" s="15"/>
      <c r="HAF53" s="15"/>
      <c r="HAG53" s="15"/>
      <c r="HAH53" s="15"/>
      <c r="HAI53" s="15"/>
      <c r="HAJ53" s="15"/>
      <c r="HAK53" s="15"/>
      <c r="HAL53" s="15"/>
      <c r="HAM53" s="15"/>
      <c r="HAN53" s="15"/>
      <c r="HAO53" s="15"/>
      <c r="HAP53" s="15"/>
      <c r="HAQ53" s="15"/>
      <c r="HAR53" s="15"/>
      <c r="HAS53" s="15"/>
      <c r="HAT53" s="15"/>
      <c r="HAU53" s="15"/>
      <c r="HAV53" s="15"/>
      <c r="HAW53" s="15"/>
      <c r="HAX53" s="15"/>
      <c r="HAY53" s="15"/>
      <c r="HAZ53" s="15"/>
      <c r="HBA53" s="15"/>
      <c r="HBB53" s="15"/>
      <c r="HBC53" s="15"/>
      <c r="HBD53" s="15"/>
      <c r="HBE53" s="15"/>
      <c r="HBF53" s="15"/>
      <c r="HBG53" s="15"/>
      <c r="HBH53" s="15"/>
      <c r="HBI53" s="15"/>
      <c r="HBJ53" s="15"/>
      <c r="HBK53" s="15"/>
      <c r="HBL53" s="15"/>
      <c r="HBM53" s="15"/>
      <c r="HBN53" s="15"/>
      <c r="HBO53" s="15"/>
      <c r="HBP53" s="15"/>
      <c r="HBQ53" s="15"/>
      <c r="HBR53" s="15"/>
      <c r="HBS53" s="15"/>
      <c r="HBT53" s="15"/>
      <c r="HBU53" s="15"/>
      <c r="HBV53" s="15"/>
      <c r="HBW53" s="15"/>
      <c r="HBX53" s="15"/>
      <c r="HBY53" s="15"/>
      <c r="HBZ53" s="15"/>
      <c r="HCA53" s="15"/>
      <c r="HCB53" s="15"/>
      <c r="HCC53" s="15"/>
      <c r="HCD53" s="15"/>
      <c r="HCE53" s="15"/>
      <c r="HCF53" s="15"/>
      <c r="HCG53" s="15"/>
      <c r="HCH53" s="15"/>
      <c r="HCI53" s="15"/>
      <c r="HCJ53" s="15"/>
      <c r="HCK53" s="15"/>
      <c r="HCL53" s="15"/>
      <c r="HCM53" s="15"/>
      <c r="HCN53" s="15"/>
      <c r="HCO53" s="15"/>
      <c r="HCP53" s="15"/>
      <c r="HCQ53" s="15"/>
      <c r="HCR53" s="15"/>
      <c r="HCS53" s="15"/>
      <c r="HCT53" s="15"/>
      <c r="HCU53" s="15"/>
      <c r="HCV53" s="15"/>
      <c r="HCW53" s="15"/>
      <c r="HCX53" s="15"/>
      <c r="HCY53" s="15"/>
      <c r="HCZ53" s="15"/>
      <c r="HDA53" s="15"/>
      <c r="HDB53" s="15"/>
      <c r="HDC53" s="15"/>
      <c r="HDD53" s="15"/>
      <c r="HDE53" s="15"/>
      <c r="HDF53" s="15"/>
      <c r="HDG53" s="15"/>
      <c r="HDH53" s="15"/>
      <c r="HDI53" s="15"/>
      <c r="HDJ53" s="15"/>
      <c r="HDK53" s="15"/>
      <c r="HDL53" s="15"/>
      <c r="HDM53" s="15"/>
      <c r="HDN53" s="15"/>
      <c r="HDO53" s="15"/>
      <c r="HDP53" s="15"/>
      <c r="HDQ53" s="15"/>
      <c r="HDR53" s="15"/>
      <c r="HDS53" s="15"/>
      <c r="HDT53" s="15"/>
      <c r="HDU53" s="15"/>
      <c r="HDV53" s="15"/>
      <c r="HDW53" s="15"/>
      <c r="HDX53" s="15"/>
      <c r="HDY53" s="15"/>
      <c r="HDZ53" s="15"/>
      <c r="HEA53" s="15"/>
      <c r="HEB53" s="15"/>
      <c r="HEC53" s="15"/>
      <c r="HED53" s="15"/>
      <c r="HEE53" s="15"/>
      <c r="HEF53" s="15"/>
      <c r="HEG53" s="15"/>
      <c r="HEH53" s="15"/>
      <c r="HEI53" s="15"/>
      <c r="HEJ53" s="15"/>
      <c r="HEK53" s="15"/>
      <c r="HEL53" s="15"/>
      <c r="HEM53" s="15"/>
      <c r="HEN53" s="15"/>
      <c r="HEO53" s="15"/>
      <c r="HEP53" s="15"/>
      <c r="HEQ53" s="15"/>
      <c r="HER53" s="15"/>
      <c r="HES53" s="15"/>
      <c r="HET53" s="15"/>
      <c r="HEU53" s="15"/>
      <c r="HEV53" s="15"/>
      <c r="HEW53" s="15"/>
      <c r="HEX53" s="15"/>
      <c r="HEY53" s="15"/>
      <c r="HEZ53" s="15"/>
      <c r="HFA53" s="15"/>
      <c r="HFB53" s="15"/>
      <c r="HFC53" s="15"/>
      <c r="HFD53" s="15"/>
      <c r="HFE53" s="15"/>
      <c r="HFF53" s="15"/>
      <c r="HFG53" s="15"/>
      <c r="HFH53" s="15"/>
      <c r="HFI53" s="15"/>
      <c r="HFJ53" s="15"/>
      <c r="HFK53" s="15"/>
      <c r="HFL53" s="15"/>
      <c r="HFM53" s="15"/>
      <c r="HFN53" s="15"/>
      <c r="HFO53" s="15"/>
      <c r="HFP53" s="15"/>
      <c r="HFQ53" s="15"/>
      <c r="HFR53" s="15"/>
      <c r="HFS53" s="15"/>
      <c r="HFT53" s="15"/>
      <c r="HFU53" s="15"/>
      <c r="HFV53" s="15"/>
      <c r="HFW53" s="15"/>
      <c r="HFX53" s="15"/>
      <c r="HFY53" s="15"/>
      <c r="HFZ53" s="15"/>
      <c r="HGA53" s="15"/>
      <c r="HGB53" s="15"/>
      <c r="HGC53" s="15"/>
      <c r="HGD53" s="15"/>
      <c r="HGE53" s="15"/>
      <c r="HGF53" s="15"/>
      <c r="HGG53" s="15"/>
      <c r="HGH53" s="15"/>
      <c r="HGI53" s="15"/>
      <c r="HGJ53" s="15"/>
      <c r="HGK53" s="15"/>
      <c r="HGL53" s="15"/>
      <c r="HGM53" s="15"/>
      <c r="HGN53" s="15"/>
      <c r="HGO53" s="15"/>
      <c r="HGP53" s="15"/>
      <c r="HGQ53" s="15"/>
      <c r="HGR53" s="15"/>
      <c r="HGS53" s="15"/>
      <c r="HGT53" s="15"/>
      <c r="HGU53" s="15"/>
      <c r="HGV53" s="15"/>
      <c r="HGW53" s="15"/>
      <c r="HGX53" s="15"/>
      <c r="HGY53" s="15"/>
      <c r="HGZ53" s="15"/>
      <c r="HHA53" s="15"/>
      <c r="HHB53" s="15"/>
      <c r="HHC53" s="15"/>
      <c r="HHD53" s="15"/>
      <c r="HHE53" s="15"/>
      <c r="HHF53" s="15"/>
      <c r="HHG53" s="15"/>
      <c r="HHH53" s="15"/>
      <c r="HHI53" s="15"/>
      <c r="HHJ53" s="15"/>
      <c r="HHK53" s="15"/>
      <c r="HHL53" s="15"/>
      <c r="HHM53" s="15"/>
      <c r="HHN53" s="15"/>
      <c r="HHO53" s="15"/>
      <c r="HHP53" s="15"/>
      <c r="HHQ53" s="15"/>
      <c r="HHR53" s="15"/>
      <c r="HHS53" s="15"/>
      <c r="HHT53" s="15"/>
      <c r="HHU53" s="15"/>
      <c r="HHV53" s="15"/>
      <c r="HHW53" s="15"/>
      <c r="HHX53" s="15"/>
      <c r="HHY53" s="15"/>
      <c r="HHZ53" s="15"/>
      <c r="HIA53" s="15"/>
      <c r="HIB53" s="15"/>
      <c r="HIC53" s="15"/>
      <c r="HID53" s="15"/>
      <c r="HIE53" s="15"/>
      <c r="HIF53" s="15"/>
      <c r="HIG53" s="15"/>
      <c r="HIH53" s="15"/>
      <c r="HII53" s="15"/>
      <c r="HIJ53" s="15"/>
      <c r="HIK53" s="15"/>
      <c r="HIL53" s="15"/>
      <c r="HIM53" s="15"/>
      <c r="HIN53" s="15"/>
      <c r="HIO53" s="15"/>
      <c r="HIP53" s="15"/>
      <c r="HIQ53" s="15"/>
      <c r="HIR53" s="15"/>
      <c r="HIS53" s="15"/>
      <c r="HIT53" s="15"/>
      <c r="HIU53" s="15"/>
      <c r="HIV53" s="15"/>
      <c r="HIW53" s="15"/>
      <c r="HIX53" s="15"/>
      <c r="HIY53" s="15"/>
      <c r="HIZ53" s="15"/>
      <c r="HJA53" s="15"/>
      <c r="HJB53" s="15"/>
      <c r="HJC53" s="15"/>
      <c r="HJD53" s="15"/>
      <c r="HJE53" s="15"/>
      <c r="HJF53" s="15"/>
      <c r="HJG53" s="15"/>
      <c r="HJH53" s="15"/>
      <c r="HJI53" s="15"/>
      <c r="HJJ53" s="15"/>
      <c r="HJK53" s="15"/>
      <c r="HJL53" s="15"/>
      <c r="HJM53" s="15"/>
      <c r="HJN53" s="15"/>
      <c r="HJO53" s="15"/>
      <c r="HJP53" s="15"/>
      <c r="HJQ53" s="15"/>
      <c r="HJR53" s="15"/>
      <c r="HJS53" s="15"/>
      <c r="HJT53" s="15"/>
      <c r="HJU53" s="15"/>
      <c r="HJV53" s="15"/>
      <c r="HJW53" s="15"/>
      <c r="HJX53" s="15"/>
      <c r="HJY53" s="15"/>
      <c r="HJZ53" s="15"/>
      <c r="HKA53" s="15"/>
      <c r="HKB53" s="15"/>
      <c r="HKC53" s="15"/>
      <c r="HKD53" s="15"/>
      <c r="HKE53" s="15"/>
      <c r="HKF53" s="15"/>
      <c r="HKG53" s="15"/>
      <c r="HKH53" s="15"/>
      <c r="HKI53" s="15"/>
      <c r="HKJ53" s="15"/>
      <c r="HKK53" s="15"/>
      <c r="HKL53" s="15"/>
      <c r="HKM53" s="15"/>
      <c r="HKN53" s="15"/>
      <c r="HKO53" s="15"/>
      <c r="HKP53" s="15"/>
      <c r="HKQ53" s="15"/>
      <c r="HKR53" s="15"/>
      <c r="HKS53" s="15"/>
      <c r="HKT53" s="15"/>
      <c r="HKU53" s="15"/>
      <c r="HKV53" s="15"/>
      <c r="HKW53" s="15"/>
      <c r="HKX53" s="15"/>
      <c r="HKY53" s="15"/>
      <c r="HKZ53" s="15"/>
      <c r="HLA53" s="15"/>
      <c r="HLB53" s="15"/>
      <c r="HLC53" s="15"/>
      <c r="HLD53" s="15"/>
      <c r="HLE53" s="15"/>
      <c r="HLF53" s="15"/>
      <c r="HLG53" s="15"/>
      <c r="HLH53" s="15"/>
      <c r="HLI53" s="15"/>
      <c r="HLJ53" s="15"/>
      <c r="HLK53" s="15"/>
      <c r="HLL53" s="15"/>
      <c r="HLM53" s="15"/>
      <c r="HLN53" s="15"/>
      <c r="HLO53" s="15"/>
      <c r="HLP53" s="15"/>
      <c r="HLQ53" s="15"/>
      <c r="HLR53" s="15"/>
      <c r="HLS53" s="15"/>
      <c r="HLT53" s="15"/>
      <c r="HLU53" s="15"/>
      <c r="HLV53" s="15"/>
      <c r="HLW53" s="15"/>
      <c r="HLX53" s="15"/>
      <c r="HLY53" s="15"/>
      <c r="HLZ53" s="15"/>
      <c r="HMA53" s="15"/>
      <c r="HMB53" s="15"/>
      <c r="HMC53" s="15"/>
      <c r="HMD53" s="15"/>
      <c r="HME53" s="15"/>
      <c r="HMF53" s="15"/>
      <c r="HMG53" s="15"/>
      <c r="HMH53" s="15"/>
      <c r="HMI53" s="15"/>
      <c r="HMJ53" s="15"/>
      <c r="HMK53" s="15"/>
      <c r="HML53" s="15"/>
      <c r="HMM53" s="15"/>
      <c r="HMN53" s="15"/>
      <c r="HMO53" s="15"/>
      <c r="HMP53" s="15"/>
      <c r="HMQ53" s="15"/>
      <c r="HMR53" s="15"/>
      <c r="HMS53" s="15"/>
      <c r="HMT53" s="15"/>
      <c r="HMU53" s="15"/>
      <c r="HMV53" s="15"/>
      <c r="HMW53" s="15"/>
      <c r="HMX53" s="15"/>
      <c r="HMY53" s="15"/>
      <c r="HMZ53" s="15"/>
      <c r="HNA53" s="15"/>
      <c r="HNB53" s="15"/>
      <c r="HNC53" s="15"/>
      <c r="HND53" s="15"/>
      <c r="HNE53" s="15"/>
      <c r="HNF53" s="15"/>
      <c r="HNG53" s="15"/>
      <c r="HNH53" s="15"/>
      <c r="HNI53" s="15"/>
      <c r="HNJ53" s="15"/>
      <c r="HNK53" s="15"/>
      <c r="HNL53" s="15"/>
      <c r="HNM53" s="15"/>
      <c r="HNN53" s="15"/>
      <c r="HNO53" s="15"/>
      <c r="HNP53" s="15"/>
      <c r="HNQ53" s="15"/>
      <c r="HNR53" s="15"/>
      <c r="HNS53" s="15"/>
      <c r="HNT53" s="15"/>
      <c r="HNU53" s="15"/>
      <c r="HNV53" s="15"/>
      <c r="HNW53" s="15"/>
      <c r="HNX53" s="15"/>
      <c r="HNY53" s="15"/>
      <c r="HNZ53" s="15"/>
      <c r="HOA53" s="15"/>
      <c r="HOB53" s="15"/>
      <c r="HOC53" s="15"/>
      <c r="HOD53" s="15"/>
      <c r="HOE53" s="15"/>
      <c r="HOF53" s="15"/>
      <c r="HOG53" s="15"/>
      <c r="HOH53" s="15"/>
      <c r="HOI53" s="15"/>
      <c r="HOJ53" s="15"/>
      <c r="HOK53" s="15"/>
      <c r="HOL53" s="15"/>
      <c r="HOM53" s="15"/>
      <c r="HON53" s="15"/>
      <c r="HOO53" s="15"/>
      <c r="HOP53" s="15"/>
      <c r="HOQ53" s="15"/>
      <c r="HOR53" s="15"/>
      <c r="HOS53" s="15"/>
      <c r="HOT53" s="15"/>
      <c r="HOU53" s="15"/>
      <c r="HOV53" s="15"/>
      <c r="HOW53" s="15"/>
      <c r="HOX53" s="15"/>
      <c r="HOY53" s="15"/>
      <c r="HOZ53" s="15"/>
      <c r="HPA53" s="15"/>
      <c r="HPB53" s="15"/>
      <c r="HPC53" s="15"/>
      <c r="HPD53" s="15"/>
      <c r="HPE53" s="15"/>
      <c r="HPF53" s="15"/>
      <c r="HPG53" s="15"/>
      <c r="HPH53" s="15"/>
      <c r="HPI53" s="15"/>
      <c r="HPJ53" s="15"/>
      <c r="HPK53" s="15"/>
      <c r="HPL53" s="15"/>
      <c r="HPM53" s="15"/>
      <c r="HPN53" s="15"/>
      <c r="HPO53" s="15"/>
      <c r="HPP53" s="15"/>
      <c r="HPQ53" s="15"/>
      <c r="HPR53" s="15"/>
      <c r="HPS53" s="15"/>
      <c r="HPT53" s="15"/>
      <c r="HPU53" s="15"/>
      <c r="HPV53" s="15"/>
      <c r="HPW53" s="15"/>
      <c r="HPX53" s="15"/>
      <c r="HPY53" s="15"/>
      <c r="HPZ53" s="15"/>
      <c r="HQA53" s="15"/>
      <c r="HQB53" s="15"/>
      <c r="HQC53" s="15"/>
      <c r="HQD53" s="15"/>
      <c r="HQE53" s="15"/>
      <c r="HQF53" s="15"/>
      <c r="HQG53" s="15"/>
      <c r="HQH53" s="15"/>
      <c r="HQI53" s="15"/>
      <c r="HQJ53" s="15"/>
      <c r="HQK53" s="15"/>
      <c r="HQL53" s="15"/>
      <c r="HQM53" s="15"/>
      <c r="HQN53" s="15"/>
      <c r="HQO53" s="15"/>
      <c r="HQP53" s="15"/>
      <c r="HQQ53" s="15"/>
      <c r="HQR53" s="15"/>
      <c r="HQS53" s="15"/>
      <c r="HQT53" s="15"/>
      <c r="HQU53" s="15"/>
      <c r="HQV53" s="15"/>
      <c r="HQW53" s="15"/>
      <c r="HQX53" s="15"/>
      <c r="HQY53" s="15"/>
      <c r="HQZ53" s="15"/>
      <c r="HRA53" s="15"/>
      <c r="HRB53" s="15"/>
      <c r="HRC53" s="15"/>
      <c r="HRD53" s="15"/>
      <c r="HRE53" s="15"/>
      <c r="HRF53" s="15"/>
      <c r="HRG53" s="15"/>
      <c r="HRH53" s="15"/>
      <c r="HRI53" s="15"/>
      <c r="HRJ53" s="15"/>
      <c r="HRK53" s="15"/>
      <c r="HRL53" s="15"/>
      <c r="HRM53" s="15"/>
      <c r="HRN53" s="15"/>
      <c r="HRO53" s="15"/>
      <c r="HRP53" s="15"/>
      <c r="HRQ53" s="15"/>
      <c r="HRR53" s="15"/>
      <c r="HRS53" s="15"/>
      <c r="HRT53" s="15"/>
      <c r="HRU53" s="15"/>
      <c r="HRV53" s="15"/>
      <c r="HRW53" s="15"/>
      <c r="HRX53" s="15"/>
      <c r="HRY53" s="15"/>
      <c r="HRZ53" s="15"/>
      <c r="HSA53" s="15"/>
      <c r="HSB53" s="15"/>
      <c r="HSC53" s="15"/>
      <c r="HSD53" s="15"/>
      <c r="HSE53" s="15"/>
      <c r="HSF53" s="15"/>
      <c r="HSG53" s="15"/>
      <c r="HSH53" s="15"/>
      <c r="HSI53" s="15"/>
      <c r="HSJ53" s="15"/>
      <c r="HSK53" s="15"/>
      <c r="HSL53" s="15"/>
      <c r="HSM53" s="15"/>
      <c r="HSN53" s="15"/>
      <c r="HSO53" s="15"/>
      <c r="HSP53" s="15"/>
      <c r="HSQ53" s="15"/>
      <c r="HSR53" s="15"/>
      <c r="HSS53" s="15"/>
      <c r="HST53" s="15"/>
      <c r="HSU53" s="15"/>
      <c r="HSV53" s="15"/>
      <c r="HSW53" s="15"/>
      <c r="HSX53" s="15"/>
      <c r="HSY53" s="15"/>
      <c r="HSZ53" s="15"/>
      <c r="HTA53" s="15"/>
      <c r="HTB53" s="15"/>
      <c r="HTC53" s="15"/>
      <c r="HTD53" s="15"/>
      <c r="HTE53" s="15"/>
      <c r="HTF53" s="15"/>
      <c r="HTG53" s="15"/>
      <c r="HTH53" s="15"/>
      <c r="HTI53" s="15"/>
      <c r="HTJ53" s="15"/>
      <c r="HTK53" s="15"/>
      <c r="HTL53" s="15"/>
      <c r="HTM53" s="15"/>
      <c r="HTN53" s="15"/>
      <c r="HTO53" s="15"/>
      <c r="HTP53" s="15"/>
      <c r="HTQ53" s="15"/>
      <c r="HTR53" s="15"/>
      <c r="HTS53" s="15"/>
      <c r="HTT53" s="15"/>
      <c r="HTU53" s="15"/>
      <c r="HTV53" s="15"/>
      <c r="HTW53" s="15"/>
      <c r="HTX53" s="15"/>
      <c r="HTY53" s="15"/>
      <c r="HTZ53" s="15"/>
      <c r="HUA53" s="15"/>
      <c r="HUB53" s="15"/>
      <c r="HUC53" s="15"/>
      <c r="HUD53" s="15"/>
      <c r="HUE53" s="15"/>
      <c r="HUF53" s="15"/>
      <c r="HUG53" s="15"/>
      <c r="HUH53" s="15"/>
      <c r="HUI53" s="15"/>
      <c r="HUJ53" s="15"/>
      <c r="HUK53" s="15"/>
      <c r="HUL53" s="15"/>
      <c r="HUM53" s="15"/>
      <c r="HUN53" s="15"/>
      <c r="HUO53" s="15"/>
      <c r="HUP53" s="15"/>
      <c r="HUQ53" s="15"/>
      <c r="HUR53" s="15"/>
      <c r="HUS53" s="15"/>
      <c r="HUT53" s="15"/>
      <c r="HUU53" s="15"/>
      <c r="HUV53" s="15"/>
      <c r="HUW53" s="15"/>
      <c r="HUX53" s="15"/>
      <c r="HUY53" s="15"/>
      <c r="HUZ53" s="15"/>
      <c r="HVA53" s="15"/>
      <c r="HVB53" s="15"/>
      <c r="HVC53" s="15"/>
      <c r="HVD53" s="15"/>
      <c r="HVE53" s="15"/>
      <c r="HVF53" s="15"/>
      <c r="HVG53" s="15"/>
      <c r="HVH53" s="15"/>
      <c r="HVI53" s="15"/>
      <c r="HVJ53" s="15"/>
      <c r="HVK53" s="15"/>
      <c r="HVL53" s="15"/>
      <c r="HVM53" s="15"/>
      <c r="HVN53" s="15"/>
      <c r="HVO53" s="15"/>
      <c r="HVP53" s="15"/>
      <c r="HVQ53" s="15"/>
      <c r="HVR53" s="15"/>
      <c r="HVS53" s="15"/>
      <c r="HVT53" s="15"/>
      <c r="HVU53" s="15"/>
      <c r="HVV53" s="15"/>
      <c r="HVW53" s="15"/>
      <c r="HVX53" s="15"/>
      <c r="HVY53" s="15"/>
      <c r="HVZ53" s="15"/>
      <c r="HWA53" s="15"/>
      <c r="HWB53" s="15"/>
      <c r="HWC53" s="15"/>
      <c r="HWD53" s="15"/>
      <c r="HWE53" s="15"/>
      <c r="HWF53" s="15"/>
      <c r="HWG53" s="15"/>
      <c r="HWH53" s="15"/>
      <c r="HWI53" s="15"/>
      <c r="HWJ53" s="15"/>
      <c r="HWK53" s="15"/>
      <c r="HWL53" s="15"/>
      <c r="HWM53" s="15"/>
      <c r="HWN53" s="15"/>
      <c r="HWO53" s="15"/>
      <c r="HWP53" s="15"/>
      <c r="HWQ53" s="15"/>
      <c r="HWR53" s="15"/>
      <c r="HWS53" s="15"/>
      <c r="HWT53" s="15"/>
      <c r="HWU53" s="15"/>
      <c r="HWV53" s="15"/>
      <c r="HWW53" s="15"/>
      <c r="HWX53" s="15"/>
      <c r="HWY53" s="15"/>
      <c r="HWZ53" s="15"/>
      <c r="HXA53" s="15"/>
      <c r="HXB53" s="15"/>
      <c r="HXC53" s="15"/>
      <c r="HXD53" s="15"/>
      <c r="HXE53" s="15"/>
      <c r="HXF53" s="15"/>
      <c r="HXG53" s="15"/>
      <c r="HXH53" s="15"/>
      <c r="HXI53" s="15"/>
      <c r="HXJ53" s="15"/>
      <c r="HXK53" s="15"/>
      <c r="HXL53" s="15"/>
      <c r="HXM53" s="15"/>
      <c r="HXN53" s="15"/>
      <c r="HXO53" s="15"/>
      <c r="HXP53" s="15"/>
      <c r="HXQ53" s="15"/>
      <c r="HXR53" s="15"/>
      <c r="HXS53" s="15"/>
      <c r="HXT53" s="15"/>
      <c r="HXU53" s="15"/>
      <c r="HXV53" s="15"/>
      <c r="HXW53" s="15"/>
      <c r="HXX53" s="15"/>
      <c r="HXY53" s="15"/>
      <c r="HXZ53" s="15"/>
      <c r="HYA53" s="15"/>
      <c r="HYB53" s="15"/>
      <c r="HYC53" s="15"/>
      <c r="HYD53" s="15"/>
      <c r="HYE53" s="15"/>
      <c r="HYF53" s="15"/>
      <c r="HYG53" s="15"/>
      <c r="HYH53" s="15"/>
      <c r="HYI53" s="15"/>
      <c r="HYJ53" s="15"/>
      <c r="HYK53" s="15"/>
      <c r="HYL53" s="15"/>
      <c r="HYM53" s="15"/>
      <c r="HYN53" s="15"/>
      <c r="HYO53" s="15"/>
      <c r="HYP53" s="15"/>
      <c r="HYQ53" s="15"/>
      <c r="HYR53" s="15"/>
      <c r="HYS53" s="15"/>
      <c r="HYT53" s="15"/>
      <c r="HYU53" s="15"/>
      <c r="HYV53" s="15"/>
      <c r="HYW53" s="15"/>
      <c r="HYX53" s="15"/>
      <c r="HYY53" s="15"/>
      <c r="HYZ53" s="15"/>
      <c r="HZA53" s="15"/>
      <c r="HZB53" s="15"/>
      <c r="HZC53" s="15"/>
      <c r="HZD53" s="15"/>
      <c r="HZE53" s="15"/>
      <c r="HZF53" s="15"/>
      <c r="HZG53" s="15"/>
      <c r="HZH53" s="15"/>
      <c r="HZI53" s="15"/>
      <c r="HZJ53" s="15"/>
      <c r="HZK53" s="15"/>
      <c r="HZL53" s="15"/>
      <c r="HZM53" s="15"/>
      <c r="HZN53" s="15"/>
      <c r="HZO53" s="15"/>
      <c r="HZP53" s="15"/>
      <c r="HZQ53" s="15"/>
      <c r="HZR53" s="15"/>
      <c r="HZS53" s="15"/>
      <c r="HZT53" s="15"/>
      <c r="HZU53" s="15"/>
      <c r="HZV53" s="15"/>
      <c r="HZW53" s="15"/>
      <c r="HZX53" s="15"/>
      <c r="HZY53" s="15"/>
      <c r="HZZ53" s="15"/>
      <c r="IAA53" s="15"/>
      <c r="IAB53" s="15"/>
      <c r="IAC53" s="15"/>
      <c r="IAD53" s="15"/>
      <c r="IAE53" s="15"/>
      <c r="IAF53" s="15"/>
      <c r="IAG53" s="15"/>
      <c r="IAH53" s="15"/>
      <c r="IAI53" s="15"/>
      <c r="IAJ53" s="15"/>
      <c r="IAK53" s="15"/>
      <c r="IAL53" s="15"/>
      <c r="IAM53" s="15"/>
      <c r="IAN53" s="15"/>
      <c r="IAO53" s="15"/>
      <c r="IAP53" s="15"/>
      <c r="IAQ53" s="15"/>
      <c r="IAR53" s="15"/>
      <c r="IAS53" s="15"/>
      <c r="IAT53" s="15"/>
      <c r="IAU53" s="15"/>
      <c r="IAV53" s="15"/>
      <c r="IAW53" s="15"/>
      <c r="IAX53" s="15"/>
      <c r="IAY53" s="15"/>
      <c r="IAZ53" s="15"/>
      <c r="IBA53" s="15"/>
      <c r="IBB53" s="15"/>
      <c r="IBC53" s="15"/>
      <c r="IBD53" s="15"/>
      <c r="IBE53" s="15"/>
      <c r="IBF53" s="15"/>
      <c r="IBG53" s="15"/>
      <c r="IBH53" s="15"/>
      <c r="IBI53" s="15"/>
      <c r="IBJ53" s="15"/>
      <c r="IBK53" s="15"/>
      <c r="IBL53" s="15"/>
      <c r="IBM53" s="15"/>
      <c r="IBN53" s="15"/>
      <c r="IBO53" s="15"/>
      <c r="IBP53" s="15"/>
      <c r="IBQ53" s="15"/>
      <c r="IBR53" s="15"/>
      <c r="IBS53" s="15"/>
      <c r="IBT53" s="15"/>
      <c r="IBU53" s="15"/>
      <c r="IBV53" s="15"/>
      <c r="IBW53" s="15"/>
      <c r="IBX53" s="15"/>
      <c r="IBY53" s="15"/>
      <c r="IBZ53" s="15"/>
      <c r="ICA53" s="15"/>
      <c r="ICB53" s="15"/>
      <c r="ICC53" s="15"/>
      <c r="ICD53" s="15"/>
      <c r="ICE53" s="15"/>
      <c r="ICF53" s="15"/>
      <c r="ICG53" s="15"/>
      <c r="ICH53" s="15"/>
      <c r="ICI53" s="15"/>
      <c r="ICJ53" s="15"/>
      <c r="ICK53" s="15"/>
      <c r="ICL53" s="15"/>
      <c r="ICM53" s="15"/>
      <c r="ICN53" s="15"/>
      <c r="ICO53" s="15"/>
      <c r="ICP53" s="15"/>
      <c r="ICQ53" s="15"/>
      <c r="ICR53" s="15"/>
      <c r="ICS53" s="15"/>
      <c r="ICT53" s="15"/>
      <c r="ICU53" s="15"/>
      <c r="ICV53" s="15"/>
      <c r="ICW53" s="15"/>
      <c r="ICX53" s="15"/>
      <c r="ICY53" s="15"/>
      <c r="ICZ53" s="15"/>
      <c r="IDA53" s="15"/>
      <c r="IDB53" s="15"/>
      <c r="IDC53" s="15"/>
      <c r="IDD53" s="15"/>
      <c r="IDE53" s="15"/>
      <c r="IDF53" s="15"/>
      <c r="IDG53" s="15"/>
      <c r="IDH53" s="15"/>
      <c r="IDI53" s="15"/>
      <c r="IDJ53" s="15"/>
      <c r="IDK53" s="15"/>
      <c r="IDL53" s="15"/>
      <c r="IDM53" s="15"/>
      <c r="IDN53" s="15"/>
      <c r="IDO53" s="15"/>
      <c r="IDP53" s="15"/>
      <c r="IDQ53" s="15"/>
      <c r="IDR53" s="15"/>
      <c r="IDS53" s="15"/>
      <c r="IDT53" s="15"/>
      <c r="IDU53" s="15"/>
      <c r="IDV53" s="15"/>
      <c r="IDW53" s="15"/>
      <c r="IDX53" s="15"/>
      <c r="IDY53" s="15"/>
      <c r="IDZ53" s="15"/>
      <c r="IEA53" s="15"/>
      <c r="IEB53" s="15"/>
      <c r="IEC53" s="15"/>
      <c r="IED53" s="15"/>
      <c r="IEE53" s="15"/>
      <c r="IEF53" s="15"/>
      <c r="IEG53" s="15"/>
      <c r="IEH53" s="15"/>
      <c r="IEI53" s="15"/>
      <c r="IEJ53" s="15"/>
      <c r="IEK53" s="15"/>
      <c r="IEL53" s="15"/>
      <c r="IEM53" s="15"/>
      <c r="IEN53" s="15"/>
      <c r="IEO53" s="15"/>
      <c r="IEP53" s="15"/>
      <c r="IEQ53" s="15"/>
      <c r="IER53" s="15"/>
      <c r="IES53" s="15"/>
      <c r="IET53" s="15"/>
      <c r="IEU53" s="15"/>
      <c r="IEV53" s="15"/>
      <c r="IEW53" s="15"/>
      <c r="IEX53" s="15"/>
      <c r="IEY53" s="15"/>
      <c r="IEZ53" s="15"/>
      <c r="IFA53" s="15"/>
      <c r="IFB53" s="15"/>
      <c r="IFC53" s="15"/>
      <c r="IFD53" s="15"/>
      <c r="IFE53" s="15"/>
      <c r="IFF53" s="15"/>
      <c r="IFG53" s="15"/>
      <c r="IFH53" s="15"/>
      <c r="IFI53" s="15"/>
      <c r="IFJ53" s="15"/>
      <c r="IFK53" s="15"/>
      <c r="IFL53" s="15"/>
      <c r="IFM53" s="15"/>
      <c r="IFN53" s="15"/>
      <c r="IFO53" s="15"/>
      <c r="IFP53" s="15"/>
      <c r="IFQ53" s="15"/>
      <c r="IFR53" s="15"/>
      <c r="IFS53" s="15"/>
      <c r="IFT53" s="15"/>
      <c r="IFU53" s="15"/>
      <c r="IFV53" s="15"/>
      <c r="IFW53" s="15"/>
      <c r="IFX53" s="15"/>
      <c r="IFY53" s="15"/>
      <c r="IFZ53" s="15"/>
      <c r="IGA53" s="15"/>
      <c r="IGB53" s="15"/>
      <c r="IGC53" s="15"/>
      <c r="IGD53" s="15"/>
      <c r="IGE53" s="15"/>
      <c r="IGF53" s="15"/>
      <c r="IGG53" s="15"/>
      <c r="IGH53" s="15"/>
      <c r="IGI53" s="15"/>
      <c r="IGJ53" s="15"/>
      <c r="IGK53" s="15"/>
      <c r="IGL53" s="15"/>
      <c r="IGM53" s="15"/>
      <c r="IGN53" s="15"/>
      <c r="IGO53" s="15"/>
      <c r="IGP53" s="15"/>
      <c r="IGQ53" s="15"/>
      <c r="IGR53" s="15"/>
      <c r="IGS53" s="15"/>
      <c r="IGT53" s="15"/>
      <c r="IGU53" s="15"/>
      <c r="IGV53" s="15"/>
      <c r="IGW53" s="15"/>
      <c r="IGX53" s="15"/>
      <c r="IGY53" s="15"/>
      <c r="IGZ53" s="15"/>
      <c r="IHA53" s="15"/>
      <c r="IHB53" s="15"/>
      <c r="IHC53" s="15"/>
      <c r="IHD53" s="15"/>
      <c r="IHE53" s="15"/>
      <c r="IHF53" s="15"/>
      <c r="IHG53" s="15"/>
      <c r="IHH53" s="15"/>
      <c r="IHI53" s="15"/>
      <c r="IHJ53" s="15"/>
      <c r="IHK53" s="15"/>
      <c r="IHL53" s="15"/>
      <c r="IHM53" s="15"/>
      <c r="IHN53" s="15"/>
      <c r="IHO53" s="15"/>
      <c r="IHP53" s="15"/>
      <c r="IHQ53" s="15"/>
      <c r="IHR53" s="15"/>
      <c r="IHS53" s="15"/>
      <c r="IHT53" s="15"/>
      <c r="IHU53" s="15"/>
      <c r="IHV53" s="15"/>
      <c r="IHW53" s="15"/>
      <c r="IHX53" s="15"/>
      <c r="IHY53" s="15"/>
      <c r="IHZ53" s="15"/>
      <c r="IIA53" s="15"/>
      <c r="IIB53" s="15"/>
      <c r="IIC53" s="15"/>
      <c r="IID53" s="15"/>
      <c r="IIE53" s="15"/>
      <c r="IIF53" s="15"/>
      <c r="IIG53" s="15"/>
      <c r="IIH53" s="15"/>
      <c r="III53" s="15"/>
      <c r="IIJ53" s="15"/>
      <c r="IIK53" s="15"/>
      <c r="IIL53" s="15"/>
      <c r="IIM53" s="15"/>
      <c r="IIN53" s="15"/>
      <c r="IIO53" s="15"/>
      <c r="IIP53" s="15"/>
      <c r="IIQ53" s="15"/>
      <c r="IIR53" s="15"/>
      <c r="IIS53" s="15"/>
      <c r="IIT53" s="15"/>
      <c r="IIU53" s="15"/>
      <c r="IIV53" s="15"/>
      <c r="IIW53" s="15"/>
      <c r="IIX53" s="15"/>
      <c r="IIY53" s="15"/>
      <c r="IIZ53" s="15"/>
      <c r="IJA53" s="15"/>
      <c r="IJB53" s="15"/>
      <c r="IJC53" s="15"/>
      <c r="IJD53" s="15"/>
      <c r="IJE53" s="15"/>
      <c r="IJF53" s="15"/>
      <c r="IJG53" s="15"/>
      <c r="IJH53" s="15"/>
      <c r="IJI53" s="15"/>
      <c r="IJJ53" s="15"/>
      <c r="IJK53" s="15"/>
      <c r="IJL53" s="15"/>
      <c r="IJM53" s="15"/>
      <c r="IJN53" s="15"/>
      <c r="IJO53" s="15"/>
      <c r="IJP53" s="15"/>
      <c r="IJQ53" s="15"/>
      <c r="IJR53" s="15"/>
      <c r="IJS53" s="15"/>
      <c r="IJT53" s="15"/>
      <c r="IJU53" s="15"/>
      <c r="IJV53" s="15"/>
      <c r="IJW53" s="15"/>
      <c r="IJX53" s="15"/>
      <c r="IJY53" s="15"/>
      <c r="IJZ53" s="15"/>
      <c r="IKA53" s="15"/>
      <c r="IKB53" s="15"/>
      <c r="IKC53" s="15"/>
      <c r="IKD53" s="15"/>
      <c r="IKE53" s="15"/>
      <c r="IKF53" s="15"/>
      <c r="IKG53" s="15"/>
      <c r="IKH53" s="15"/>
      <c r="IKI53" s="15"/>
      <c r="IKJ53" s="15"/>
      <c r="IKK53" s="15"/>
      <c r="IKL53" s="15"/>
      <c r="IKM53" s="15"/>
      <c r="IKN53" s="15"/>
      <c r="IKO53" s="15"/>
      <c r="IKP53" s="15"/>
      <c r="IKQ53" s="15"/>
      <c r="IKR53" s="15"/>
      <c r="IKS53" s="15"/>
      <c r="IKT53" s="15"/>
      <c r="IKU53" s="15"/>
      <c r="IKV53" s="15"/>
      <c r="IKW53" s="15"/>
      <c r="IKX53" s="15"/>
      <c r="IKY53" s="15"/>
      <c r="IKZ53" s="15"/>
      <c r="ILA53" s="15"/>
      <c r="ILB53" s="15"/>
      <c r="ILC53" s="15"/>
      <c r="ILD53" s="15"/>
      <c r="ILE53" s="15"/>
      <c r="ILF53" s="15"/>
      <c r="ILG53" s="15"/>
      <c r="ILH53" s="15"/>
      <c r="ILI53" s="15"/>
      <c r="ILJ53" s="15"/>
      <c r="ILK53" s="15"/>
      <c r="ILL53" s="15"/>
      <c r="ILM53" s="15"/>
      <c r="ILN53" s="15"/>
      <c r="ILO53" s="15"/>
      <c r="ILP53" s="15"/>
      <c r="ILQ53" s="15"/>
      <c r="ILR53" s="15"/>
      <c r="ILS53" s="15"/>
      <c r="ILT53" s="15"/>
      <c r="ILU53" s="15"/>
      <c r="ILV53" s="15"/>
      <c r="ILW53" s="15"/>
      <c r="ILX53" s="15"/>
      <c r="ILY53" s="15"/>
      <c r="ILZ53" s="15"/>
      <c r="IMA53" s="15"/>
      <c r="IMB53" s="15"/>
      <c r="IMC53" s="15"/>
      <c r="IMD53" s="15"/>
      <c r="IME53" s="15"/>
      <c r="IMF53" s="15"/>
      <c r="IMG53" s="15"/>
      <c r="IMH53" s="15"/>
      <c r="IMI53" s="15"/>
      <c r="IMJ53" s="15"/>
      <c r="IMK53" s="15"/>
      <c r="IML53" s="15"/>
      <c r="IMM53" s="15"/>
      <c r="IMN53" s="15"/>
      <c r="IMO53" s="15"/>
      <c r="IMP53" s="15"/>
      <c r="IMQ53" s="15"/>
      <c r="IMR53" s="15"/>
      <c r="IMS53" s="15"/>
      <c r="IMT53" s="15"/>
      <c r="IMU53" s="15"/>
      <c r="IMV53" s="15"/>
      <c r="IMW53" s="15"/>
      <c r="IMX53" s="15"/>
      <c r="IMY53" s="15"/>
      <c r="IMZ53" s="15"/>
      <c r="INA53" s="15"/>
      <c r="INB53" s="15"/>
      <c r="INC53" s="15"/>
      <c r="IND53" s="15"/>
      <c r="INE53" s="15"/>
      <c r="INF53" s="15"/>
      <c r="ING53" s="15"/>
      <c r="INH53" s="15"/>
      <c r="INI53" s="15"/>
      <c r="INJ53" s="15"/>
      <c r="INK53" s="15"/>
      <c r="INL53" s="15"/>
      <c r="INM53" s="15"/>
      <c r="INN53" s="15"/>
      <c r="INO53" s="15"/>
      <c r="INP53" s="15"/>
      <c r="INQ53" s="15"/>
      <c r="INR53" s="15"/>
      <c r="INS53" s="15"/>
      <c r="INT53" s="15"/>
      <c r="INU53" s="15"/>
      <c r="INV53" s="15"/>
      <c r="INW53" s="15"/>
      <c r="INX53" s="15"/>
      <c r="INY53" s="15"/>
      <c r="INZ53" s="15"/>
      <c r="IOA53" s="15"/>
      <c r="IOB53" s="15"/>
      <c r="IOC53" s="15"/>
      <c r="IOD53" s="15"/>
      <c r="IOE53" s="15"/>
      <c r="IOF53" s="15"/>
      <c r="IOG53" s="15"/>
      <c r="IOH53" s="15"/>
      <c r="IOI53" s="15"/>
      <c r="IOJ53" s="15"/>
      <c r="IOK53" s="15"/>
      <c r="IOL53" s="15"/>
      <c r="IOM53" s="15"/>
      <c r="ION53" s="15"/>
      <c r="IOO53" s="15"/>
      <c r="IOP53" s="15"/>
      <c r="IOQ53" s="15"/>
      <c r="IOR53" s="15"/>
      <c r="IOS53" s="15"/>
      <c r="IOT53" s="15"/>
      <c r="IOU53" s="15"/>
      <c r="IOV53" s="15"/>
      <c r="IOW53" s="15"/>
      <c r="IOX53" s="15"/>
      <c r="IOY53" s="15"/>
      <c r="IOZ53" s="15"/>
      <c r="IPA53" s="15"/>
      <c r="IPB53" s="15"/>
      <c r="IPC53" s="15"/>
      <c r="IPD53" s="15"/>
      <c r="IPE53" s="15"/>
      <c r="IPF53" s="15"/>
      <c r="IPG53" s="15"/>
      <c r="IPH53" s="15"/>
      <c r="IPI53" s="15"/>
      <c r="IPJ53" s="15"/>
      <c r="IPK53" s="15"/>
      <c r="IPL53" s="15"/>
      <c r="IPM53" s="15"/>
      <c r="IPN53" s="15"/>
      <c r="IPO53" s="15"/>
      <c r="IPP53" s="15"/>
      <c r="IPQ53" s="15"/>
      <c r="IPR53" s="15"/>
      <c r="IPS53" s="15"/>
      <c r="IPT53" s="15"/>
      <c r="IPU53" s="15"/>
      <c r="IPV53" s="15"/>
      <c r="IPW53" s="15"/>
      <c r="IPX53" s="15"/>
      <c r="IPY53" s="15"/>
      <c r="IPZ53" s="15"/>
      <c r="IQA53" s="15"/>
      <c r="IQB53" s="15"/>
      <c r="IQC53" s="15"/>
      <c r="IQD53" s="15"/>
      <c r="IQE53" s="15"/>
      <c r="IQF53" s="15"/>
      <c r="IQG53" s="15"/>
      <c r="IQH53" s="15"/>
      <c r="IQI53" s="15"/>
      <c r="IQJ53" s="15"/>
      <c r="IQK53" s="15"/>
      <c r="IQL53" s="15"/>
      <c r="IQM53" s="15"/>
      <c r="IQN53" s="15"/>
      <c r="IQO53" s="15"/>
      <c r="IQP53" s="15"/>
      <c r="IQQ53" s="15"/>
      <c r="IQR53" s="15"/>
      <c r="IQS53" s="15"/>
      <c r="IQT53" s="15"/>
      <c r="IQU53" s="15"/>
      <c r="IQV53" s="15"/>
      <c r="IQW53" s="15"/>
      <c r="IQX53" s="15"/>
      <c r="IQY53" s="15"/>
      <c r="IQZ53" s="15"/>
      <c r="IRA53" s="15"/>
      <c r="IRB53" s="15"/>
      <c r="IRC53" s="15"/>
      <c r="IRD53" s="15"/>
      <c r="IRE53" s="15"/>
      <c r="IRF53" s="15"/>
      <c r="IRG53" s="15"/>
      <c r="IRH53" s="15"/>
      <c r="IRI53" s="15"/>
      <c r="IRJ53" s="15"/>
      <c r="IRK53" s="15"/>
      <c r="IRL53" s="15"/>
      <c r="IRM53" s="15"/>
      <c r="IRN53" s="15"/>
      <c r="IRO53" s="15"/>
      <c r="IRP53" s="15"/>
      <c r="IRQ53" s="15"/>
      <c r="IRR53" s="15"/>
      <c r="IRS53" s="15"/>
      <c r="IRT53" s="15"/>
      <c r="IRU53" s="15"/>
      <c r="IRV53" s="15"/>
      <c r="IRW53" s="15"/>
      <c r="IRX53" s="15"/>
      <c r="IRY53" s="15"/>
      <c r="IRZ53" s="15"/>
      <c r="ISA53" s="15"/>
      <c r="ISB53" s="15"/>
      <c r="ISC53" s="15"/>
      <c r="ISD53" s="15"/>
      <c r="ISE53" s="15"/>
      <c r="ISF53" s="15"/>
      <c r="ISG53" s="15"/>
      <c r="ISH53" s="15"/>
      <c r="ISI53" s="15"/>
      <c r="ISJ53" s="15"/>
      <c r="ISK53" s="15"/>
      <c r="ISL53" s="15"/>
      <c r="ISM53" s="15"/>
      <c r="ISN53" s="15"/>
      <c r="ISO53" s="15"/>
      <c r="ISP53" s="15"/>
      <c r="ISQ53" s="15"/>
      <c r="ISR53" s="15"/>
      <c r="ISS53" s="15"/>
      <c r="IST53" s="15"/>
      <c r="ISU53" s="15"/>
      <c r="ISV53" s="15"/>
      <c r="ISW53" s="15"/>
      <c r="ISX53" s="15"/>
      <c r="ISY53" s="15"/>
      <c r="ISZ53" s="15"/>
      <c r="ITA53" s="15"/>
      <c r="ITB53" s="15"/>
      <c r="ITC53" s="15"/>
      <c r="ITD53" s="15"/>
      <c r="ITE53" s="15"/>
      <c r="ITF53" s="15"/>
      <c r="ITG53" s="15"/>
      <c r="ITH53" s="15"/>
      <c r="ITI53" s="15"/>
      <c r="ITJ53" s="15"/>
      <c r="ITK53" s="15"/>
      <c r="ITL53" s="15"/>
      <c r="ITM53" s="15"/>
      <c r="ITN53" s="15"/>
      <c r="ITO53" s="15"/>
      <c r="ITP53" s="15"/>
      <c r="ITQ53" s="15"/>
      <c r="ITR53" s="15"/>
      <c r="ITS53" s="15"/>
      <c r="ITT53" s="15"/>
      <c r="ITU53" s="15"/>
      <c r="ITV53" s="15"/>
      <c r="ITW53" s="15"/>
      <c r="ITX53" s="15"/>
      <c r="ITY53" s="15"/>
      <c r="ITZ53" s="15"/>
      <c r="IUA53" s="15"/>
      <c r="IUB53" s="15"/>
      <c r="IUC53" s="15"/>
      <c r="IUD53" s="15"/>
      <c r="IUE53" s="15"/>
      <c r="IUF53" s="15"/>
      <c r="IUG53" s="15"/>
      <c r="IUH53" s="15"/>
      <c r="IUI53" s="15"/>
      <c r="IUJ53" s="15"/>
      <c r="IUK53" s="15"/>
      <c r="IUL53" s="15"/>
      <c r="IUM53" s="15"/>
      <c r="IUN53" s="15"/>
      <c r="IUO53" s="15"/>
      <c r="IUP53" s="15"/>
      <c r="IUQ53" s="15"/>
      <c r="IUR53" s="15"/>
      <c r="IUS53" s="15"/>
      <c r="IUT53" s="15"/>
      <c r="IUU53" s="15"/>
      <c r="IUV53" s="15"/>
      <c r="IUW53" s="15"/>
      <c r="IUX53" s="15"/>
      <c r="IUY53" s="15"/>
      <c r="IUZ53" s="15"/>
      <c r="IVA53" s="15"/>
      <c r="IVB53" s="15"/>
      <c r="IVC53" s="15"/>
      <c r="IVD53" s="15"/>
      <c r="IVE53" s="15"/>
      <c r="IVF53" s="15"/>
      <c r="IVG53" s="15"/>
      <c r="IVH53" s="15"/>
      <c r="IVI53" s="15"/>
      <c r="IVJ53" s="15"/>
      <c r="IVK53" s="15"/>
      <c r="IVL53" s="15"/>
      <c r="IVM53" s="15"/>
      <c r="IVN53" s="15"/>
      <c r="IVO53" s="15"/>
      <c r="IVP53" s="15"/>
      <c r="IVQ53" s="15"/>
      <c r="IVR53" s="15"/>
      <c r="IVS53" s="15"/>
      <c r="IVT53" s="15"/>
      <c r="IVU53" s="15"/>
      <c r="IVV53" s="15"/>
      <c r="IVW53" s="15"/>
      <c r="IVX53" s="15"/>
      <c r="IVY53" s="15"/>
      <c r="IVZ53" s="15"/>
      <c r="IWA53" s="15"/>
      <c r="IWB53" s="15"/>
      <c r="IWC53" s="15"/>
      <c r="IWD53" s="15"/>
      <c r="IWE53" s="15"/>
      <c r="IWF53" s="15"/>
      <c r="IWG53" s="15"/>
      <c r="IWH53" s="15"/>
      <c r="IWI53" s="15"/>
      <c r="IWJ53" s="15"/>
      <c r="IWK53" s="15"/>
      <c r="IWL53" s="15"/>
      <c r="IWM53" s="15"/>
      <c r="IWN53" s="15"/>
      <c r="IWO53" s="15"/>
      <c r="IWP53" s="15"/>
      <c r="IWQ53" s="15"/>
      <c r="IWR53" s="15"/>
      <c r="IWS53" s="15"/>
      <c r="IWT53" s="15"/>
      <c r="IWU53" s="15"/>
      <c r="IWV53" s="15"/>
      <c r="IWW53" s="15"/>
      <c r="IWX53" s="15"/>
      <c r="IWY53" s="15"/>
      <c r="IWZ53" s="15"/>
      <c r="IXA53" s="15"/>
      <c r="IXB53" s="15"/>
      <c r="IXC53" s="15"/>
      <c r="IXD53" s="15"/>
      <c r="IXE53" s="15"/>
      <c r="IXF53" s="15"/>
      <c r="IXG53" s="15"/>
      <c r="IXH53" s="15"/>
      <c r="IXI53" s="15"/>
      <c r="IXJ53" s="15"/>
      <c r="IXK53" s="15"/>
      <c r="IXL53" s="15"/>
      <c r="IXM53" s="15"/>
      <c r="IXN53" s="15"/>
      <c r="IXO53" s="15"/>
      <c r="IXP53" s="15"/>
      <c r="IXQ53" s="15"/>
      <c r="IXR53" s="15"/>
      <c r="IXS53" s="15"/>
      <c r="IXT53" s="15"/>
      <c r="IXU53" s="15"/>
      <c r="IXV53" s="15"/>
      <c r="IXW53" s="15"/>
      <c r="IXX53" s="15"/>
      <c r="IXY53" s="15"/>
      <c r="IXZ53" s="15"/>
      <c r="IYA53" s="15"/>
      <c r="IYB53" s="15"/>
      <c r="IYC53" s="15"/>
      <c r="IYD53" s="15"/>
      <c r="IYE53" s="15"/>
      <c r="IYF53" s="15"/>
      <c r="IYG53" s="15"/>
      <c r="IYH53" s="15"/>
      <c r="IYI53" s="15"/>
      <c r="IYJ53" s="15"/>
      <c r="IYK53" s="15"/>
      <c r="IYL53" s="15"/>
      <c r="IYM53" s="15"/>
      <c r="IYN53" s="15"/>
      <c r="IYO53" s="15"/>
      <c r="IYP53" s="15"/>
      <c r="IYQ53" s="15"/>
      <c r="IYR53" s="15"/>
      <c r="IYS53" s="15"/>
      <c r="IYT53" s="15"/>
      <c r="IYU53" s="15"/>
      <c r="IYV53" s="15"/>
      <c r="IYW53" s="15"/>
      <c r="IYX53" s="15"/>
      <c r="IYY53" s="15"/>
      <c r="IYZ53" s="15"/>
      <c r="IZA53" s="15"/>
      <c r="IZB53" s="15"/>
      <c r="IZC53" s="15"/>
      <c r="IZD53" s="15"/>
      <c r="IZE53" s="15"/>
      <c r="IZF53" s="15"/>
      <c r="IZG53" s="15"/>
      <c r="IZH53" s="15"/>
      <c r="IZI53" s="15"/>
      <c r="IZJ53" s="15"/>
      <c r="IZK53" s="15"/>
      <c r="IZL53" s="15"/>
      <c r="IZM53" s="15"/>
      <c r="IZN53" s="15"/>
      <c r="IZO53" s="15"/>
      <c r="IZP53" s="15"/>
      <c r="IZQ53" s="15"/>
      <c r="IZR53" s="15"/>
      <c r="IZS53" s="15"/>
      <c r="IZT53" s="15"/>
      <c r="IZU53" s="15"/>
      <c r="IZV53" s="15"/>
      <c r="IZW53" s="15"/>
      <c r="IZX53" s="15"/>
      <c r="IZY53" s="15"/>
      <c r="IZZ53" s="15"/>
      <c r="JAA53" s="15"/>
      <c r="JAB53" s="15"/>
      <c r="JAC53" s="15"/>
      <c r="JAD53" s="15"/>
      <c r="JAE53" s="15"/>
      <c r="JAF53" s="15"/>
      <c r="JAG53" s="15"/>
      <c r="JAH53" s="15"/>
      <c r="JAI53" s="15"/>
      <c r="JAJ53" s="15"/>
      <c r="JAK53" s="15"/>
      <c r="JAL53" s="15"/>
      <c r="JAM53" s="15"/>
      <c r="JAN53" s="15"/>
      <c r="JAO53" s="15"/>
      <c r="JAP53" s="15"/>
      <c r="JAQ53" s="15"/>
      <c r="JAR53" s="15"/>
      <c r="JAS53" s="15"/>
      <c r="JAT53" s="15"/>
      <c r="JAU53" s="15"/>
      <c r="JAV53" s="15"/>
      <c r="JAW53" s="15"/>
      <c r="JAX53" s="15"/>
      <c r="JAY53" s="15"/>
      <c r="JAZ53" s="15"/>
      <c r="JBA53" s="15"/>
      <c r="JBB53" s="15"/>
      <c r="JBC53" s="15"/>
      <c r="JBD53" s="15"/>
      <c r="JBE53" s="15"/>
      <c r="JBF53" s="15"/>
      <c r="JBG53" s="15"/>
      <c r="JBH53" s="15"/>
      <c r="JBI53" s="15"/>
      <c r="JBJ53" s="15"/>
      <c r="JBK53" s="15"/>
      <c r="JBL53" s="15"/>
      <c r="JBM53" s="15"/>
      <c r="JBN53" s="15"/>
      <c r="JBO53" s="15"/>
      <c r="JBP53" s="15"/>
      <c r="JBQ53" s="15"/>
      <c r="JBR53" s="15"/>
      <c r="JBS53" s="15"/>
      <c r="JBT53" s="15"/>
      <c r="JBU53" s="15"/>
      <c r="JBV53" s="15"/>
      <c r="JBW53" s="15"/>
      <c r="JBX53" s="15"/>
      <c r="JBY53" s="15"/>
      <c r="JBZ53" s="15"/>
      <c r="JCA53" s="15"/>
      <c r="JCB53" s="15"/>
      <c r="JCC53" s="15"/>
      <c r="JCD53" s="15"/>
      <c r="JCE53" s="15"/>
      <c r="JCF53" s="15"/>
      <c r="JCG53" s="15"/>
      <c r="JCH53" s="15"/>
      <c r="JCI53" s="15"/>
      <c r="JCJ53" s="15"/>
      <c r="JCK53" s="15"/>
      <c r="JCL53" s="15"/>
      <c r="JCM53" s="15"/>
      <c r="JCN53" s="15"/>
      <c r="JCO53" s="15"/>
      <c r="JCP53" s="15"/>
      <c r="JCQ53" s="15"/>
      <c r="JCR53" s="15"/>
      <c r="JCS53" s="15"/>
      <c r="JCT53" s="15"/>
      <c r="JCU53" s="15"/>
      <c r="JCV53" s="15"/>
      <c r="JCW53" s="15"/>
      <c r="JCX53" s="15"/>
      <c r="JCY53" s="15"/>
      <c r="JCZ53" s="15"/>
      <c r="JDA53" s="15"/>
      <c r="JDB53" s="15"/>
      <c r="JDC53" s="15"/>
      <c r="JDD53" s="15"/>
      <c r="JDE53" s="15"/>
      <c r="JDF53" s="15"/>
      <c r="JDG53" s="15"/>
      <c r="JDH53" s="15"/>
      <c r="JDI53" s="15"/>
      <c r="JDJ53" s="15"/>
      <c r="JDK53" s="15"/>
      <c r="JDL53" s="15"/>
      <c r="JDM53" s="15"/>
      <c r="JDN53" s="15"/>
      <c r="JDO53" s="15"/>
      <c r="JDP53" s="15"/>
      <c r="JDQ53" s="15"/>
      <c r="JDR53" s="15"/>
      <c r="JDS53" s="15"/>
      <c r="JDT53" s="15"/>
      <c r="JDU53" s="15"/>
      <c r="JDV53" s="15"/>
      <c r="JDW53" s="15"/>
      <c r="JDX53" s="15"/>
      <c r="JDY53" s="15"/>
      <c r="JDZ53" s="15"/>
      <c r="JEA53" s="15"/>
      <c r="JEB53" s="15"/>
      <c r="JEC53" s="15"/>
      <c r="JED53" s="15"/>
      <c r="JEE53" s="15"/>
      <c r="JEF53" s="15"/>
      <c r="JEG53" s="15"/>
      <c r="JEH53" s="15"/>
      <c r="JEI53" s="15"/>
      <c r="JEJ53" s="15"/>
      <c r="JEK53" s="15"/>
      <c r="JEL53" s="15"/>
      <c r="JEM53" s="15"/>
      <c r="JEN53" s="15"/>
      <c r="JEO53" s="15"/>
      <c r="JEP53" s="15"/>
      <c r="JEQ53" s="15"/>
      <c r="JER53" s="15"/>
      <c r="JES53" s="15"/>
      <c r="JET53" s="15"/>
      <c r="JEU53" s="15"/>
      <c r="JEV53" s="15"/>
      <c r="JEW53" s="15"/>
      <c r="JEX53" s="15"/>
      <c r="JEY53" s="15"/>
      <c r="JEZ53" s="15"/>
      <c r="JFA53" s="15"/>
      <c r="JFB53" s="15"/>
      <c r="JFC53" s="15"/>
      <c r="JFD53" s="15"/>
      <c r="JFE53" s="15"/>
      <c r="JFF53" s="15"/>
      <c r="JFG53" s="15"/>
      <c r="JFH53" s="15"/>
      <c r="JFI53" s="15"/>
      <c r="JFJ53" s="15"/>
      <c r="JFK53" s="15"/>
      <c r="JFL53" s="15"/>
      <c r="JFM53" s="15"/>
      <c r="JFN53" s="15"/>
      <c r="JFO53" s="15"/>
      <c r="JFP53" s="15"/>
      <c r="JFQ53" s="15"/>
      <c r="JFR53" s="15"/>
      <c r="JFS53" s="15"/>
      <c r="JFT53" s="15"/>
      <c r="JFU53" s="15"/>
      <c r="JFV53" s="15"/>
      <c r="JFW53" s="15"/>
      <c r="JFX53" s="15"/>
      <c r="JFY53" s="15"/>
      <c r="JFZ53" s="15"/>
      <c r="JGA53" s="15"/>
      <c r="JGB53" s="15"/>
      <c r="JGC53" s="15"/>
      <c r="JGD53" s="15"/>
      <c r="JGE53" s="15"/>
      <c r="JGF53" s="15"/>
      <c r="JGG53" s="15"/>
      <c r="JGH53" s="15"/>
      <c r="JGI53" s="15"/>
      <c r="JGJ53" s="15"/>
      <c r="JGK53" s="15"/>
      <c r="JGL53" s="15"/>
      <c r="JGM53" s="15"/>
      <c r="JGN53" s="15"/>
      <c r="JGO53" s="15"/>
      <c r="JGP53" s="15"/>
      <c r="JGQ53" s="15"/>
      <c r="JGR53" s="15"/>
      <c r="JGS53" s="15"/>
      <c r="JGT53" s="15"/>
      <c r="JGU53" s="15"/>
      <c r="JGV53" s="15"/>
      <c r="JGW53" s="15"/>
      <c r="JGX53" s="15"/>
      <c r="JGY53" s="15"/>
      <c r="JGZ53" s="15"/>
      <c r="JHA53" s="15"/>
      <c r="JHB53" s="15"/>
      <c r="JHC53" s="15"/>
      <c r="JHD53" s="15"/>
      <c r="JHE53" s="15"/>
      <c r="JHF53" s="15"/>
      <c r="JHG53" s="15"/>
      <c r="JHH53" s="15"/>
      <c r="JHI53" s="15"/>
      <c r="JHJ53" s="15"/>
      <c r="JHK53" s="15"/>
      <c r="JHL53" s="15"/>
      <c r="JHM53" s="15"/>
      <c r="JHN53" s="15"/>
      <c r="JHO53" s="15"/>
      <c r="JHP53" s="15"/>
      <c r="JHQ53" s="15"/>
      <c r="JHR53" s="15"/>
      <c r="JHS53" s="15"/>
      <c r="JHT53" s="15"/>
      <c r="JHU53" s="15"/>
      <c r="JHV53" s="15"/>
      <c r="JHW53" s="15"/>
      <c r="JHX53" s="15"/>
      <c r="JHY53" s="15"/>
      <c r="JHZ53" s="15"/>
      <c r="JIA53" s="15"/>
      <c r="JIB53" s="15"/>
      <c r="JIC53" s="15"/>
      <c r="JID53" s="15"/>
      <c r="JIE53" s="15"/>
      <c r="JIF53" s="15"/>
      <c r="JIG53" s="15"/>
      <c r="JIH53" s="15"/>
      <c r="JII53" s="15"/>
      <c r="JIJ53" s="15"/>
      <c r="JIK53" s="15"/>
      <c r="JIL53" s="15"/>
      <c r="JIM53" s="15"/>
      <c r="JIN53" s="15"/>
      <c r="JIO53" s="15"/>
      <c r="JIP53" s="15"/>
      <c r="JIQ53" s="15"/>
      <c r="JIR53" s="15"/>
      <c r="JIS53" s="15"/>
      <c r="JIT53" s="15"/>
      <c r="JIU53" s="15"/>
      <c r="JIV53" s="15"/>
      <c r="JIW53" s="15"/>
      <c r="JIX53" s="15"/>
      <c r="JIY53" s="15"/>
      <c r="JIZ53" s="15"/>
      <c r="JJA53" s="15"/>
      <c r="JJB53" s="15"/>
      <c r="JJC53" s="15"/>
      <c r="JJD53" s="15"/>
      <c r="JJE53" s="15"/>
      <c r="JJF53" s="15"/>
      <c r="JJG53" s="15"/>
      <c r="JJH53" s="15"/>
      <c r="JJI53" s="15"/>
      <c r="JJJ53" s="15"/>
      <c r="JJK53" s="15"/>
      <c r="JJL53" s="15"/>
      <c r="JJM53" s="15"/>
      <c r="JJN53" s="15"/>
      <c r="JJO53" s="15"/>
      <c r="JJP53" s="15"/>
      <c r="JJQ53" s="15"/>
      <c r="JJR53" s="15"/>
      <c r="JJS53" s="15"/>
      <c r="JJT53" s="15"/>
      <c r="JJU53" s="15"/>
      <c r="JJV53" s="15"/>
      <c r="JJW53" s="15"/>
      <c r="JJX53" s="15"/>
      <c r="JJY53" s="15"/>
      <c r="JJZ53" s="15"/>
      <c r="JKA53" s="15"/>
      <c r="JKB53" s="15"/>
      <c r="JKC53" s="15"/>
      <c r="JKD53" s="15"/>
      <c r="JKE53" s="15"/>
      <c r="JKF53" s="15"/>
      <c r="JKG53" s="15"/>
      <c r="JKH53" s="15"/>
      <c r="JKI53" s="15"/>
      <c r="JKJ53" s="15"/>
      <c r="JKK53" s="15"/>
      <c r="JKL53" s="15"/>
      <c r="JKM53" s="15"/>
      <c r="JKN53" s="15"/>
      <c r="JKO53" s="15"/>
      <c r="JKP53" s="15"/>
      <c r="JKQ53" s="15"/>
      <c r="JKR53" s="15"/>
      <c r="JKS53" s="15"/>
      <c r="JKT53" s="15"/>
      <c r="JKU53" s="15"/>
      <c r="JKV53" s="15"/>
      <c r="JKW53" s="15"/>
      <c r="JKX53" s="15"/>
      <c r="JKY53" s="15"/>
      <c r="JKZ53" s="15"/>
      <c r="JLA53" s="15"/>
      <c r="JLB53" s="15"/>
      <c r="JLC53" s="15"/>
      <c r="JLD53" s="15"/>
      <c r="JLE53" s="15"/>
      <c r="JLF53" s="15"/>
      <c r="JLG53" s="15"/>
      <c r="JLH53" s="15"/>
      <c r="JLI53" s="15"/>
      <c r="JLJ53" s="15"/>
      <c r="JLK53" s="15"/>
      <c r="JLL53" s="15"/>
      <c r="JLM53" s="15"/>
      <c r="JLN53" s="15"/>
      <c r="JLO53" s="15"/>
      <c r="JLP53" s="15"/>
      <c r="JLQ53" s="15"/>
      <c r="JLR53" s="15"/>
      <c r="JLS53" s="15"/>
      <c r="JLT53" s="15"/>
      <c r="JLU53" s="15"/>
      <c r="JLV53" s="15"/>
      <c r="JLW53" s="15"/>
      <c r="JLX53" s="15"/>
      <c r="JLY53" s="15"/>
      <c r="JLZ53" s="15"/>
      <c r="JMA53" s="15"/>
      <c r="JMB53" s="15"/>
      <c r="JMC53" s="15"/>
      <c r="JMD53" s="15"/>
      <c r="JME53" s="15"/>
      <c r="JMF53" s="15"/>
      <c r="JMG53" s="15"/>
      <c r="JMH53" s="15"/>
      <c r="JMI53" s="15"/>
      <c r="JMJ53" s="15"/>
      <c r="JMK53" s="15"/>
      <c r="JML53" s="15"/>
      <c r="JMM53" s="15"/>
      <c r="JMN53" s="15"/>
      <c r="JMO53" s="15"/>
      <c r="JMP53" s="15"/>
      <c r="JMQ53" s="15"/>
      <c r="JMR53" s="15"/>
      <c r="JMS53" s="15"/>
      <c r="JMT53" s="15"/>
      <c r="JMU53" s="15"/>
      <c r="JMV53" s="15"/>
      <c r="JMW53" s="15"/>
      <c r="JMX53" s="15"/>
      <c r="JMY53" s="15"/>
      <c r="JMZ53" s="15"/>
      <c r="JNA53" s="15"/>
      <c r="JNB53" s="15"/>
      <c r="JNC53" s="15"/>
      <c r="JND53" s="15"/>
      <c r="JNE53" s="15"/>
      <c r="JNF53" s="15"/>
      <c r="JNG53" s="15"/>
      <c r="JNH53" s="15"/>
      <c r="JNI53" s="15"/>
      <c r="JNJ53" s="15"/>
      <c r="JNK53" s="15"/>
      <c r="JNL53" s="15"/>
      <c r="JNM53" s="15"/>
      <c r="JNN53" s="15"/>
      <c r="JNO53" s="15"/>
      <c r="JNP53" s="15"/>
      <c r="JNQ53" s="15"/>
      <c r="JNR53" s="15"/>
      <c r="JNS53" s="15"/>
      <c r="JNT53" s="15"/>
      <c r="JNU53" s="15"/>
      <c r="JNV53" s="15"/>
      <c r="JNW53" s="15"/>
      <c r="JNX53" s="15"/>
      <c r="JNY53" s="15"/>
      <c r="JNZ53" s="15"/>
      <c r="JOA53" s="15"/>
      <c r="JOB53" s="15"/>
      <c r="JOC53" s="15"/>
      <c r="JOD53" s="15"/>
      <c r="JOE53" s="15"/>
      <c r="JOF53" s="15"/>
      <c r="JOG53" s="15"/>
      <c r="JOH53" s="15"/>
      <c r="JOI53" s="15"/>
      <c r="JOJ53" s="15"/>
      <c r="JOK53" s="15"/>
      <c r="JOL53" s="15"/>
      <c r="JOM53" s="15"/>
      <c r="JON53" s="15"/>
      <c r="JOO53" s="15"/>
      <c r="JOP53" s="15"/>
      <c r="JOQ53" s="15"/>
      <c r="JOR53" s="15"/>
      <c r="JOS53" s="15"/>
      <c r="JOT53" s="15"/>
      <c r="JOU53" s="15"/>
      <c r="JOV53" s="15"/>
      <c r="JOW53" s="15"/>
      <c r="JOX53" s="15"/>
      <c r="JOY53" s="15"/>
      <c r="JOZ53" s="15"/>
      <c r="JPA53" s="15"/>
      <c r="JPB53" s="15"/>
      <c r="JPC53" s="15"/>
      <c r="JPD53" s="15"/>
      <c r="JPE53" s="15"/>
      <c r="JPF53" s="15"/>
      <c r="JPG53" s="15"/>
      <c r="JPH53" s="15"/>
      <c r="JPI53" s="15"/>
      <c r="JPJ53" s="15"/>
      <c r="JPK53" s="15"/>
      <c r="JPL53" s="15"/>
      <c r="JPM53" s="15"/>
      <c r="JPN53" s="15"/>
      <c r="JPO53" s="15"/>
      <c r="JPP53" s="15"/>
      <c r="JPQ53" s="15"/>
      <c r="JPR53" s="15"/>
      <c r="JPS53" s="15"/>
      <c r="JPT53" s="15"/>
      <c r="JPU53" s="15"/>
      <c r="JPV53" s="15"/>
      <c r="JPW53" s="15"/>
      <c r="JPX53" s="15"/>
      <c r="JPY53" s="15"/>
      <c r="JPZ53" s="15"/>
      <c r="JQA53" s="15"/>
      <c r="JQB53" s="15"/>
      <c r="JQC53" s="15"/>
      <c r="JQD53" s="15"/>
      <c r="JQE53" s="15"/>
      <c r="JQF53" s="15"/>
      <c r="JQG53" s="15"/>
      <c r="JQH53" s="15"/>
      <c r="JQI53" s="15"/>
      <c r="JQJ53" s="15"/>
      <c r="JQK53" s="15"/>
      <c r="JQL53" s="15"/>
      <c r="JQM53" s="15"/>
      <c r="JQN53" s="15"/>
      <c r="JQO53" s="15"/>
      <c r="JQP53" s="15"/>
      <c r="JQQ53" s="15"/>
      <c r="JQR53" s="15"/>
      <c r="JQS53" s="15"/>
      <c r="JQT53" s="15"/>
      <c r="JQU53" s="15"/>
      <c r="JQV53" s="15"/>
      <c r="JQW53" s="15"/>
      <c r="JQX53" s="15"/>
      <c r="JQY53" s="15"/>
      <c r="JQZ53" s="15"/>
      <c r="JRA53" s="15"/>
      <c r="JRB53" s="15"/>
      <c r="JRC53" s="15"/>
      <c r="JRD53" s="15"/>
      <c r="JRE53" s="15"/>
      <c r="JRF53" s="15"/>
      <c r="JRG53" s="15"/>
      <c r="JRH53" s="15"/>
      <c r="JRI53" s="15"/>
      <c r="JRJ53" s="15"/>
      <c r="JRK53" s="15"/>
      <c r="JRL53" s="15"/>
      <c r="JRM53" s="15"/>
      <c r="JRN53" s="15"/>
      <c r="JRO53" s="15"/>
      <c r="JRP53" s="15"/>
      <c r="JRQ53" s="15"/>
      <c r="JRR53" s="15"/>
      <c r="JRS53" s="15"/>
      <c r="JRT53" s="15"/>
      <c r="JRU53" s="15"/>
      <c r="JRV53" s="15"/>
      <c r="JRW53" s="15"/>
      <c r="JRX53" s="15"/>
      <c r="JRY53" s="15"/>
      <c r="JRZ53" s="15"/>
      <c r="JSA53" s="15"/>
      <c r="JSB53" s="15"/>
      <c r="JSC53" s="15"/>
      <c r="JSD53" s="15"/>
      <c r="JSE53" s="15"/>
      <c r="JSF53" s="15"/>
      <c r="JSG53" s="15"/>
      <c r="JSH53" s="15"/>
      <c r="JSI53" s="15"/>
      <c r="JSJ53" s="15"/>
      <c r="JSK53" s="15"/>
      <c r="JSL53" s="15"/>
      <c r="JSM53" s="15"/>
      <c r="JSN53" s="15"/>
      <c r="JSO53" s="15"/>
      <c r="JSP53" s="15"/>
      <c r="JSQ53" s="15"/>
      <c r="JSR53" s="15"/>
      <c r="JSS53" s="15"/>
      <c r="JST53" s="15"/>
      <c r="JSU53" s="15"/>
      <c r="JSV53" s="15"/>
      <c r="JSW53" s="15"/>
      <c r="JSX53" s="15"/>
      <c r="JSY53" s="15"/>
      <c r="JSZ53" s="15"/>
      <c r="JTA53" s="15"/>
      <c r="JTB53" s="15"/>
      <c r="JTC53" s="15"/>
      <c r="JTD53" s="15"/>
      <c r="JTE53" s="15"/>
      <c r="JTF53" s="15"/>
      <c r="JTG53" s="15"/>
      <c r="JTH53" s="15"/>
      <c r="JTI53" s="15"/>
      <c r="JTJ53" s="15"/>
      <c r="JTK53" s="15"/>
      <c r="JTL53" s="15"/>
      <c r="JTM53" s="15"/>
      <c r="JTN53" s="15"/>
      <c r="JTO53" s="15"/>
      <c r="JTP53" s="15"/>
      <c r="JTQ53" s="15"/>
      <c r="JTR53" s="15"/>
      <c r="JTS53" s="15"/>
      <c r="JTT53" s="15"/>
      <c r="JTU53" s="15"/>
      <c r="JTV53" s="15"/>
      <c r="JTW53" s="15"/>
      <c r="JTX53" s="15"/>
      <c r="JTY53" s="15"/>
      <c r="JTZ53" s="15"/>
      <c r="JUA53" s="15"/>
      <c r="JUB53" s="15"/>
      <c r="JUC53" s="15"/>
      <c r="JUD53" s="15"/>
      <c r="JUE53" s="15"/>
      <c r="JUF53" s="15"/>
      <c r="JUG53" s="15"/>
      <c r="JUH53" s="15"/>
      <c r="JUI53" s="15"/>
      <c r="JUJ53" s="15"/>
      <c r="JUK53" s="15"/>
      <c r="JUL53" s="15"/>
      <c r="JUM53" s="15"/>
      <c r="JUN53" s="15"/>
      <c r="JUO53" s="15"/>
      <c r="JUP53" s="15"/>
      <c r="JUQ53" s="15"/>
      <c r="JUR53" s="15"/>
      <c r="JUS53" s="15"/>
      <c r="JUT53" s="15"/>
      <c r="JUU53" s="15"/>
      <c r="JUV53" s="15"/>
      <c r="JUW53" s="15"/>
      <c r="JUX53" s="15"/>
      <c r="JUY53" s="15"/>
      <c r="JUZ53" s="15"/>
      <c r="JVA53" s="15"/>
      <c r="JVB53" s="15"/>
      <c r="JVC53" s="15"/>
      <c r="JVD53" s="15"/>
      <c r="JVE53" s="15"/>
      <c r="JVF53" s="15"/>
      <c r="JVG53" s="15"/>
      <c r="JVH53" s="15"/>
      <c r="JVI53" s="15"/>
      <c r="JVJ53" s="15"/>
      <c r="JVK53" s="15"/>
      <c r="JVL53" s="15"/>
      <c r="JVM53" s="15"/>
      <c r="JVN53" s="15"/>
      <c r="JVO53" s="15"/>
      <c r="JVP53" s="15"/>
      <c r="JVQ53" s="15"/>
      <c r="JVR53" s="15"/>
      <c r="JVS53" s="15"/>
      <c r="JVT53" s="15"/>
      <c r="JVU53" s="15"/>
      <c r="JVV53" s="15"/>
      <c r="JVW53" s="15"/>
      <c r="JVX53" s="15"/>
      <c r="JVY53" s="15"/>
      <c r="JVZ53" s="15"/>
      <c r="JWA53" s="15"/>
      <c r="JWB53" s="15"/>
      <c r="JWC53" s="15"/>
      <c r="JWD53" s="15"/>
      <c r="JWE53" s="15"/>
      <c r="JWF53" s="15"/>
      <c r="JWG53" s="15"/>
      <c r="JWH53" s="15"/>
      <c r="JWI53" s="15"/>
      <c r="JWJ53" s="15"/>
      <c r="JWK53" s="15"/>
      <c r="JWL53" s="15"/>
      <c r="JWM53" s="15"/>
      <c r="JWN53" s="15"/>
      <c r="JWO53" s="15"/>
      <c r="JWP53" s="15"/>
      <c r="JWQ53" s="15"/>
      <c r="JWR53" s="15"/>
      <c r="JWS53" s="15"/>
      <c r="JWT53" s="15"/>
      <c r="JWU53" s="15"/>
      <c r="JWV53" s="15"/>
      <c r="JWW53" s="15"/>
      <c r="JWX53" s="15"/>
      <c r="JWY53" s="15"/>
      <c r="JWZ53" s="15"/>
      <c r="JXA53" s="15"/>
      <c r="JXB53" s="15"/>
      <c r="JXC53" s="15"/>
      <c r="JXD53" s="15"/>
      <c r="JXE53" s="15"/>
      <c r="JXF53" s="15"/>
      <c r="JXG53" s="15"/>
      <c r="JXH53" s="15"/>
      <c r="JXI53" s="15"/>
      <c r="JXJ53" s="15"/>
      <c r="JXK53" s="15"/>
      <c r="JXL53" s="15"/>
      <c r="JXM53" s="15"/>
      <c r="JXN53" s="15"/>
      <c r="JXO53" s="15"/>
      <c r="JXP53" s="15"/>
      <c r="JXQ53" s="15"/>
      <c r="JXR53" s="15"/>
      <c r="JXS53" s="15"/>
      <c r="JXT53" s="15"/>
      <c r="JXU53" s="15"/>
      <c r="JXV53" s="15"/>
      <c r="JXW53" s="15"/>
      <c r="JXX53" s="15"/>
      <c r="JXY53" s="15"/>
      <c r="JXZ53" s="15"/>
      <c r="JYA53" s="15"/>
      <c r="JYB53" s="15"/>
      <c r="JYC53" s="15"/>
      <c r="JYD53" s="15"/>
      <c r="JYE53" s="15"/>
      <c r="JYF53" s="15"/>
      <c r="JYG53" s="15"/>
      <c r="JYH53" s="15"/>
      <c r="JYI53" s="15"/>
      <c r="JYJ53" s="15"/>
      <c r="JYK53" s="15"/>
      <c r="JYL53" s="15"/>
      <c r="JYM53" s="15"/>
      <c r="JYN53" s="15"/>
      <c r="JYO53" s="15"/>
      <c r="JYP53" s="15"/>
      <c r="JYQ53" s="15"/>
      <c r="JYR53" s="15"/>
      <c r="JYS53" s="15"/>
      <c r="JYT53" s="15"/>
      <c r="JYU53" s="15"/>
      <c r="JYV53" s="15"/>
      <c r="JYW53" s="15"/>
      <c r="JYX53" s="15"/>
      <c r="JYY53" s="15"/>
      <c r="JYZ53" s="15"/>
      <c r="JZA53" s="15"/>
      <c r="JZB53" s="15"/>
      <c r="JZC53" s="15"/>
      <c r="JZD53" s="15"/>
      <c r="JZE53" s="15"/>
      <c r="JZF53" s="15"/>
      <c r="JZG53" s="15"/>
      <c r="JZH53" s="15"/>
      <c r="JZI53" s="15"/>
      <c r="JZJ53" s="15"/>
      <c r="JZK53" s="15"/>
      <c r="JZL53" s="15"/>
      <c r="JZM53" s="15"/>
      <c r="JZN53" s="15"/>
      <c r="JZO53" s="15"/>
      <c r="JZP53" s="15"/>
      <c r="JZQ53" s="15"/>
      <c r="JZR53" s="15"/>
      <c r="JZS53" s="15"/>
      <c r="JZT53" s="15"/>
      <c r="JZU53" s="15"/>
      <c r="JZV53" s="15"/>
      <c r="JZW53" s="15"/>
      <c r="JZX53" s="15"/>
      <c r="JZY53" s="15"/>
      <c r="JZZ53" s="15"/>
      <c r="KAA53" s="15"/>
      <c r="KAB53" s="15"/>
      <c r="KAC53" s="15"/>
      <c r="KAD53" s="15"/>
      <c r="KAE53" s="15"/>
      <c r="KAF53" s="15"/>
      <c r="KAG53" s="15"/>
      <c r="KAH53" s="15"/>
      <c r="KAI53" s="15"/>
      <c r="KAJ53" s="15"/>
      <c r="KAK53" s="15"/>
      <c r="KAL53" s="15"/>
      <c r="KAM53" s="15"/>
      <c r="KAN53" s="15"/>
      <c r="KAO53" s="15"/>
      <c r="KAP53" s="15"/>
      <c r="KAQ53" s="15"/>
      <c r="KAR53" s="15"/>
      <c r="KAS53" s="15"/>
      <c r="KAT53" s="15"/>
      <c r="KAU53" s="15"/>
      <c r="KAV53" s="15"/>
      <c r="KAW53" s="15"/>
      <c r="KAX53" s="15"/>
      <c r="KAY53" s="15"/>
      <c r="KAZ53" s="15"/>
      <c r="KBA53" s="15"/>
      <c r="KBB53" s="15"/>
      <c r="KBC53" s="15"/>
      <c r="KBD53" s="15"/>
      <c r="KBE53" s="15"/>
      <c r="KBF53" s="15"/>
      <c r="KBG53" s="15"/>
      <c r="KBH53" s="15"/>
      <c r="KBI53" s="15"/>
      <c r="KBJ53" s="15"/>
      <c r="KBK53" s="15"/>
      <c r="KBL53" s="15"/>
      <c r="KBM53" s="15"/>
      <c r="KBN53" s="15"/>
      <c r="KBO53" s="15"/>
      <c r="KBP53" s="15"/>
      <c r="KBQ53" s="15"/>
      <c r="KBR53" s="15"/>
      <c r="KBS53" s="15"/>
      <c r="KBT53" s="15"/>
      <c r="KBU53" s="15"/>
      <c r="KBV53" s="15"/>
      <c r="KBW53" s="15"/>
      <c r="KBX53" s="15"/>
      <c r="KBY53" s="15"/>
      <c r="KBZ53" s="15"/>
      <c r="KCA53" s="15"/>
      <c r="KCB53" s="15"/>
      <c r="KCC53" s="15"/>
      <c r="KCD53" s="15"/>
      <c r="KCE53" s="15"/>
      <c r="KCF53" s="15"/>
      <c r="KCG53" s="15"/>
      <c r="KCH53" s="15"/>
      <c r="KCI53" s="15"/>
      <c r="KCJ53" s="15"/>
      <c r="KCK53" s="15"/>
      <c r="KCL53" s="15"/>
      <c r="KCM53" s="15"/>
      <c r="KCN53" s="15"/>
      <c r="KCO53" s="15"/>
      <c r="KCP53" s="15"/>
      <c r="KCQ53" s="15"/>
      <c r="KCR53" s="15"/>
      <c r="KCS53" s="15"/>
      <c r="KCT53" s="15"/>
      <c r="KCU53" s="15"/>
      <c r="KCV53" s="15"/>
      <c r="KCW53" s="15"/>
      <c r="KCX53" s="15"/>
      <c r="KCY53" s="15"/>
      <c r="KCZ53" s="15"/>
      <c r="KDA53" s="15"/>
      <c r="KDB53" s="15"/>
      <c r="KDC53" s="15"/>
      <c r="KDD53" s="15"/>
      <c r="KDE53" s="15"/>
      <c r="KDF53" s="15"/>
      <c r="KDG53" s="15"/>
      <c r="KDH53" s="15"/>
      <c r="KDI53" s="15"/>
      <c r="KDJ53" s="15"/>
      <c r="KDK53" s="15"/>
      <c r="KDL53" s="15"/>
      <c r="KDM53" s="15"/>
      <c r="KDN53" s="15"/>
      <c r="KDO53" s="15"/>
      <c r="KDP53" s="15"/>
      <c r="KDQ53" s="15"/>
      <c r="KDR53" s="15"/>
      <c r="KDS53" s="15"/>
      <c r="KDT53" s="15"/>
      <c r="KDU53" s="15"/>
      <c r="KDV53" s="15"/>
      <c r="KDW53" s="15"/>
      <c r="KDX53" s="15"/>
      <c r="KDY53" s="15"/>
      <c r="KDZ53" s="15"/>
      <c r="KEA53" s="15"/>
      <c r="KEB53" s="15"/>
      <c r="KEC53" s="15"/>
      <c r="KED53" s="15"/>
      <c r="KEE53" s="15"/>
      <c r="KEF53" s="15"/>
      <c r="KEG53" s="15"/>
      <c r="KEH53" s="15"/>
      <c r="KEI53" s="15"/>
      <c r="KEJ53" s="15"/>
      <c r="KEK53" s="15"/>
      <c r="KEL53" s="15"/>
      <c r="KEM53" s="15"/>
      <c r="KEN53" s="15"/>
      <c r="KEO53" s="15"/>
      <c r="KEP53" s="15"/>
      <c r="KEQ53" s="15"/>
      <c r="KER53" s="15"/>
      <c r="KES53" s="15"/>
      <c r="KET53" s="15"/>
      <c r="KEU53" s="15"/>
      <c r="KEV53" s="15"/>
      <c r="KEW53" s="15"/>
      <c r="KEX53" s="15"/>
      <c r="KEY53" s="15"/>
      <c r="KEZ53" s="15"/>
      <c r="KFA53" s="15"/>
      <c r="KFB53" s="15"/>
      <c r="KFC53" s="15"/>
      <c r="KFD53" s="15"/>
      <c r="KFE53" s="15"/>
      <c r="KFF53" s="15"/>
      <c r="KFG53" s="15"/>
      <c r="KFH53" s="15"/>
      <c r="KFI53" s="15"/>
      <c r="KFJ53" s="15"/>
      <c r="KFK53" s="15"/>
      <c r="KFL53" s="15"/>
      <c r="KFM53" s="15"/>
      <c r="KFN53" s="15"/>
      <c r="KFO53" s="15"/>
      <c r="KFP53" s="15"/>
      <c r="KFQ53" s="15"/>
      <c r="KFR53" s="15"/>
      <c r="KFS53" s="15"/>
      <c r="KFT53" s="15"/>
      <c r="KFU53" s="15"/>
      <c r="KFV53" s="15"/>
      <c r="KFW53" s="15"/>
      <c r="KFX53" s="15"/>
      <c r="KFY53" s="15"/>
      <c r="KFZ53" s="15"/>
      <c r="KGA53" s="15"/>
      <c r="KGB53" s="15"/>
      <c r="KGC53" s="15"/>
      <c r="KGD53" s="15"/>
      <c r="KGE53" s="15"/>
      <c r="KGF53" s="15"/>
      <c r="KGG53" s="15"/>
      <c r="KGH53" s="15"/>
      <c r="KGI53" s="15"/>
      <c r="KGJ53" s="15"/>
      <c r="KGK53" s="15"/>
      <c r="KGL53" s="15"/>
      <c r="KGM53" s="15"/>
      <c r="KGN53" s="15"/>
      <c r="KGO53" s="15"/>
      <c r="KGP53" s="15"/>
      <c r="KGQ53" s="15"/>
      <c r="KGR53" s="15"/>
      <c r="KGS53" s="15"/>
      <c r="KGT53" s="15"/>
      <c r="KGU53" s="15"/>
      <c r="KGV53" s="15"/>
      <c r="KGW53" s="15"/>
      <c r="KGX53" s="15"/>
      <c r="KGY53" s="15"/>
      <c r="KGZ53" s="15"/>
      <c r="KHA53" s="15"/>
      <c r="KHB53" s="15"/>
      <c r="KHC53" s="15"/>
      <c r="KHD53" s="15"/>
      <c r="KHE53" s="15"/>
      <c r="KHF53" s="15"/>
      <c r="KHG53" s="15"/>
      <c r="KHH53" s="15"/>
      <c r="KHI53" s="15"/>
      <c r="KHJ53" s="15"/>
      <c r="KHK53" s="15"/>
      <c r="KHL53" s="15"/>
      <c r="KHM53" s="15"/>
      <c r="KHN53" s="15"/>
      <c r="KHO53" s="15"/>
      <c r="KHP53" s="15"/>
      <c r="KHQ53" s="15"/>
      <c r="KHR53" s="15"/>
      <c r="KHS53" s="15"/>
      <c r="KHT53" s="15"/>
      <c r="KHU53" s="15"/>
      <c r="KHV53" s="15"/>
      <c r="KHW53" s="15"/>
      <c r="KHX53" s="15"/>
      <c r="KHY53" s="15"/>
      <c r="KHZ53" s="15"/>
      <c r="KIA53" s="15"/>
      <c r="KIB53" s="15"/>
      <c r="KIC53" s="15"/>
      <c r="KID53" s="15"/>
      <c r="KIE53" s="15"/>
      <c r="KIF53" s="15"/>
      <c r="KIG53" s="15"/>
      <c r="KIH53" s="15"/>
      <c r="KII53" s="15"/>
      <c r="KIJ53" s="15"/>
      <c r="KIK53" s="15"/>
      <c r="KIL53" s="15"/>
      <c r="KIM53" s="15"/>
      <c r="KIN53" s="15"/>
      <c r="KIO53" s="15"/>
      <c r="KIP53" s="15"/>
      <c r="KIQ53" s="15"/>
      <c r="KIR53" s="15"/>
      <c r="KIS53" s="15"/>
      <c r="KIT53" s="15"/>
      <c r="KIU53" s="15"/>
      <c r="KIV53" s="15"/>
      <c r="KIW53" s="15"/>
      <c r="KIX53" s="15"/>
      <c r="KIY53" s="15"/>
      <c r="KIZ53" s="15"/>
      <c r="KJA53" s="15"/>
      <c r="KJB53" s="15"/>
      <c r="KJC53" s="15"/>
      <c r="KJD53" s="15"/>
      <c r="KJE53" s="15"/>
      <c r="KJF53" s="15"/>
      <c r="KJG53" s="15"/>
      <c r="KJH53" s="15"/>
      <c r="KJI53" s="15"/>
      <c r="KJJ53" s="15"/>
      <c r="KJK53" s="15"/>
      <c r="KJL53" s="15"/>
      <c r="KJM53" s="15"/>
      <c r="KJN53" s="15"/>
      <c r="KJO53" s="15"/>
      <c r="KJP53" s="15"/>
      <c r="KJQ53" s="15"/>
      <c r="KJR53" s="15"/>
      <c r="KJS53" s="15"/>
      <c r="KJT53" s="15"/>
      <c r="KJU53" s="15"/>
      <c r="KJV53" s="15"/>
      <c r="KJW53" s="15"/>
      <c r="KJX53" s="15"/>
      <c r="KJY53" s="15"/>
      <c r="KJZ53" s="15"/>
      <c r="KKA53" s="15"/>
      <c r="KKB53" s="15"/>
      <c r="KKC53" s="15"/>
      <c r="KKD53" s="15"/>
      <c r="KKE53" s="15"/>
      <c r="KKF53" s="15"/>
      <c r="KKG53" s="15"/>
      <c r="KKH53" s="15"/>
      <c r="KKI53" s="15"/>
      <c r="KKJ53" s="15"/>
      <c r="KKK53" s="15"/>
      <c r="KKL53" s="15"/>
      <c r="KKM53" s="15"/>
      <c r="KKN53" s="15"/>
      <c r="KKO53" s="15"/>
      <c r="KKP53" s="15"/>
      <c r="KKQ53" s="15"/>
      <c r="KKR53" s="15"/>
      <c r="KKS53" s="15"/>
      <c r="KKT53" s="15"/>
      <c r="KKU53" s="15"/>
      <c r="KKV53" s="15"/>
      <c r="KKW53" s="15"/>
      <c r="KKX53" s="15"/>
      <c r="KKY53" s="15"/>
      <c r="KKZ53" s="15"/>
      <c r="KLA53" s="15"/>
      <c r="KLB53" s="15"/>
      <c r="KLC53" s="15"/>
      <c r="KLD53" s="15"/>
      <c r="KLE53" s="15"/>
      <c r="KLF53" s="15"/>
      <c r="KLG53" s="15"/>
      <c r="KLH53" s="15"/>
      <c r="KLI53" s="15"/>
      <c r="KLJ53" s="15"/>
      <c r="KLK53" s="15"/>
      <c r="KLL53" s="15"/>
      <c r="KLM53" s="15"/>
      <c r="KLN53" s="15"/>
      <c r="KLO53" s="15"/>
      <c r="KLP53" s="15"/>
      <c r="KLQ53" s="15"/>
      <c r="KLR53" s="15"/>
      <c r="KLS53" s="15"/>
      <c r="KLT53" s="15"/>
      <c r="KLU53" s="15"/>
      <c r="KLV53" s="15"/>
      <c r="KLW53" s="15"/>
      <c r="KLX53" s="15"/>
      <c r="KLY53" s="15"/>
      <c r="KLZ53" s="15"/>
      <c r="KMA53" s="15"/>
      <c r="KMB53" s="15"/>
      <c r="KMC53" s="15"/>
      <c r="KMD53" s="15"/>
      <c r="KME53" s="15"/>
      <c r="KMF53" s="15"/>
      <c r="KMG53" s="15"/>
      <c r="KMH53" s="15"/>
      <c r="KMI53" s="15"/>
      <c r="KMJ53" s="15"/>
      <c r="KMK53" s="15"/>
      <c r="KML53" s="15"/>
      <c r="KMM53" s="15"/>
      <c r="KMN53" s="15"/>
      <c r="KMO53" s="15"/>
      <c r="KMP53" s="15"/>
      <c r="KMQ53" s="15"/>
      <c r="KMR53" s="15"/>
      <c r="KMS53" s="15"/>
      <c r="KMT53" s="15"/>
      <c r="KMU53" s="15"/>
      <c r="KMV53" s="15"/>
      <c r="KMW53" s="15"/>
      <c r="KMX53" s="15"/>
      <c r="KMY53" s="15"/>
      <c r="KMZ53" s="15"/>
      <c r="KNA53" s="15"/>
      <c r="KNB53" s="15"/>
      <c r="KNC53" s="15"/>
      <c r="KND53" s="15"/>
      <c r="KNE53" s="15"/>
      <c r="KNF53" s="15"/>
      <c r="KNG53" s="15"/>
      <c r="KNH53" s="15"/>
      <c r="KNI53" s="15"/>
      <c r="KNJ53" s="15"/>
      <c r="KNK53" s="15"/>
      <c r="KNL53" s="15"/>
      <c r="KNM53" s="15"/>
      <c r="KNN53" s="15"/>
      <c r="KNO53" s="15"/>
      <c r="KNP53" s="15"/>
      <c r="KNQ53" s="15"/>
      <c r="KNR53" s="15"/>
      <c r="KNS53" s="15"/>
      <c r="KNT53" s="15"/>
      <c r="KNU53" s="15"/>
      <c r="KNV53" s="15"/>
      <c r="KNW53" s="15"/>
      <c r="KNX53" s="15"/>
      <c r="KNY53" s="15"/>
      <c r="KNZ53" s="15"/>
      <c r="KOA53" s="15"/>
      <c r="KOB53" s="15"/>
      <c r="KOC53" s="15"/>
      <c r="KOD53" s="15"/>
      <c r="KOE53" s="15"/>
      <c r="KOF53" s="15"/>
      <c r="KOG53" s="15"/>
      <c r="KOH53" s="15"/>
      <c r="KOI53" s="15"/>
      <c r="KOJ53" s="15"/>
      <c r="KOK53" s="15"/>
      <c r="KOL53" s="15"/>
      <c r="KOM53" s="15"/>
      <c r="KON53" s="15"/>
      <c r="KOO53" s="15"/>
      <c r="KOP53" s="15"/>
      <c r="KOQ53" s="15"/>
      <c r="KOR53" s="15"/>
      <c r="KOS53" s="15"/>
      <c r="KOT53" s="15"/>
      <c r="KOU53" s="15"/>
      <c r="KOV53" s="15"/>
      <c r="KOW53" s="15"/>
      <c r="KOX53" s="15"/>
      <c r="KOY53" s="15"/>
      <c r="KOZ53" s="15"/>
      <c r="KPA53" s="15"/>
      <c r="KPB53" s="15"/>
      <c r="KPC53" s="15"/>
      <c r="KPD53" s="15"/>
      <c r="KPE53" s="15"/>
      <c r="KPF53" s="15"/>
      <c r="KPG53" s="15"/>
      <c r="KPH53" s="15"/>
      <c r="KPI53" s="15"/>
      <c r="KPJ53" s="15"/>
      <c r="KPK53" s="15"/>
      <c r="KPL53" s="15"/>
      <c r="KPM53" s="15"/>
      <c r="KPN53" s="15"/>
      <c r="KPO53" s="15"/>
      <c r="KPP53" s="15"/>
      <c r="KPQ53" s="15"/>
      <c r="KPR53" s="15"/>
      <c r="KPS53" s="15"/>
      <c r="KPT53" s="15"/>
      <c r="KPU53" s="15"/>
      <c r="KPV53" s="15"/>
      <c r="KPW53" s="15"/>
      <c r="KPX53" s="15"/>
      <c r="KPY53" s="15"/>
      <c r="KPZ53" s="15"/>
      <c r="KQA53" s="15"/>
      <c r="KQB53" s="15"/>
      <c r="KQC53" s="15"/>
      <c r="KQD53" s="15"/>
      <c r="KQE53" s="15"/>
      <c r="KQF53" s="15"/>
      <c r="KQG53" s="15"/>
      <c r="KQH53" s="15"/>
      <c r="KQI53" s="15"/>
      <c r="KQJ53" s="15"/>
      <c r="KQK53" s="15"/>
      <c r="KQL53" s="15"/>
      <c r="KQM53" s="15"/>
      <c r="KQN53" s="15"/>
      <c r="KQO53" s="15"/>
      <c r="KQP53" s="15"/>
      <c r="KQQ53" s="15"/>
      <c r="KQR53" s="15"/>
      <c r="KQS53" s="15"/>
      <c r="KQT53" s="15"/>
      <c r="KQU53" s="15"/>
      <c r="KQV53" s="15"/>
      <c r="KQW53" s="15"/>
      <c r="KQX53" s="15"/>
      <c r="KQY53" s="15"/>
      <c r="KQZ53" s="15"/>
      <c r="KRA53" s="15"/>
      <c r="KRB53" s="15"/>
      <c r="KRC53" s="15"/>
      <c r="KRD53" s="15"/>
      <c r="KRE53" s="15"/>
      <c r="KRF53" s="15"/>
      <c r="KRG53" s="15"/>
      <c r="KRH53" s="15"/>
      <c r="KRI53" s="15"/>
      <c r="KRJ53" s="15"/>
      <c r="KRK53" s="15"/>
      <c r="KRL53" s="15"/>
      <c r="KRM53" s="15"/>
      <c r="KRN53" s="15"/>
      <c r="KRO53" s="15"/>
      <c r="KRP53" s="15"/>
      <c r="KRQ53" s="15"/>
      <c r="KRR53" s="15"/>
      <c r="KRS53" s="15"/>
      <c r="KRT53" s="15"/>
      <c r="KRU53" s="15"/>
      <c r="KRV53" s="15"/>
      <c r="KRW53" s="15"/>
      <c r="KRX53" s="15"/>
      <c r="KRY53" s="15"/>
      <c r="KRZ53" s="15"/>
      <c r="KSA53" s="15"/>
      <c r="KSB53" s="15"/>
      <c r="KSC53" s="15"/>
      <c r="KSD53" s="15"/>
      <c r="KSE53" s="15"/>
      <c r="KSF53" s="15"/>
      <c r="KSG53" s="15"/>
      <c r="KSH53" s="15"/>
      <c r="KSI53" s="15"/>
      <c r="KSJ53" s="15"/>
      <c r="KSK53" s="15"/>
      <c r="KSL53" s="15"/>
      <c r="KSM53" s="15"/>
      <c r="KSN53" s="15"/>
      <c r="KSO53" s="15"/>
      <c r="KSP53" s="15"/>
      <c r="KSQ53" s="15"/>
      <c r="KSR53" s="15"/>
      <c r="KSS53" s="15"/>
      <c r="KST53" s="15"/>
      <c r="KSU53" s="15"/>
      <c r="KSV53" s="15"/>
      <c r="KSW53" s="15"/>
      <c r="KSX53" s="15"/>
      <c r="KSY53" s="15"/>
      <c r="KSZ53" s="15"/>
      <c r="KTA53" s="15"/>
      <c r="KTB53" s="15"/>
      <c r="KTC53" s="15"/>
      <c r="KTD53" s="15"/>
      <c r="KTE53" s="15"/>
      <c r="KTF53" s="15"/>
      <c r="KTG53" s="15"/>
      <c r="KTH53" s="15"/>
      <c r="KTI53" s="15"/>
      <c r="KTJ53" s="15"/>
      <c r="KTK53" s="15"/>
      <c r="KTL53" s="15"/>
      <c r="KTM53" s="15"/>
      <c r="KTN53" s="15"/>
      <c r="KTO53" s="15"/>
      <c r="KTP53" s="15"/>
      <c r="KTQ53" s="15"/>
      <c r="KTR53" s="15"/>
      <c r="KTS53" s="15"/>
      <c r="KTT53" s="15"/>
      <c r="KTU53" s="15"/>
      <c r="KTV53" s="15"/>
      <c r="KTW53" s="15"/>
      <c r="KTX53" s="15"/>
      <c r="KTY53" s="15"/>
      <c r="KTZ53" s="15"/>
      <c r="KUA53" s="15"/>
      <c r="KUB53" s="15"/>
      <c r="KUC53" s="15"/>
      <c r="KUD53" s="15"/>
      <c r="KUE53" s="15"/>
      <c r="KUF53" s="15"/>
      <c r="KUG53" s="15"/>
      <c r="KUH53" s="15"/>
      <c r="KUI53" s="15"/>
      <c r="KUJ53" s="15"/>
      <c r="KUK53" s="15"/>
      <c r="KUL53" s="15"/>
      <c r="KUM53" s="15"/>
      <c r="KUN53" s="15"/>
      <c r="KUO53" s="15"/>
      <c r="KUP53" s="15"/>
      <c r="KUQ53" s="15"/>
      <c r="KUR53" s="15"/>
      <c r="KUS53" s="15"/>
      <c r="KUT53" s="15"/>
      <c r="KUU53" s="15"/>
      <c r="KUV53" s="15"/>
      <c r="KUW53" s="15"/>
      <c r="KUX53" s="15"/>
      <c r="KUY53" s="15"/>
      <c r="KUZ53" s="15"/>
      <c r="KVA53" s="15"/>
      <c r="KVB53" s="15"/>
      <c r="KVC53" s="15"/>
      <c r="KVD53" s="15"/>
      <c r="KVE53" s="15"/>
      <c r="KVF53" s="15"/>
      <c r="KVG53" s="15"/>
      <c r="KVH53" s="15"/>
      <c r="KVI53" s="15"/>
      <c r="KVJ53" s="15"/>
      <c r="KVK53" s="15"/>
      <c r="KVL53" s="15"/>
      <c r="KVM53" s="15"/>
      <c r="KVN53" s="15"/>
      <c r="KVO53" s="15"/>
      <c r="KVP53" s="15"/>
      <c r="KVQ53" s="15"/>
      <c r="KVR53" s="15"/>
      <c r="KVS53" s="15"/>
      <c r="KVT53" s="15"/>
      <c r="KVU53" s="15"/>
      <c r="KVV53" s="15"/>
      <c r="KVW53" s="15"/>
      <c r="KVX53" s="15"/>
      <c r="KVY53" s="15"/>
      <c r="KVZ53" s="15"/>
      <c r="KWA53" s="15"/>
      <c r="KWB53" s="15"/>
      <c r="KWC53" s="15"/>
      <c r="KWD53" s="15"/>
      <c r="KWE53" s="15"/>
      <c r="KWF53" s="15"/>
      <c r="KWG53" s="15"/>
      <c r="KWH53" s="15"/>
      <c r="KWI53" s="15"/>
      <c r="KWJ53" s="15"/>
      <c r="KWK53" s="15"/>
      <c r="KWL53" s="15"/>
      <c r="KWM53" s="15"/>
      <c r="KWN53" s="15"/>
      <c r="KWO53" s="15"/>
      <c r="KWP53" s="15"/>
      <c r="KWQ53" s="15"/>
      <c r="KWR53" s="15"/>
      <c r="KWS53" s="15"/>
      <c r="KWT53" s="15"/>
      <c r="KWU53" s="15"/>
      <c r="KWV53" s="15"/>
      <c r="KWW53" s="15"/>
      <c r="KWX53" s="15"/>
      <c r="KWY53" s="15"/>
      <c r="KWZ53" s="15"/>
      <c r="KXA53" s="15"/>
      <c r="KXB53" s="15"/>
      <c r="KXC53" s="15"/>
      <c r="KXD53" s="15"/>
      <c r="KXE53" s="15"/>
      <c r="KXF53" s="15"/>
      <c r="KXG53" s="15"/>
      <c r="KXH53" s="15"/>
      <c r="KXI53" s="15"/>
      <c r="KXJ53" s="15"/>
      <c r="KXK53" s="15"/>
      <c r="KXL53" s="15"/>
      <c r="KXM53" s="15"/>
      <c r="KXN53" s="15"/>
      <c r="KXO53" s="15"/>
      <c r="KXP53" s="15"/>
      <c r="KXQ53" s="15"/>
      <c r="KXR53" s="15"/>
      <c r="KXS53" s="15"/>
      <c r="KXT53" s="15"/>
      <c r="KXU53" s="15"/>
      <c r="KXV53" s="15"/>
      <c r="KXW53" s="15"/>
      <c r="KXX53" s="15"/>
      <c r="KXY53" s="15"/>
      <c r="KXZ53" s="15"/>
      <c r="KYA53" s="15"/>
      <c r="KYB53" s="15"/>
      <c r="KYC53" s="15"/>
      <c r="KYD53" s="15"/>
      <c r="KYE53" s="15"/>
      <c r="KYF53" s="15"/>
      <c r="KYG53" s="15"/>
      <c r="KYH53" s="15"/>
      <c r="KYI53" s="15"/>
      <c r="KYJ53" s="15"/>
      <c r="KYK53" s="15"/>
      <c r="KYL53" s="15"/>
      <c r="KYM53" s="15"/>
      <c r="KYN53" s="15"/>
      <c r="KYO53" s="15"/>
      <c r="KYP53" s="15"/>
      <c r="KYQ53" s="15"/>
      <c r="KYR53" s="15"/>
      <c r="KYS53" s="15"/>
      <c r="KYT53" s="15"/>
      <c r="KYU53" s="15"/>
      <c r="KYV53" s="15"/>
      <c r="KYW53" s="15"/>
      <c r="KYX53" s="15"/>
      <c r="KYY53" s="15"/>
      <c r="KYZ53" s="15"/>
      <c r="KZA53" s="15"/>
      <c r="KZB53" s="15"/>
      <c r="KZC53" s="15"/>
      <c r="KZD53" s="15"/>
      <c r="KZE53" s="15"/>
      <c r="KZF53" s="15"/>
      <c r="KZG53" s="15"/>
      <c r="KZH53" s="15"/>
      <c r="KZI53" s="15"/>
      <c r="KZJ53" s="15"/>
      <c r="KZK53" s="15"/>
      <c r="KZL53" s="15"/>
      <c r="KZM53" s="15"/>
      <c r="KZN53" s="15"/>
      <c r="KZO53" s="15"/>
      <c r="KZP53" s="15"/>
      <c r="KZQ53" s="15"/>
      <c r="KZR53" s="15"/>
      <c r="KZS53" s="15"/>
      <c r="KZT53" s="15"/>
      <c r="KZU53" s="15"/>
      <c r="KZV53" s="15"/>
      <c r="KZW53" s="15"/>
      <c r="KZX53" s="15"/>
      <c r="KZY53" s="15"/>
      <c r="KZZ53" s="15"/>
      <c r="LAA53" s="15"/>
      <c r="LAB53" s="15"/>
      <c r="LAC53" s="15"/>
      <c r="LAD53" s="15"/>
      <c r="LAE53" s="15"/>
      <c r="LAF53" s="15"/>
      <c r="LAG53" s="15"/>
      <c r="LAH53" s="15"/>
      <c r="LAI53" s="15"/>
      <c r="LAJ53" s="15"/>
      <c r="LAK53" s="15"/>
      <c r="LAL53" s="15"/>
      <c r="LAM53" s="15"/>
      <c r="LAN53" s="15"/>
      <c r="LAO53" s="15"/>
      <c r="LAP53" s="15"/>
      <c r="LAQ53" s="15"/>
      <c r="LAR53" s="15"/>
      <c r="LAS53" s="15"/>
      <c r="LAT53" s="15"/>
      <c r="LAU53" s="15"/>
      <c r="LAV53" s="15"/>
      <c r="LAW53" s="15"/>
      <c r="LAX53" s="15"/>
      <c r="LAY53" s="15"/>
      <c r="LAZ53" s="15"/>
      <c r="LBA53" s="15"/>
      <c r="LBB53" s="15"/>
      <c r="LBC53" s="15"/>
      <c r="LBD53" s="15"/>
      <c r="LBE53" s="15"/>
      <c r="LBF53" s="15"/>
      <c r="LBG53" s="15"/>
      <c r="LBH53" s="15"/>
      <c r="LBI53" s="15"/>
      <c r="LBJ53" s="15"/>
      <c r="LBK53" s="15"/>
      <c r="LBL53" s="15"/>
      <c r="LBM53" s="15"/>
      <c r="LBN53" s="15"/>
      <c r="LBO53" s="15"/>
      <c r="LBP53" s="15"/>
      <c r="LBQ53" s="15"/>
      <c r="LBR53" s="15"/>
      <c r="LBS53" s="15"/>
      <c r="LBT53" s="15"/>
      <c r="LBU53" s="15"/>
      <c r="LBV53" s="15"/>
      <c r="LBW53" s="15"/>
      <c r="LBX53" s="15"/>
      <c r="LBY53" s="15"/>
      <c r="LBZ53" s="15"/>
      <c r="LCA53" s="15"/>
      <c r="LCB53" s="15"/>
      <c r="LCC53" s="15"/>
      <c r="LCD53" s="15"/>
      <c r="LCE53" s="15"/>
      <c r="LCF53" s="15"/>
      <c r="LCG53" s="15"/>
      <c r="LCH53" s="15"/>
      <c r="LCI53" s="15"/>
      <c r="LCJ53" s="15"/>
      <c r="LCK53" s="15"/>
      <c r="LCL53" s="15"/>
      <c r="LCM53" s="15"/>
      <c r="LCN53" s="15"/>
      <c r="LCO53" s="15"/>
      <c r="LCP53" s="15"/>
      <c r="LCQ53" s="15"/>
      <c r="LCR53" s="15"/>
      <c r="LCS53" s="15"/>
      <c r="LCT53" s="15"/>
      <c r="LCU53" s="15"/>
      <c r="LCV53" s="15"/>
      <c r="LCW53" s="15"/>
      <c r="LCX53" s="15"/>
      <c r="LCY53" s="15"/>
      <c r="LCZ53" s="15"/>
      <c r="LDA53" s="15"/>
      <c r="LDB53" s="15"/>
      <c r="LDC53" s="15"/>
      <c r="LDD53" s="15"/>
      <c r="LDE53" s="15"/>
      <c r="LDF53" s="15"/>
      <c r="LDG53" s="15"/>
      <c r="LDH53" s="15"/>
      <c r="LDI53" s="15"/>
      <c r="LDJ53" s="15"/>
      <c r="LDK53" s="15"/>
      <c r="LDL53" s="15"/>
      <c r="LDM53" s="15"/>
      <c r="LDN53" s="15"/>
      <c r="LDO53" s="15"/>
      <c r="LDP53" s="15"/>
      <c r="LDQ53" s="15"/>
      <c r="LDR53" s="15"/>
      <c r="LDS53" s="15"/>
      <c r="LDT53" s="15"/>
      <c r="LDU53" s="15"/>
      <c r="LDV53" s="15"/>
      <c r="LDW53" s="15"/>
      <c r="LDX53" s="15"/>
      <c r="LDY53" s="15"/>
      <c r="LDZ53" s="15"/>
      <c r="LEA53" s="15"/>
      <c r="LEB53" s="15"/>
      <c r="LEC53" s="15"/>
      <c r="LED53" s="15"/>
      <c r="LEE53" s="15"/>
      <c r="LEF53" s="15"/>
      <c r="LEG53" s="15"/>
      <c r="LEH53" s="15"/>
      <c r="LEI53" s="15"/>
      <c r="LEJ53" s="15"/>
      <c r="LEK53" s="15"/>
      <c r="LEL53" s="15"/>
      <c r="LEM53" s="15"/>
      <c r="LEN53" s="15"/>
      <c r="LEO53" s="15"/>
      <c r="LEP53" s="15"/>
      <c r="LEQ53" s="15"/>
      <c r="LER53" s="15"/>
      <c r="LES53" s="15"/>
      <c r="LET53" s="15"/>
      <c r="LEU53" s="15"/>
      <c r="LEV53" s="15"/>
      <c r="LEW53" s="15"/>
      <c r="LEX53" s="15"/>
      <c r="LEY53" s="15"/>
      <c r="LEZ53" s="15"/>
      <c r="LFA53" s="15"/>
      <c r="LFB53" s="15"/>
      <c r="LFC53" s="15"/>
      <c r="LFD53" s="15"/>
      <c r="LFE53" s="15"/>
      <c r="LFF53" s="15"/>
      <c r="LFG53" s="15"/>
      <c r="LFH53" s="15"/>
      <c r="LFI53" s="15"/>
      <c r="LFJ53" s="15"/>
      <c r="LFK53" s="15"/>
      <c r="LFL53" s="15"/>
      <c r="LFM53" s="15"/>
      <c r="LFN53" s="15"/>
      <c r="LFO53" s="15"/>
      <c r="LFP53" s="15"/>
      <c r="LFQ53" s="15"/>
      <c r="LFR53" s="15"/>
      <c r="LFS53" s="15"/>
      <c r="LFT53" s="15"/>
      <c r="LFU53" s="15"/>
      <c r="LFV53" s="15"/>
      <c r="LFW53" s="15"/>
      <c r="LFX53" s="15"/>
      <c r="LFY53" s="15"/>
      <c r="LFZ53" s="15"/>
      <c r="LGA53" s="15"/>
      <c r="LGB53" s="15"/>
      <c r="LGC53" s="15"/>
      <c r="LGD53" s="15"/>
      <c r="LGE53" s="15"/>
      <c r="LGF53" s="15"/>
      <c r="LGG53" s="15"/>
      <c r="LGH53" s="15"/>
      <c r="LGI53" s="15"/>
      <c r="LGJ53" s="15"/>
      <c r="LGK53" s="15"/>
      <c r="LGL53" s="15"/>
      <c r="LGM53" s="15"/>
      <c r="LGN53" s="15"/>
      <c r="LGO53" s="15"/>
      <c r="LGP53" s="15"/>
      <c r="LGQ53" s="15"/>
      <c r="LGR53" s="15"/>
      <c r="LGS53" s="15"/>
      <c r="LGT53" s="15"/>
      <c r="LGU53" s="15"/>
      <c r="LGV53" s="15"/>
      <c r="LGW53" s="15"/>
      <c r="LGX53" s="15"/>
      <c r="LGY53" s="15"/>
      <c r="LGZ53" s="15"/>
      <c r="LHA53" s="15"/>
      <c r="LHB53" s="15"/>
      <c r="LHC53" s="15"/>
      <c r="LHD53" s="15"/>
      <c r="LHE53" s="15"/>
      <c r="LHF53" s="15"/>
      <c r="LHG53" s="15"/>
      <c r="LHH53" s="15"/>
      <c r="LHI53" s="15"/>
      <c r="LHJ53" s="15"/>
      <c r="LHK53" s="15"/>
      <c r="LHL53" s="15"/>
      <c r="LHM53" s="15"/>
      <c r="LHN53" s="15"/>
      <c r="LHO53" s="15"/>
      <c r="LHP53" s="15"/>
      <c r="LHQ53" s="15"/>
      <c r="LHR53" s="15"/>
      <c r="LHS53" s="15"/>
      <c r="LHT53" s="15"/>
      <c r="LHU53" s="15"/>
      <c r="LHV53" s="15"/>
      <c r="LHW53" s="15"/>
      <c r="LHX53" s="15"/>
      <c r="LHY53" s="15"/>
      <c r="LHZ53" s="15"/>
      <c r="LIA53" s="15"/>
      <c r="LIB53" s="15"/>
      <c r="LIC53" s="15"/>
      <c r="LID53" s="15"/>
      <c r="LIE53" s="15"/>
      <c r="LIF53" s="15"/>
      <c r="LIG53" s="15"/>
      <c r="LIH53" s="15"/>
      <c r="LII53" s="15"/>
      <c r="LIJ53" s="15"/>
      <c r="LIK53" s="15"/>
      <c r="LIL53" s="15"/>
      <c r="LIM53" s="15"/>
      <c r="LIN53" s="15"/>
      <c r="LIO53" s="15"/>
      <c r="LIP53" s="15"/>
      <c r="LIQ53" s="15"/>
      <c r="LIR53" s="15"/>
      <c r="LIS53" s="15"/>
      <c r="LIT53" s="15"/>
      <c r="LIU53" s="15"/>
      <c r="LIV53" s="15"/>
      <c r="LIW53" s="15"/>
      <c r="LIX53" s="15"/>
      <c r="LIY53" s="15"/>
      <c r="LIZ53" s="15"/>
      <c r="LJA53" s="15"/>
      <c r="LJB53" s="15"/>
      <c r="LJC53" s="15"/>
      <c r="LJD53" s="15"/>
      <c r="LJE53" s="15"/>
      <c r="LJF53" s="15"/>
      <c r="LJG53" s="15"/>
      <c r="LJH53" s="15"/>
      <c r="LJI53" s="15"/>
      <c r="LJJ53" s="15"/>
      <c r="LJK53" s="15"/>
      <c r="LJL53" s="15"/>
      <c r="LJM53" s="15"/>
      <c r="LJN53" s="15"/>
      <c r="LJO53" s="15"/>
      <c r="LJP53" s="15"/>
      <c r="LJQ53" s="15"/>
      <c r="LJR53" s="15"/>
      <c r="LJS53" s="15"/>
      <c r="LJT53" s="15"/>
      <c r="LJU53" s="15"/>
      <c r="LJV53" s="15"/>
      <c r="LJW53" s="15"/>
      <c r="LJX53" s="15"/>
      <c r="LJY53" s="15"/>
      <c r="LJZ53" s="15"/>
      <c r="LKA53" s="15"/>
      <c r="LKB53" s="15"/>
      <c r="LKC53" s="15"/>
      <c r="LKD53" s="15"/>
      <c r="LKE53" s="15"/>
      <c r="LKF53" s="15"/>
      <c r="LKG53" s="15"/>
      <c r="LKH53" s="15"/>
      <c r="LKI53" s="15"/>
      <c r="LKJ53" s="15"/>
      <c r="LKK53" s="15"/>
      <c r="LKL53" s="15"/>
      <c r="LKM53" s="15"/>
      <c r="LKN53" s="15"/>
      <c r="LKO53" s="15"/>
      <c r="LKP53" s="15"/>
      <c r="LKQ53" s="15"/>
      <c r="LKR53" s="15"/>
      <c r="LKS53" s="15"/>
      <c r="LKT53" s="15"/>
      <c r="LKU53" s="15"/>
      <c r="LKV53" s="15"/>
      <c r="LKW53" s="15"/>
      <c r="LKX53" s="15"/>
      <c r="LKY53" s="15"/>
      <c r="LKZ53" s="15"/>
      <c r="LLA53" s="15"/>
      <c r="LLB53" s="15"/>
      <c r="LLC53" s="15"/>
      <c r="LLD53" s="15"/>
      <c r="LLE53" s="15"/>
      <c r="LLF53" s="15"/>
      <c r="LLG53" s="15"/>
      <c r="LLH53" s="15"/>
      <c r="LLI53" s="15"/>
      <c r="LLJ53" s="15"/>
      <c r="LLK53" s="15"/>
      <c r="LLL53" s="15"/>
      <c r="LLM53" s="15"/>
      <c r="LLN53" s="15"/>
      <c r="LLO53" s="15"/>
      <c r="LLP53" s="15"/>
      <c r="LLQ53" s="15"/>
      <c r="LLR53" s="15"/>
      <c r="LLS53" s="15"/>
      <c r="LLT53" s="15"/>
      <c r="LLU53" s="15"/>
      <c r="LLV53" s="15"/>
      <c r="LLW53" s="15"/>
      <c r="LLX53" s="15"/>
      <c r="LLY53" s="15"/>
      <c r="LLZ53" s="15"/>
      <c r="LMA53" s="15"/>
      <c r="LMB53" s="15"/>
      <c r="LMC53" s="15"/>
      <c r="LMD53" s="15"/>
      <c r="LME53" s="15"/>
      <c r="LMF53" s="15"/>
      <c r="LMG53" s="15"/>
      <c r="LMH53" s="15"/>
      <c r="LMI53" s="15"/>
      <c r="LMJ53" s="15"/>
      <c r="LMK53" s="15"/>
      <c r="LML53" s="15"/>
      <c r="LMM53" s="15"/>
      <c r="LMN53" s="15"/>
      <c r="LMO53" s="15"/>
      <c r="LMP53" s="15"/>
      <c r="LMQ53" s="15"/>
      <c r="LMR53" s="15"/>
      <c r="LMS53" s="15"/>
      <c r="LMT53" s="15"/>
      <c r="LMU53" s="15"/>
      <c r="LMV53" s="15"/>
      <c r="LMW53" s="15"/>
      <c r="LMX53" s="15"/>
      <c r="LMY53" s="15"/>
      <c r="LMZ53" s="15"/>
      <c r="LNA53" s="15"/>
      <c r="LNB53" s="15"/>
      <c r="LNC53" s="15"/>
      <c r="LND53" s="15"/>
      <c r="LNE53" s="15"/>
      <c r="LNF53" s="15"/>
      <c r="LNG53" s="15"/>
      <c r="LNH53" s="15"/>
      <c r="LNI53" s="15"/>
      <c r="LNJ53" s="15"/>
      <c r="LNK53" s="15"/>
      <c r="LNL53" s="15"/>
      <c r="LNM53" s="15"/>
      <c r="LNN53" s="15"/>
      <c r="LNO53" s="15"/>
      <c r="LNP53" s="15"/>
      <c r="LNQ53" s="15"/>
      <c r="LNR53" s="15"/>
      <c r="LNS53" s="15"/>
      <c r="LNT53" s="15"/>
      <c r="LNU53" s="15"/>
      <c r="LNV53" s="15"/>
      <c r="LNW53" s="15"/>
      <c r="LNX53" s="15"/>
      <c r="LNY53" s="15"/>
      <c r="LNZ53" s="15"/>
      <c r="LOA53" s="15"/>
      <c r="LOB53" s="15"/>
      <c r="LOC53" s="15"/>
      <c r="LOD53" s="15"/>
      <c r="LOE53" s="15"/>
      <c r="LOF53" s="15"/>
      <c r="LOG53" s="15"/>
      <c r="LOH53" s="15"/>
      <c r="LOI53" s="15"/>
      <c r="LOJ53" s="15"/>
      <c r="LOK53" s="15"/>
      <c r="LOL53" s="15"/>
      <c r="LOM53" s="15"/>
      <c r="LON53" s="15"/>
      <c r="LOO53" s="15"/>
      <c r="LOP53" s="15"/>
      <c r="LOQ53" s="15"/>
      <c r="LOR53" s="15"/>
      <c r="LOS53" s="15"/>
      <c r="LOT53" s="15"/>
      <c r="LOU53" s="15"/>
      <c r="LOV53" s="15"/>
      <c r="LOW53" s="15"/>
      <c r="LOX53" s="15"/>
      <c r="LOY53" s="15"/>
      <c r="LOZ53" s="15"/>
      <c r="LPA53" s="15"/>
      <c r="LPB53" s="15"/>
      <c r="LPC53" s="15"/>
      <c r="LPD53" s="15"/>
      <c r="LPE53" s="15"/>
      <c r="LPF53" s="15"/>
      <c r="LPG53" s="15"/>
      <c r="LPH53" s="15"/>
      <c r="LPI53" s="15"/>
      <c r="LPJ53" s="15"/>
      <c r="LPK53" s="15"/>
      <c r="LPL53" s="15"/>
      <c r="LPM53" s="15"/>
      <c r="LPN53" s="15"/>
      <c r="LPO53" s="15"/>
      <c r="LPP53" s="15"/>
      <c r="LPQ53" s="15"/>
      <c r="LPR53" s="15"/>
      <c r="LPS53" s="15"/>
      <c r="LPT53" s="15"/>
      <c r="LPU53" s="15"/>
      <c r="LPV53" s="15"/>
      <c r="LPW53" s="15"/>
      <c r="LPX53" s="15"/>
      <c r="LPY53" s="15"/>
      <c r="LPZ53" s="15"/>
      <c r="LQA53" s="15"/>
      <c r="LQB53" s="15"/>
      <c r="LQC53" s="15"/>
      <c r="LQD53" s="15"/>
      <c r="LQE53" s="15"/>
      <c r="LQF53" s="15"/>
      <c r="LQG53" s="15"/>
      <c r="LQH53" s="15"/>
      <c r="LQI53" s="15"/>
      <c r="LQJ53" s="15"/>
      <c r="LQK53" s="15"/>
      <c r="LQL53" s="15"/>
      <c r="LQM53" s="15"/>
      <c r="LQN53" s="15"/>
      <c r="LQO53" s="15"/>
      <c r="LQP53" s="15"/>
      <c r="LQQ53" s="15"/>
      <c r="LQR53" s="15"/>
      <c r="LQS53" s="15"/>
      <c r="LQT53" s="15"/>
      <c r="LQU53" s="15"/>
      <c r="LQV53" s="15"/>
      <c r="LQW53" s="15"/>
      <c r="LQX53" s="15"/>
      <c r="LQY53" s="15"/>
      <c r="LQZ53" s="15"/>
      <c r="LRA53" s="15"/>
      <c r="LRB53" s="15"/>
      <c r="LRC53" s="15"/>
      <c r="LRD53" s="15"/>
      <c r="LRE53" s="15"/>
      <c r="LRF53" s="15"/>
      <c r="LRG53" s="15"/>
      <c r="LRH53" s="15"/>
      <c r="LRI53" s="15"/>
      <c r="LRJ53" s="15"/>
      <c r="LRK53" s="15"/>
      <c r="LRL53" s="15"/>
      <c r="LRM53" s="15"/>
      <c r="LRN53" s="15"/>
      <c r="LRO53" s="15"/>
      <c r="LRP53" s="15"/>
      <c r="LRQ53" s="15"/>
      <c r="LRR53" s="15"/>
      <c r="LRS53" s="15"/>
      <c r="LRT53" s="15"/>
      <c r="LRU53" s="15"/>
      <c r="LRV53" s="15"/>
      <c r="LRW53" s="15"/>
      <c r="LRX53" s="15"/>
      <c r="LRY53" s="15"/>
      <c r="LRZ53" s="15"/>
      <c r="LSA53" s="15"/>
      <c r="LSB53" s="15"/>
      <c r="LSC53" s="15"/>
      <c r="LSD53" s="15"/>
      <c r="LSE53" s="15"/>
      <c r="LSF53" s="15"/>
      <c r="LSG53" s="15"/>
      <c r="LSH53" s="15"/>
      <c r="LSI53" s="15"/>
      <c r="LSJ53" s="15"/>
      <c r="LSK53" s="15"/>
      <c r="LSL53" s="15"/>
      <c r="LSM53" s="15"/>
      <c r="LSN53" s="15"/>
      <c r="LSO53" s="15"/>
      <c r="LSP53" s="15"/>
      <c r="LSQ53" s="15"/>
      <c r="LSR53" s="15"/>
      <c r="LSS53" s="15"/>
      <c r="LST53" s="15"/>
      <c r="LSU53" s="15"/>
      <c r="LSV53" s="15"/>
      <c r="LSW53" s="15"/>
      <c r="LSX53" s="15"/>
      <c r="LSY53" s="15"/>
      <c r="LSZ53" s="15"/>
      <c r="LTA53" s="15"/>
      <c r="LTB53" s="15"/>
      <c r="LTC53" s="15"/>
      <c r="LTD53" s="15"/>
      <c r="LTE53" s="15"/>
      <c r="LTF53" s="15"/>
      <c r="LTG53" s="15"/>
      <c r="LTH53" s="15"/>
      <c r="LTI53" s="15"/>
      <c r="LTJ53" s="15"/>
      <c r="LTK53" s="15"/>
      <c r="LTL53" s="15"/>
      <c r="LTM53" s="15"/>
      <c r="LTN53" s="15"/>
      <c r="LTO53" s="15"/>
      <c r="LTP53" s="15"/>
      <c r="LTQ53" s="15"/>
      <c r="LTR53" s="15"/>
      <c r="LTS53" s="15"/>
      <c r="LTT53" s="15"/>
      <c r="LTU53" s="15"/>
      <c r="LTV53" s="15"/>
      <c r="LTW53" s="15"/>
      <c r="LTX53" s="15"/>
      <c r="LTY53" s="15"/>
      <c r="LTZ53" s="15"/>
      <c r="LUA53" s="15"/>
      <c r="LUB53" s="15"/>
      <c r="LUC53" s="15"/>
      <c r="LUD53" s="15"/>
      <c r="LUE53" s="15"/>
      <c r="LUF53" s="15"/>
      <c r="LUG53" s="15"/>
      <c r="LUH53" s="15"/>
      <c r="LUI53" s="15"/>
      <c r="LUJ53" s="15"/>
      <c r="LUK53" s="15"/>
      <c r="LUL53" s="15"/>
      <c r="LUM53" s="15"/>
      <c r="LUN53" s="15"/>
      <c r="LUO53" s="15"/>
      <c r="LUP53" s="15"/>
      <c r="LUQ53" s="15"/>
      <c r="LUR53" s="15"/>
      <c r="LUS53" s="15"/>
      <c r="LUT53" s="15"/>
      <c r="LUU53" s="15"/>
      <c r="LUV53" s="15"/>
      <c r="LUW53" s="15"/>
      <c r="LUX53" s="15"/>
      <c r="LUY53" s="15"/>
      <c r="LUZ53" s="15"/>
      <c r="LVA53" s="15"/>
      <c r="LVB53" s="15"/>
      <c r="LVC53" s="15"/>
      <c r="LVD53" s="15"/>
      <c r="LVE53" s="15"/>
      <c r="LVF53" s="15"/>
      <c r="LVG53" s="15"/>
      <c r="LVH53" s="15"/>
      <c r="LVI53" s="15"/>
      <c r="LVJ53" s="15"/>
      <c r="LVK53" s="15"/>
      <c r="LVL53" s="15"/>
      <c r="LVM53" s="15"/>
      <c r="LVN53" s="15"/>
      <c r="LVO53" s="15"/>
      <c r="LVP53" s="15"/>
      <c r="LVQ53" s="15"/>
      <c r="LVR53" s="15"/>
      <c r="LVS53" s="15"/>
      <c r="LVT53" s="15"/>
      <c r="LVU53" s="15"/>
      <c r="LVV53" s="15"/>
      <c r="LVW53" s="15"/>
      <c r="LVX53" s="15"/>
      <c r="LVY53" s="15"/>
      <c r="LVZ53" s="15"/>
      <c r="LWA53" s="15"/>
      <c r="LWB53" s="15"/>
      <c r="LWC53" s="15"/>
      <c r="LWD53" s="15"/>
      <c r="LWE53" s="15"/>
      <c r="LWF53" s="15"/>
      <c r="LWG53" s="15"/>
      <c r="LWH53" s="15"/>
      <c r="LWI53" s="15"/>
      <c r="LWJ53" s="15"/>
      <c r="LWK53" s="15"/>
      <c r="LWL53" s="15"/>
      <c r="LWM53" s="15"/>
      <c r="LWN53" s="15"/>
      <c r="LWO53" s="15"/>
      <c r="LWP53" s="15"/>
      <c r="LWQ53" s="15"/>
      <c r="LWR53" s="15"/>
      <c r="LWS53" s="15"/>
      <c r="LWT53" s="15"/>
      <c r="LWU53" s="15"/>
      <c r="LWV53" s="15"/>
      <c r="LWW53" s="15"/>
      <c r="LWX53" s="15"/>
      <c r="LWY53" s="15"/>
      <c r="LWZ53" s="15"/>
      <c r="LXA53" s="15"/>
      <c r="LXB53" s="15"/>
      <c r="LXC53" s="15"/>
      <c r="LXD53" s="15"/>
      <c r="LXE53" s="15"/>
      <c r="LXF53" s="15"/>
      <c r="LXG53" s="15"/>
      <c r="LXH53" s="15"/>
      <c r="LXI53" s="15"/>
      <c r="LXJ53" s="15"/>
      <c r="LXK53" s="15"/>
      <c r="LXL53" s="15"/>
      <c r="LXM53" s="15"/>
      <c r="LXN53" s="15"/>
      <c r="LXO53" s="15"/>
      <c r="LXP53" s="15"/>
      <c r="LXQ53" s="15"/>
      <c r="LXR53" s="15"/>
      <c r="LXS53" s="15"/>
      <c r="LXT53" s="15"/>
      <c r="LXU53" s="15"/>
      <c r="LXV53" s="15"/>
      <c r="LXW53" s="15"/>
      <c r="LXX53" s="15"/>
      <c r="LXY53" s="15"/>
      <c r="LXZ53" s="15"/>
      <c r="LYA53" s="15"/>
      <c r="LYB53" s="15"/>
      <c r="LYC53" s="15"/>
      <c r="LYD53" s="15"/>
      <c r="LYE53" s="15"/>
      <c r="LYF53" s="15"/>
      <c r="LYG53" s="15"/>
      <c r="LYH53" s="15"/>
      <c r="LYI53" s="15"/>
      <c r="LYJ53" s="15"/>
      <c r="LYK53" s="15"/>
      <c r="LYL53" s="15"/>
      <c r="LYM53" s="15"/>
      <c r="LYN53" s="15"/>
      <c r="LYO53" s="15"/>
      <c r="LYP53" s="15"/>
      <c r="LYQ53" s="15"/>
      <c r="LYR53" s="15"/>
      <c r="LYS53" s="15"/>
      <c r="LYT53" s="15"/>
      <c r="LYU53" s="15"/>
      <c r="LYV53" s="15"/>
      <c r="LYW53" s="15"/>
      <c r="LYX53" s="15"/>
      <c r="LYY53" s="15"/>
      <c r="LYZ53" s="15"/>
      <c r="LZA53" s="15"/>
      <c r="LZB53" s="15"/>
      <c r="LZC53" s="15"/>
      <c r="LZD53" s="15"/>
      <c r="LZE53" s="15"/>
      <c r="LZF53" s="15"/>
      <c r="LZG53" s="15"/>
      <c r="LZH53" s="15"/>
      <c r="LZI53" s="15"/>
      <c r="LZJ53" s="15"/>
      <c r="LZK53" s="15"/>
      <c r="LZL53" s="15"/>
      <c r="LZM53" s="15"/>
      <c r="LZN53" s="15"/>
      <c r="LZO53" s="15"/>
      <c r="LZP53" s="15"/>
      <c r="LZQ53" s="15"/>
      <c r="LZR53" s="15"/>
      <c r="LZS53" s="15"/>
      <c r="LZT53" s="15"/>
      <c r="LZU53" s="15"/>
      <c r="LZV53" s="15"/>
      <c r="LZW53" s="15"/>
      <c r="LZX53" s="15"/>
      <c r="LZY53" s="15"/>
      <c r="LZZ53" s="15"/>
      <c r="MAA53" s="15"/>
      <c r="MAB53" s="15"/>
      <c r="MAC53" s="15"/>
      <c r="MAD53" s="15"/>
      <c r="MAE53" s="15"/>
      <c r="MAF53" s="15"/>
      <c r="MAG53" s="15"/>
      <c r="MAH53" s="15"/>
      <c r="MAI53" s="15"/>
      <c r="MAJ53" s="15"/>
      <c r="MAK53" s="15"/>
      <c r="MAL53" s="15"/>
      <c r="MAM53" s="15"/>
      <c r="MAN53" s="15"/>
      <c r="MAO53" s="15"/>
      <c r="MAP53" s="15"/>
      <c r="MAQ53" s="15"/>
      <c r="MAR53" s="15"/>
      <c r="MAS53" s="15"/>
      <c r="MAT53" s="15"/>
      <c r="MAU53" s="15"/>
      <c r="MAV53" s="15"/>
      <c r="MAW53" s="15"/>
      <c r="MAX53" s="15"/>
      <c r="MAY53" s="15"/>
      <c r="MAZ53" s="15"/>
      <c r="MBA53" s="15"/>
      <c r="MBB53" s="15"/>
      <c r="MBC53" s="15"/>
      <c r="MBD53" s="15"/>
      <c r="MBE53" s="15"/>
      <c r="MBF53" s="15"/>
      <c r="MBG53" s="15"/>
      <c r="MBH53" s="15"/>
      <c r="MBI53" s="15"/>
      <c r="MBJ53" s="15"/>
      <c r="MBK53" s="15"/>
      <c r="MBL53" s="15"/>
      <c r="MBM53" s="15"/>
      <c r="MBN53" s="15"/>
      <c r="MBO53" s="15"/>
      <c r="MBP53" s="15"/>
      <c r="MBQ53" s="15"/>
      <c r="MBR53" s="15"/>
      <c r="MBS53" s="15"/>
      <c r="MBT53" s="15"/>
      <c r="MBU53" s="15"/>
      <c r="MBV53" s="15"/>
      <c r="MBW53" s="15"/>
      <c r="MBX53" s="15"/>
      <c r="MBY53" s="15"/>
      <c r="MBZ53" s="15"/>
      <c r="MCA53" s="15"/>
      <c r="MCB53" s="15"/>
      <c r="MCC53" s="15"/>
      <c r="MCD53" s="15"/>
      <c r="MCE53" s="15"/>
      <c r="MCF53" s="15"/>
      <c r="MCG53" s="15"/>
      <c r="MCH53" s="15"/>
      <c r="MCI53" s="15"/>
      <c r="MCJ53" s="15"/>
      <c r="MCK53" s="15"/>
      <c r="MCL53" s="15"/>
      <c r="MCM53" s="15"/>
      <c r="MCN53" s="15"/>
      <c r="MCO53" s="15"/>
      <c r="MCP53" s="15"/>
      <c r="MCQ53" s="15"/>
      <c r="MCR53" s="15"/>
      <c r="MCS53" s="15"/>
      <c r="MCT53" s="15"/>
      <c r="MCU53" s="15"/>
      <c r="MCV53" s="15"/>
      <c r="MCW53" s="15"/>
      <c r="MCX53" s="15"/>
      <c r="MCY53" s="15"/>
      <c r="MCZ53" s="15"/>
      <c r="MDA53" s="15"/>
      <c r="MDB53" s="15"/>
      <c r="MDC53" s="15"/>
      <c r="MDD53" s="15"/>
      <c r="MDE53" s="15"/>
      <c r="MDF53" s="15"/>
      <c r="MDG53" s="15"/>
      <c r="MDH53" s="15"/>
      <c r="MDI53" s="15"/>
      <c r="MDJ53" s="15"/>
      <c r="MDK53" s="15"/>
      <c r="MDL53" s="15"/>
      <c r="MDM53" s="15"/>
      <c r="MDN53" s="15"/>
      <c r="MDO53" s="15"/>
      <c r="MDP53" s="15"/>
      <c r="MDQ53" s="15"/>
      <c r="MDR53" s="15"/>
      <c r="MDS53" s="15"/>
      <c r="MDT53" s="15"/>
      <c r="MDU53" s="15"/>
      <c r="MDV53" s="15"/>
      <c r="MDW53" s="15"/>
      <c r="MDX53" s="15"/>
      <c r="MDY53" s="15"/>
      <c r="MDZ53" s="15"/>
      <c r="MEA53" s="15"/>
      <c r="MEB53" s="15"/>
      <c r="MEC53" s="15"/>
      <c r="MED53" s="15"/>
      <c r="MEE53" s="15"/>
      <c r="MEF53" s="15"/>
      <c r="MEG53" s="15"/>
      <c r="MEH53" s="15"/>
      <c r="MEI53" s="15"/>
      <c r="MEJ53" s="15"/>
      <c r="MEK53" s="15"/>
      <c r="MEL53" s="15"/>
      <c r="MEM53" s="15"/>
      <c r="MEN53" s="15"/>
      <c r="MEO53" s="15"/>
      <c r="MEP53" s="15"/>
      <c r="MEQ53" s="15"/>
      <c r="MER53" s="15"/>
      <c r="MES53" s="15"/>
      <c r="MET53" s="15"/>
      <c r="MEU53" s="15"/>
      <c r="MEV53" s="15"/>
      <c r="MEW53" s="15"/>
      <c r="MEX53" s="15"/>
      <c r="MEY53" s="15"/>
      <c r="MEZ53" s="15"/>
      <c r="MFA53" s="15"/>
      <c r="MFB53" s="15"/>
      <c r="MFC53" s="15"/>
      <c r="MFD53" s="15"/>
      <c r="MFE53" s="15"/>
      <c r="MFF53" s="15"/>
      <c r="MFG53" s="15"/>
      <c r="MFH53" s="15"/>
      <c r="MFI53" s="15"/>
      <c r="MFJ53" s="15"/>
      <c r="MFK53" s="15"/>
      <c r="MFL53" s="15"/>
      <c r="MFM53" s="15"/>
      <c r="MFN53" s="15"/>
      <c r="MFO53" s="15"/>
      <c r="MFP53" s="15"/>
      <c r="MFQ53" s="15"/>
      <c r="MFR53" s="15"/>
      <c r="MFS53" s="15"/>
      <c r="MFT53" s="15"/>
      <c r="MFU53" s="15"/>
      <c r="MFV53" s="15"/>
      <c r="MFW53" s="15"/>
      <c r="MFX53" s="15"/>
      <c r="MFY53" s="15"/>
      <c r="MFZ53" s="15"/>
      <c r="MGA53" s="15"/>
      <c r="MGB53" s="15"/>
      <c r="MGC53" s="15"/>
      <c r="MGD53" s="15"/>
      <c r="MGE53" s="15"/>
      <c r="MGF53" s="15"/>
      <c r="MGG53" s="15"/>
      <c r="MGH53" s="15"/>
      <c r="MGI53" s="15"/>
      <c r="MGJ53" s="15"/>
      <c r="MGK53" s="15"/>
      <c r="MGL53" s="15"/>
      <c r="MGM53" s="15"/>
      <c r="MGN53" s="15"/>
      <c r="MGO53" s="15"/>
      <c r="MGP53" s="15"/>
      <c r="MGQ53" s="15"/>
      <c r="MGR53" s="15"/>
      <c r="MGS53" s="15"/>
      <c r="MGT53" s="15"/>
      <c r="MGU53" s="15"/>
      <c r="MGV53" s="15"/>
      <c r="MGW53" s="15"/>
      <c r="MGX53" s="15"/>
      <c r="MGY53" s="15"/>
      <c r="MGZ53" s="15"/>
      <c r="MHA53" s="15"/>
      <c r="MHB53" s="15"/>
      <c r="MHC53" s="15"/>
      <c r="MHD53" s="15"/>
      <c r="MHE53" s="15"/>
      <c r="MHF53" s="15"/>
      <c r="MHG53" s="15"/>
      <c r="MHH53" s="15"/>
      <c r="MHI53" s="15"/>
      <c r="MHJ53" s="15"/>
      <c r="MHK53" s="15"/>
      <c r="MHL53" s="15"/>
      <c r="MHM53" s="15"/>
      <c r="MHN53" s="15"/>
      <c r="MHO53" s="15"/>
      <c r="MHP53" s="15"/>
      <c r="MHQ53" s="15"/>
      <c r="MHR53" s="15"/>
      <c r="MHS53" s="15"/>
      <c r="MHT53" s="15"/>
      <c r="MHU53" s="15"/>
      <c r="MHV53" s="15"/>
      <c r="MHW53" s="15"/>
      <c r="MHX53" s="15"/>
      <c r="MHY53" s="15"/>
      <c r="MHZ53" s="15"/>
      <c r="MIA53" s="15"/>
      <c r="MIB53" s="15"/>
      <c r="MIC53" s="15"/>
      <c r="MID53" s="15"/>
      <c r="MIE53" s="15"/>
      <c r="MIF53" s="15"/>
      <c r="MIG53" s="15"/>
      <c r="MIH53" s="15"/>
      <c r="MII53" s="15"/>
      <c r="MIJ53" s="15"/>
      <c r="MIK53" s="15"/>
      <c r="MIL53" s="15"/>
      <c r="MIM53" s="15"/>
      <c r="MIN53" s="15"/>
      <c r="MIO53" s="15"/>
      <c r="MIP53" s="15"/>
      <c r="MIQ53" s="15"/>
      <c r="MIR53" s="15"/>
      <c r="MIS53" s="15"/>
      <c r="MIT53" s="15"/>
      <c r="MIU53" s="15"/>
      <c r="MIV53" s="15"/>
      <c r="MIW53" s="15"/>
      <c r="MIX53" s="15"/>
      <c r="MIY53" s="15"/>
      <c r="MIZ53" s="15"/>
      <c r="MJA53" s="15"/>
      <c r="MJB53" s="15"/>
      <c r="MJC53" s="15"/>
      <c r="MJD53" s="15"/>
      <c r="MJE53" s="15"/>
      <c r="MJF53" s="15"/>
      <c r="MJG53" s="15"/>
      <c r="MJH53" s="15"/>
      <c r="MJI53" s="15"/>
      <c r="MJJ53" s="15"/>
      <c r="MJK53" s="15"/>
      <c r="MJL53" s="15"/>
      <c r="MJM53" s="15"/>
      <c r="MJN53" s="15"/>
      <c r="MJO53" s="15"/>
      <c r="MJP53" s="15"/>
      <c r="MJQ53" s="15"/>
      <c r="MJR53" s="15"/>
      <c r="MJS53" s="15"/>
      <c r="MJT53" s="15"/>
      <c r="MJU53" s="15"/>
      <c r="MJV53" s="15"/>
      <c r="MJW53" s="15"/>
      <c r="MJX53" s="15"/>
      <c r="MJY53" s="15"/>
      <c r="MJZ53" s="15"/>
      <c r="MKA53" s="15"/>
      <c r="MKB53" s="15"/>
      <c r="MKC53" s="15"/>
      <c r="MKD53" s="15"/>
      <c r="MKE53" s="15"/>
      <c r="MKF53" s="15"/>
      <c r="MKG53" s="15"/>
      <c r="MKH53" s="15"/>
      <c r="MKI53" s="15"/>
      <c r="MKJ53" s="15"/>
      <c r="MKK53" s="15"/>
      <c r="MKL53" s="15"/>
      <c r="MKM53" s="15"/>
      <c r="MKN53" s="15"/>
      <c r="MKO53" s="15"/>
      <c r="MKP53" s="15"/>
      <c r="MKQ53" s="15"/>
      <c r="MKR53" s="15"/>
      <c r="MKS53" s="15"/>
      <c r="MKT53" s="15"/>
      <c r="MKU53" s="15"/>
      <c r="MKV53" s="15"/>
      <c r="MKW53" s="15"/>
      <c r="MKX53" s="15"/>
      <c r="MKY53" s="15"/>
      <c r="MKZ53" s="15"/>
      <c r="MLA53" s="15"/>
      <c r="MLB53" s="15"/>
      <c r="MLC53" s="15"/>
      <c r="MLD53" s="15"/>
      <c r="MLE53" s="15"/>
      <c r="MLF53" s="15"/>
      <c r="MLG53" s="15"/>
      <c r="MLH53" s="15"/>
      <c r="MLI53" s="15"/>
      <c r="MLJ53" s="15"/>
      <c r="MLK53" s="15"/>
      <c r="MLL53" s="15"/>
      <c r="MLM53" s="15"/>
      <c r="MLN53" s="15"/>
      <c r="MLO53" s="15"/>
      <c r="MLP53" s="15"/>
      <c r="MLQ53" s="15"/>
      <c r="MLR53" s="15"/>
      <c r="MLS53" s="15"/>
      <c r="MLT53" s="15"/>
      <c r="MLU53" s="15"/>
      <c r="MLV53" s="15"/>
      <c r="MLW53" s="15"/>
      <c r="MLX53" s="15"/>
      <c r="MLY53" s="15"/>
      <c r="MLZ53" s="15"/>
      <c r="MMA53" s="15"/>
      <c r="MMB53" s="15"/>
      <c r="MMC53" s="15"/>
      <c r="MMD53" s="15"/>
      <c r="MME53" s="15"/>
      <c r="MMF53" s="15"/>
      <c r="MMG53" s="15"/>
      <c r="MMH53" s="15"/>
      <c r="MMI53" s="15"/>
      <c r="MMJ53" s="15"/>
      <c r="MMK53" s="15"/>
      <c r="MML53" s="15"/>
      <c r="MMM53" s="15"/>
      <c r="MMN53" s="15"/>
      <c r="MMO53" s="15"/>
      <c r="MMP53" s="15"/>
      <c r="MMQ53" s="15"/>
      <c r="MMR53" s="15"/>
      <c r="MMS53" s="15"/>
      <c r="MMT53" s="15"/>
      <c r="MMU53" s="15"/>
      <c r="MMV53" s="15"/>
      <c r="MMW53" s="15"/>
      <c r="MMX53" s="15"/>
      <c r="MMY53" s="15"/>
      <c r="MMZ53" s="15"/>
      <c r="MNA53" s="15"/>
      <c r="MNB53" s="15"/>
      <c r="MNC53" s="15"/>
      <c r="MND53" s="15"/>
      <c r="MNE53" s="15"/>
      <c r="MNF53" s="15"/>
      <c r="MNG53" s="15"/>
      <c r="MNH53" s="15"/>
      <c r="MNI53" s="15"/>
      <c r="MNJ53" s="15"/>
      <c r="MNK53" s="15"/>
      <c r="MNL53" s="15"/>
      <c r="MNM53" s="15"/>
      <c r="MNN53" s="15"/>
      <c r="MNO53" s="15"/>
      <c r="MNP53" s="15"/>
      <c r="MNQ53" s="15"/>
      <c r="MNR53" s="15"/>
      <c r="MNS53" s="15"/>
      <c r="MNT53" s="15"/>
      <c r="MNU53" s="15"/>
      <c r="MNV53" s="15"/>
      <c r="MNW53" s="15"/>
      <c r="MNX53" s="15"/>
      <c r="MNY53" s="15"/>
      <c r="MNZ53" s="15"/>
      <c r="MOA53" s="15"/>
      <c r="MOB53" s="15"/>
      <c r="MOC53" s="15"/>
      <c r="MOD53" s="15"/>
      <c r="MOE53" s="15"/>
      <c r="MOF53" s="15"/>
      <c r="MOG53" s="15"/>
      <c r="MOH53" s="15"/>
      <c r="MOI53" s="15"/>
      <c r="MOJ53" s="15"/>
      <c r="MOK53" s="15"/>
      <c r="MOL53" s="15"/>
      <c r="MOM53" s="15"/>
      <c r="MON53" s="15"/>
      <c r="MOO53" s="15"/>
      <c r="MOP53" s="15"/>
      <c r="MOQ53" s="15"/>
      <c r="MOR53" s="15"/>
      <c r="MOS53" s="15"/>
      <c r="MOT53" s="15"/>
      <c r="MOU53" s="15"/>
      <c r="MOV53" s="15"/>
      <c r="MOW53" s="15"/>
      <c r="MOX53" s="15"/>
      <c r="MOY53" s="15"/>
      <c r="MOZ53" s="15"/>
      <c r="MPA53" s="15"/>
      <c r="MPB53" s="15"/>
      <c r="MPC53" s="15"/>
      <c r="MPD53" s="15"/>
      <c r="MPE53" s="15"/>
      <c r="MPF53" s="15"/>
      <c r="MPG53" s="15"/>
      <c r="MPH53" s="15"/>
      <c r="MPI53" s="15"/>
      <c r="MPJ53" s="15"/>
      <c r="MPK53" s="15"/>
      <c r="MPL53" s="15"/>
      <c r="MPM53" s="15"/>
      <c r="MPN53" s="15"/>
      <c r="MPO53" s="15"/>
      <c r="MPP53" s="15"/>
      <c r="MPQ53" s="15"/>
      <c r="MPR53" s="15"/>
      <c r="MPS53" s="15"/>
      <c r="MPT53" s="15"/>
      <c r="MPU53" s="15"/>
      <c r="MPV53" s="15"/>
      <c r="MPW53" s="15"/>
      <c r="MPX53" s="15"/>
      <c r="MPY53" s="15"/>
      <c r="MPZ53" s="15"/>
      <c r="MQA53" s="15"/>
      <c r="MQB53" s="15"/>
      <c r="MQC53" s="15"/>
      <c r="MQD53" s="15"/>
      <c r="MQE53" s="15"/>
      <c r="MQF53" s="15"/>
      <c r="MQG53" s="15"/>
      <c r="MQH53" s="15"/>
      <c r="MQI53" s="15"/>
      <c r="MQJ53" s="15"/>
      <c r="MQK53" s="15"/>
      <c r="MQL53" s="15"/>
      <c r="MQM53" s="15"/>
      <c r="MQN53" s="15"/>
      <c r="MQO53" s="15"/>
      <c r="MQP53" s="15"/>
      <c r="MQQ53" s="15"/>
      <c r="MQR53" s="15"/>
      <c r="MQS53" s="15"/>
      <c r="MQT53" s="15"/>
      <c r="MQU53" s="15"/>
      <c r="MQV53" s="15"/>
      <c r="MQW53" s="15"/>
      <c r="MQX53" s="15"/>
      <c r="MQY53" s="15"/>
      <c r="MQZ53" s="15"/>
      <c r="MRA53" s="15"/>
      <c r="MRB53" s="15"/>
      <c r="MRC53" s="15"/>
      <c r="MRD53" s="15"/>
      <c r="MRE53" s="15"/>
      <c r="MRF53" s="15"/>
      <c r="MRG53" s="15"/>
      <c r="MRH53" s="15"/>
      <c r="MRI53" s="15"/>
      <c r="MRJ53" s="15"/>
      <c r="MRK53" s="15"/>
      <c r="MRL53" s="15"/>
      <c r="MRM53" s="15"/>
      <c r="MRN53" s="15"/>
      <c r="MRO53" s="15"/>
      <c r="MRP53" s="15"/>
      <c r="MRQ53" s="15"/>
      <c r="MRR53" s="15"/>
      <c r="MRS53" s="15"/>
      <c r="MRT53" s="15"/>
      <c r="MRU53" s="15"/>
      <c r="MRV53" s="15"/>
      <c r="MRW53" s="15"/>
      <c r="MRX53" s="15"/>
      <c r="MRY53" s="15"/>
      <c r="MRZ53" s="15"/>
      <c r="MSA53" s="15"/>
      <c r="MSB53" s="15"/>
      <c r="MSC53" s="15"/>
      <c r="MSD53" s="15"/>
      <c r="MSE53" s="15"/>
      <c r="MSF53" s="15"/>
      <c r="MSG53" s="15"/>
      <c r="MSH53" s="15"/>
      <c r="MSI53" s="15"/>
      <c r="MSJ53" s="15"/>
      <c r="MSK53" s="15"/>
      <c r="MSL53" s="15"/>
      <c r="MSM53" s="15"/>
      <c r="MSN53" s="15"/>
      <c r="MSO53" s="15"/>
      <c r="MSP53" s="15"/>
      <c r="MSQ53" s="15"/>
      <c r="MSR53" s="15"/>
      <c r="MSS53" s="15"/>
      <c r="MST53" s="15"/>
      <c r="MSU53" s="15"/>
      <c r="MSV53" s="15"/>
      <c r="MSW53" s="15"/>
      <c r="MSX53" s="15"/>
      <c r="MSY53" s="15"/>
      <c r="MSZ53" s="15"/>
      <c r="MTA53" s="15"/>
      <c r="MTB53" s="15"/>
      <c r="MTC53" s="15"/>
      <c r="MTD53" s="15"/>
      <c r="MTE53" s="15"/>
      <c r="MTF53" s="15"/>
      <c r="MTG53" s="15"/>
      <c r="MTH53" s="15"/>
      <c r="MTI53" s="15"/>
      <c r="MTJ53" s="15"/>
      <c r="MTK53" s="15"/>
      <c r="MTL53" s="15"/>
      <c r="MTM53" s="15"/>
      <c r="MTN53" s="15"/>
      <c r="MTO53" s="15"/>
      <c r="MTP53" s="15"/>
      <c r="MTQ53" s="15"/>
      <c r="MTR53" s="15"/>
      <c r="MTS53" s="15"/>
      <c r="MTT53" s="15"/>
      <c r="MTU53" s="15"/>
      <c r="MTV53" s="15"/>
      <c r="MTW53" s="15"/>
      <c r="MTX53" s="15"/>
      <c r="MTY53" s="15"/>
      <c r="MTZ53" s="15"/>
      <c r="MUA53" s="15"/>
      <c r="MUB53" s="15"/>
      <c r="MUC53" s="15"/>
      <c r="MUD53" s="15"/>
      <c r="MUE53" s="15"/>
      <c r="MUF53" s="15"/>
      <c r="MUG53" s="15"/>
      <c r="MUH53" s="15"/>
      <c r="MUI53" s="15"/>
      <c r="MUJ53" s="15"/>
      <c r="MUK53" s="15"/>
      <c r="MUL53" s="15"/>
      <c r="MUM53" s="15"/>
      <c r="MUN53" s="15"/>
      <c r="MUO53" s="15"/>
      <c r="MUP53" s="15"/>
      <c r="MUQ53" s="15"/>
      <c r="MUR53" s="15"/>
      <c r="MUS53" s="15"/>
      <c r="MUT53" s="15"/>
      <c r="MUU53" s="15"/>
      <c r="MUV53" s="15"/>
      <c r="MUW53" s="15"/>
      <c r="MUX53" s="15"/>
      <c r="MUY53" s="15"/>
      <c r="MUZ53" s="15"/>
      <c r="MVA53" s="15"/>
      <c r="MVB53" s="15"/>
      <c r="MVC53" s="15"/>
      <c r="MVD53" s="15"/>
      <c r="MVE53" s="15"/>
      <c r="MVF53" s="15"/>
      <c r="MVG53" s="15"/>
      <c r="MVH53" s="15"/>
      <c r="MVI53" s="15"/>
      <c r="MVJ53" s="15"/>
      <c r="MVK53" s="15"/>
      <c r="MVL53" s="15"/>
      <c r="MVM53" s="15"/>
      <c r="MVN53" s="15"/>
      <c r="MVO53" s="15"/>
      <c r="MVP53" s="15"/>
      <c r="MVQ53" s="15"/>
      <c r="MVR53" s="15"/>
      <c r="MVS53" s="15"/>
      <c r="MVT53" s="15"/>
      <c r="MVU53" s="15"/>
      <c r="MVV53" s="15"/>
      <c r="MVW53" s="15"/>
      <c r="MVX53" s="15"/>
      <c r="MVY53" s="15"/>
      <c r="MVZ53" s="15"/>
      <c r="MWA53" s="15"/>
      <c r="MWB53" s="15"/>
      <c r="MWC53" s="15"/>
      <c r="MWD53" s="15"/>
      <c r="MWE53" s="15"/>
      <c r="MWF53" s="15"/>
      <c r="MWG53" s="15"/>
      <c r="MWH53" s="15"/>
      <c r="MWI53" s="15"/>
      <c r="MWJ53" s="15"/>
      <c r="MWK53" s="15"/>
      <c r="MWL53" s="15"/>
      <c r="MWM53" s="15"/>
      <c r="MWN53" s="15"/>
      <c r="MWO53" s="15"/>
      <c r="MWP53" s="15"/>
      <c r="MWQ53" s="15"/>
      <c r="MWR53" s="15"/>
      <c r="MWS53" s="15"/>
      <c r="MWT53" s="15"/>
      <c r="MWU53" s="15"/>
      <c r="MWV53" s="15"/>
      <c r="MWW53" s="15"/>
      <c r="MWX53" s="15"/>
      <c r="MWY53" s="15"/>
      <c r="MWZ53" s="15"/>
      <c r="MXA53" s="15"/>
      <c r="MXB53" s="15"/>
      <c r="MXC53" s="15"/>
      <c r="MXD53" s="15"/>
      <c r="MXE53" s="15"/>
      <c r="MXF53" s="15"/>
      <c r="MXG53" s="15"/>
      <c r="MXH53" s="15"/>
      <c r="MXI53" s="15"/>
      <c r="MXJ53" s="15"/>
      <c r="MXK53" s="15"/>
      <c r="MXL53" s="15"/>
      <c r="MXM53" s="15"/>
      <c r="MXN53" s="15"/>
      <c r="MXO53" s="15"/>
      <c r="MXP53" s="15"/>
      <c r="MXQ53" s="15"/>
      <c r="MXR53" s="15"/>
      <c r="MXS53" s="15"/>
      <c r="MXT53" s="15"/>
      <c r="MXU53" s="15"/>
      <c r="MXV53" s="15"/>
      <c r="MXW53" s="15"/>
      <c r="MXX53" s="15"/>
      <c r="MXY53" s="15"/>
      <c r="MXZ53" s="15"/>
      <c r="MYA53" s="15"/>
      <c r="MYB53" s="15"/>
      <c r="MYC53" s="15"/>
      <c r="MYD53" s="15"/>
      <c r="MYE53" s="15"/>
      <c r="MYF53" s="15"/>
      <c r="MYG53" s="15"/>
      <c r="MYH53" s="15"/>
      <c r="MYI53" s="15"/>
      <c r="MYJ53" s="15"/>
      <c r="MYK53" s="15"/>
      <c r="MYL53" s="15"/>
      <c r="MYM53" s="15"/>
      <c r="MYN53" s="15"/>
      <c r="MYO53" s="15"/>
      <c r="MYP53" s="15"/>
      <c r="MYQ53" s="15"/>
      <c r="MYR53" s="15"/>
      <c r="MYS53" s="15"/>
      <c r="MYT53" s="15"/>
      <c r="MYU53" s="15"/>
      <c r="MYV53" s="15"/>
      <c r="MYW53" s="15"/>
      <c r="MYX53" s="15"/>
      <c r="MYY53" s="15"/>
      <c r="MYZ53" s="15"/>
      <c r="MZA53" s="15"/>
      <c r="MZB53" s="15"/>
      <c r="MZC53" s="15"/>
      <c r="MZD53" s="15"/>
      <c r="MZE53" s="15"/>
      <c r="MZF53" s="15"/>
      <c r="MZG53" s="15"/>
      <c r="MZH53" s="15"/>
      <c r="MZI53" s="15"/>
      <c r="MZJ53" s="15"/>
      <c r="MZK53" s="15"/>
      <c r="MZL53" s="15"/>
      <c r="MZM53" s="15"/>
      <c r="MZN53" s="15"/>
      <c r="MZO53" s="15"/>
      <c r="MZP53" s="15"/>
      <c r="MZQ53" s="15"/>
      <c r="MZR53" s="15"/>
      <c r="MZS53" s="15"/>
      <c r="MZT53" s="15"/>
      <c r="MZU53" s="15"/>
      <c r="MZV53" s="15"/>
      <c r="MZW53" s="15"/>
      <c r="MZX53" s="15"/>
      <c r="MZY53" s="15"/>
      <c r="MZZ53" s="15"/>
      <c r="NAA53" s="15"/>
      <c r="NAB53" s="15"/>
      <c r="NAC53" s="15"/>
      <c r="NAD53" s="15"/>
      <c r="NAE53" s="15"/>
      <c r="NAF53" s="15"/>
      <c r="NAG53" s="15"/>
      <c r="NAH53" s="15"/>
      <c r="NAI53" s="15"/>
      <c r="NAJ53" s="15"/>
      <c r="NAK53" s="15"/>
      <c r="NAL53" s="15"/>
      <c r="NAM53" s="15"/>
      <c r="NAN53" s="15"/>
      <c r="NAO53" s="15"/>
      <c r="NAP53" s="15"/>
      <c r="NAQ53" s="15"/>
      <c r="NAR53" s="15"/>
      <c r="NAS53" s="15"/>
      <c r="NAT53" s="15"/>
      <c r="NAU53" s="15"/>
      <c r="NAV53" s="15"/>
      <c r="NAW53" s="15"/>
      <c r="NAX53" s="15"/>
      <c r="NAY53" s="15"/>
      <c r="NAZ53" s="15"/>
      <c r="NBA53" s="15"/>
      <c r="NBB53" s="15"/>
      <c r="NBC53" s="15"/>
      <c r="NBD53" s="15"/>
      <c r="NBE53" s="15"/>
      <c r="NBF53" s="15"/>
      <c r="NBG53" s="15"/>
      <c r="NBH53" s="15"/>
      <c r="NBI53" s="15"/>
      <c r="NBJ53" s="15"/>
      <c r="NBK53" s="15"/>
      <c r="NBL53" s="15"/>
      <c r="NBM53" s="15"/>
      <c r="NBN53" s="15"/>
      <c r="NBO53" s="15"/>
      <c r="NBP53" s="15"/>
      <c r="NBQ53" s="15"/>
      <c r="NBR53" s="15"/>
      <c r="NBS53" s="15"/>
      <c r="NBT53" s="15"/>
      <c r="NBU53" s="15"/>
      <c r="NBV53" s="15"/>
      <c r="NBW53" s="15"/>
      <c r="NBX53" s="15"/>
      <c r="NBY53" s="15"/>
      <c r="NBZ53" s="15"/>
      <c r="NCA53" s="15"/>
      <c r="NCB53" s="15"/>
      <c r="NCC53" s="15"/>
      <c r="NCD53" s="15"/>
      <c r="NCE53" s="15"/>
      <c r="NCF53" s="15"/>
      <c r="NCG53" s="15"/>
      <c r="NCH53" s="15"/>
      <c r="NCI53" s="15"/>
      <c r="NCJ53" s="15"/>
      <c r="NCK53" s="15"/>
      <c r="NCL53" s="15"/>
      <c r="NCM53" s="15"/>
      <c r="NCN53" s="15"/>
      <c r="NCO53" s="15"/>
      <c r="NCP53" s="15"/>
      <c r="NCQ53" s="15"/>
      <c r="NCR53" s="15"/>
      <c r="NCS53" s="15"/>
      <c r="NCT53" s="15"/>
      <c r="NCU53" s="15"/>
      <c r="NCV53" s="15"/>
      <c r="NCW53" s="15"/>
      <c r="NCX53" s="15"/>
      <c r="NCY53" s="15"/>
      <c r="NCZ53" s="15"/>
      <c r="NDA53" s="15"/>
      <c r="NDB53" s="15"/>
      <c r="NDC53" s="15"/>
      <c r="NDD53" s="15"/>
      <c r="NDE53" s="15"/>
      <c r="NDF53" s="15"/>
      <c r="NDG53" s="15"/>
      <c r="NDH53" s="15"/>
      <c r="NDI53" s="15"/>
      <c r="NDJ53" s="15"/>
      <c r="NDK53" s="15"/>
      <c r="NDL53" s="15"/>
      <c r="NDM53" s="15"/>
      <c r="NDN53" s="15"/>
      <c r="NDO53" s="15"/>
      <c r="NDP53" s="15"/>
      <c r="NDQ53" s="15"/>
      <c r="NDR53" s="15"/>
      <c r="NDS53" s="15"/>
      <c r="NDT53" s="15"/>
      <c r="NDU53" s="15"/>
      <c r="NDV53" s="15"/>
      <c r="NDW53" s="15"/>
      <c r="NDX53" s="15"/>
      <c r="NDY53" s="15"/>
      <c r="NDZ53" s="15"/>
      <c r="NEA53" s="15"/>
      <c r="NEB53" s="15"/>
      <c r="NEC53" s="15"/>
      <c r="NED53" s="15"/>
      <c r="NEE53" s="15"/>
      <c r="NEF53" s="15"/>
      <c r="NEG53" s="15"/>
      <c r="NEH53" s="15"/>
      <c r="NEI53" s="15"/>
      <c r="NEJ53" s="15"/>
      <c r="NEK53" s="15"/>
      <c r="NEL53" s="15"/>
      <c r="NEM53" s="15"/>
      <c r="NEN53" s="15"/>
      <c r="NEO53" s="15"/>
      <c r="NEP53" s="15"/>
      <c r="NEQ53" s="15"/>
      <c r="NER53" s="15"/>
      <c r="NES53" s="15"/>
      <c r="NET53" s="15"/>
      <c r="NEU53" s="15"/>
      <c r="NEV53" s="15"/>
      <c r="NEW53" s="15"/>
      <c r="NEX53" s="15"/>
      <c r="NEY53" s="15"/>
      <c r="NEZ53" s="15"/>
      <c r="NFA53" s="15"/>
      <c r="NFB53" s="15"/>
      <c r="NFC53" s="15"/>
      <c r="NFD53" s="15"/>
      <c r="NFE53" s="15"/>
      <c r="NFF53" s="15"/>
      <c r="NFG53" s="15"/>
      <c r="NFH53" s="15"/>
      <c r="NFI53" s="15"/>
      <c r="NFJ53" s="15"/>
      <c r="NFK53" s="15"/>
      <c r="NFL53" s="15"/>
      <c r="NFM53" s="15"/>
      <c r="NFN53" s="15"/>
      <c r="NFO53" s="15"/>
      <c r="NFP53" s="15"/>
      <c r="NFQ53" s="15"/>
      <c r="NFR53" s="15"/>
      <c r="NFS53" s="15"/>
      <c r="NFT53" s="15"/>
      <c r="NFU53" s="15"/>
      <c r="NFV53" s="15"/>
      <c r="NFW53" s="15"/>
      <c r="NFX53" s="15"/>
      <c r="NFY53" s="15"/>
      <c r="NFZ53" s="15"/>
      <c r="NGA53" s="15"/>
      <c r="NGB53" s="15"/>
      <c r="NGC53" s="15"/>
      <c r="NGD53" s="15"/>
      <c r="NGE53" s="15"/>
      <c r="NGF53" s="15"/>
      <c r="NGG53" s="15"/>
      <c r="NGH53" s="15"/>
      <c r="NGI53" s="15"/>
      <c r="NGJ53" s="15"/>
      <c r="NGK53" s="15"/>
      <c r="NGL53" s="15"/>
      <c r="NGM53" s="15"/>
      <c r="NGN53" s="15"/>
      <c r="NGO53" s="15"/>
      <c r="NGP53" s="15"/>
      <c r="NGQ53" s="15"/>
      <c r="NGR53" s="15"/>
      <c r="NGS53" s="15"/>
      <c r="NGT53" s="15"/>
      <c r="NGU53" s="15"/>
      <c r="NGV53" s="15"/>
      <c r="NGW53" s="15"/>
      <c r="NGX53" s="15"/>
      <c r="NGY53" s="15"/>
      <c r="NGZ53" s="15"/>
      <c r="NHA53" s="15"/>
      <c r="NHB53" s="15"/>
      <c r="NHC53" s="15"/>
      <c r="NHD53" s="15"/>
      <c r="NHE53" s="15"/>
      <c r="NHF53" s="15"/>
      <c r="NHG53" s="15"/>
      <c r="NHH53" s="15"/>
      <c r="NHI53" s="15"/>
      <c r="NHJ53" s="15"/>
      <c r="NHK53" s="15"/>
      <c r="NHL53" s="15"/>
      <c r="NHM53" s="15"/>
      <c r="NHN53" s="15"/>
      <c r="NHO53" s="15"/>
      <c r="NHP53" s="15"/>
      <c r="NHQ53" s="15"/>
      <c r="NHR53" s="15"/>
      <c r="NHS53" s="15"/>
      <c r="NHT53" s="15"/>
      <c r="NHU53" s="15"/>
      <c r="NHV53" s="15"/>
      <c r="NHW53" s="15"/>
      <c r="NHX53" s="15"/>
      <c r="NHY53" s="15"/>
      <c r="NHZ53" s="15"/>
      <c r="NIA53" s="15"/>
      <c r="NIB53" s="15"/>
      <c r="NIC53" s="15"/>
      <c r="NID53" s="15"/>
      <c r="NIE53" s="15"/>
      <c r="NIF53" s="15"/>
      <c r="NIG53" s="15"/>
      <c r="NIH53" s="15"/>
      <c r="NII53" s="15"/>
      <c r="NIJ53" s="15"/>
      <c r="NIK53" s="15"/>
      <c r="NIL53" s="15"/>
      <c r="NIM53" s="15"/>
      <c r="NIN53" s="15"/>
      <c r="NIO53" s="15"/>
      <c r="NIP53" s="15"/>
      <c r="NIQ53" s="15"/>
      <c r="NIR53" s="15"/>
      <c r="NIS53" s="15"/>
      <c r="NIT53" s="15"/>
      <c r="NIU53" s="15"/>
      <c r="NIV53" s="15"/>
      <c r="NIW53" s="15"/>
      <c r="NIX53" s="15"/>
      <c r="NIY53" s="15"/>
      <c r="NIZ53" s="15"/>
      <c r="NJA53" s="15"/>
      <c r="NJB53" s="15"/>
      <c r="NJC53" s="15"/>
      <c r="NJD53" s="15"/>
      <c r="NJE53" s="15"/>
      <c r="NJF53" s="15"/>
      <c r="NJG53" s="15"/>
      <c r="NJH53" s="15"/>
      <c r="NJI53" s="15"/>
      <c r="NJJ53" s="15"/>
      <c r="NJK53" s="15"/>
      <c r="NJL53" s="15"/>
      <c r="NJM53" s="15"/>
      <c r="NJN53" s="15"/>
      <c r="NJO53" s="15"/>
      <c r="NJP53" s="15"/>
      <c r="NJQ53" s="15"/>
      <c r="NJR53" s="15"/>
      <c r="NJS53" s="15"/>
      <c r="NJT53" s="15"/>
      <c r="NJU53" s="15"/>
      <c r="NJV53" s="15"/>
      <c r="NJW53" s="15"/>
      <c r="NJX53" s="15"/>
      <c r="NJY53" s="15"/>
      <c r="NJZ53" s="15"/>
      <c r="NKA53" s="15"/>
      <c r="NKB53" s="15"/>
      <c r="NKC53" s="15"/>
      <c r="NKD53" s="15"/>
      <c r="NKE53" s="15"/>
      <c r="NKF53" s="15"/>
      <c r="NKG53" s="15"/>
      <c r="NKH53" s="15"/>
      <c r="NKI53" s="15"/>
      <c r="NKJ53" s="15"/>
      <c r="NKK53" s="15"/>
      <c r="NKL53" s="15"/>
      <c r="NKM53" s="15"/>
      <c r="NKN53" s="15"/>
      <c r="NKO53" s="15"/>
      <c r="NKP53" s="15"/>
      <c r="NKQ53" s="15"/>
      <c r="NKR53" s="15"/>
      <c r="NKS53" s="15"/>
      <c r="NKT53" s="15"/>
      <c r="NKU53" s="15"/>
      <c r="NKV53" s="15"/>
      <c r="NKW53" s="15"/>
      <c r="NKX53" s="15"/>
      <c r="NKY53" s="15"/>
      <c r="NKZ53" s="15"/>
      <c r="NLA53" s="15"/>
      <c r="NLB53" s="15"/>
      <c r="NLC53" s="15"/>
      <c r="NLD53" s="15"/>
      <c r="NLE53" s="15"/>
      <c r="NLF53" s="15"/>
      <c r="NLG53" s="15"/>
      <c r="NLH53" s="15"/>
      <c r="NLI53" s="15"/>
      <c r="NLJ53" s="15"/>
      <c r="NLK53" s="15"/>
      <c r="NLL53" s="15"/>
      <c r="NLM53" s="15"/>
      <c r="NLN53" s="15"/>
      <c r="NLO53" s="15"/>
      <c r="NLP53" s="15"/>
      <c r="NLQ53" s="15"/>
      <c r="NLR53" s="15"/>
      <c r="NLS53" s="15"/>
      <c r="NLT53" s="15"/>
      <c r="NLU53" s="15"/>
      <c r="NLV53" s="15"/>
      <c r="NLW53" s="15"/>
      <c r="NLX53" s="15"/>
      <c r="NLY53" s="15"/>
      <c r="NLZ53" s="15"/>
      <c r="NMA53" s="15"/>
      <c r="NMB53" s="15"/>
      <c r="NMC53" s="15"/>
      <c r="NMD53" s="15"/>
      <c r="NME53" s="15"/>
      <c r="NMF53" s="15"/>
      <c r="NMG53" s="15"/>
      <c r="NMH53" s="15"/>
      <c r="NMI53" s="15"/>
      <c r="NMJ53" s="15"/>
      <c r="NMK53" s="15"/>
      <c r="NML53" s="15"/>
      <c r="NMM53" s="15"/>
      <c r="NMN53" s="15"/>
      <c r="NMO53" s="15"/>
      <c r="NMP53" s="15"/>
      <c r="NMQ53" s="15"/>
      <c r="NMR53" s="15"/>
      <c r="NMS53" s="15"/>
      <c r="NMT53" s="15"/>
      <c r="NMU53" s="15"/>
      <c r="NMV53" s="15"/>
      <c r="NMW53" s="15"/>
      <c r="NMX53" s="15"/>
      <c r="NMY53" s="15"/>
      <c r="NMZ53" s="15"/>
      <c r="NNA53" s="15"/>
      <c r="NNB53" s="15"/>
      <c r="NNC53" s="15"/>
      <c r="NND53" s="15"/>
      <c r="NNE53" s="15"/>
      <c r="NNF53" s="15"/>
      <c r="NNG53" s="15"/>
      <c r="NNH53" s="15"/>
      <c r="NNI53" s="15"/>
      <c r="NNJ53" s="15"/>
      <c r="NNK53" s="15"/>
      <c r="NNL53" s="15"/>
      <c r="NNM53" s="15"/>
      <c r="NNN53" s="15"/>
      <c r="NNO53" s="15"/>
      <c r="NNP53" s="15"/>
      <c r="NNQ53" s="15"/>
      <c r="NNR53" s="15"/>
      <c r="NNS53" s="15"/>
      <c r="NNT53" s="15"/>
      <c r="NNU53" s="15"/>
      <c r="NNV53" s="15"/>
      <c r="NNW53" s="15"/>
      <c r="NNX53" s="15"/>
      <c r="NNY53" s="15"/>
      <c r="NNZ53" s="15"/>
      <c r="NOA53" s="15"/>
      <c r="NOB53" s="15"/>
      <c r="NOC53" s="15"/>
      <c r="NOD53" s="15"/>
      <c r="NOE53" s="15"/>
      <c r="NOF53" s="15"/>
      <c r="NOG53" s="15"/>
      <c r="NOH53" s="15"/>
      <c r="NOI53" s="15"/>
      <c r="NOJ53" s="15"/>
      <c r="NOK53" s="15"/>
      <c r="NOL53" s="15"/>
      <c r="NOM53" s="15"/>
      <c r="NON53" s="15"/>
      <c r="NOO53" s="15"/>
      <c r="NOP53" s="15"/>
      <c r="NOQ53" s="15"/>
      <c r="NOR53" s="15"/>
      <c r="NOS53" s="15"/>
      <c r="NOT53" s="15"/>
      <c r="NOU53" s="15"/>
      <c r="NOV53" s="15"/>
      <c r="NOW53" s="15"/>
      <c r="NOX53" s="15"/>
      <c r="NOY53" s="15"/>
      <c r="NOZ53" s="15"/>
      <c r="NPA53" s="15"/>
      <c r="NPB53" s="15"/>
      <c r="NPC53" s="15"/>
      <c r="NPD53" s="15"/>
      <c r="NPE53" s="15"/>
      <c r="NPF53" s="15"/>
      <c r="NPG53" s="15"/>
      <c r="NPH53" s="15"/>
      <c r="NPI53" s="15"/>
      <c r="NPJ53" s="15"/>
      <c r="NPK53" s="15"/>
      <c r="NPL53" s="15"/>
      <c r="NPM53" s="15"/>
      <c r="NPN53" s="15"/>
      <c r="NPO53" s="15"/>
      <c r="NPP53" s="15"/>
      <c r="NPQ53" s="15"/>
      <c r="NPR53" s="15"/>
      <c r="NPS53" s="15"/>
      <c r="NPT53" s="15"/>
      <c r="NPU53" s="15"/>
      <c r="NPV53" s="15"/>
      <c r="NPW53" s="15"/>
      <c r="NPX53" s="15"/>
      <c r="NPY53" s="15"/>
      <c r="NPZ53" s="15"/>
      <c r="NQA53" s="15"/>
      <c r="NQB53" s="15"/>
      <c r="NQC53" s="15"/>
      <c r="NQD53" s="15"/>
      <c r="NQE53" s="15"/>
      <c r="NQF53" s="15"/>
      <c r="NQG53" s="15"/>
      <c r="NQH53" s="15"/>
      <c r="NQI53" s="15"/>
      <c r="NQJ53" s="15"/>
      <c r="NQK53" s="15"/>
      <c r="NQL53" s="15"/>
      <c r="NQM53" s="15"/>
      <c r="NQN53" s="15"/>
      <c r="NQO53" s="15"/>
      <c r="NQP53" s="15"/>
      <c r="NQQ53" s="15"/>
      <c r="NQR53" s="15"/>
      <c r="NQS53" s="15"/>
      <c r="NQT53" s="15"/>
      <c r="NQU53" s="15"/>
      <c r="NQV53" s="15"/>
      <c r="NQW53" s="15"/>
      <c r="NQX53" s="15"/>
      <c r="NQY53" s="15"/>
      <c r="NQZ53" s="15"/>
      <c r="NRA53" s="15"/>
      <c r="NRB53" s="15"/>
      <c r="NRC53" s="15"/>
      <c r="NRD53" s="15"/>
      <c r="NRE53" s="15"/>
      <c r="NRF53" s="15"/>
      <c r="NRG53" s="15"/>
      <c r="NRH53" s="15"/>
      <c r="NRI53" s="15"/>
      <c r="NRJ53" s="15"/>
      <c r="NRK53" s="15"/>
      <c r="NRL53" s="15"/>
      <c r="NRM53" s="15"/>
      <c r="NRN53" s="15"/>
      <c r="NRO53" s="15"/>
      <c r="NRP53" s="15"/>
      <c r="NRQ53" s="15"/>
      <c r="NRR53" s="15"/>
      <c r="NRS53" s="15"/>
      <c r="NRT53" s="15"/>
      <c r="NRU53" s="15"/>
      <c r="NRV53" s="15"/>
      <c r="NRW53" s="15"/>
      <c r="NRX53" s="15"/>
      <c r="NRY53" s="15"/>
      <c r="NRZ53" s="15"/>
      <c r="NSA53" s="15"/>
      <c r="NSB53" s="15"/>
      <c r="NSC53" s="15"/>
      <c r="NSD53" s="15"/>
      <c r="NSE53" s="15"/>
      <c r="NSF53" s="15"/>
      <c r="NSG53" s="15"/>
      <c r="NSH53" s="15"/>
      <c r="NSI53" s="15"/>
      <c r="NSJ53" s="15"/>
      <c r="NSK53" s="15"/>
      <c r="NSL53" s="15"/>
      <c r="NSM53" s="15"/>
      <c r="NSN53" s="15"/>
      <c r="NSO53" s="15"/>
      <c r="NSP53" s="15"/>
      <c r="NSQ53" s="15"/>
      <c r="NSR53" s="15"/>
      <c r="NSS53" s="15"/>
      <c r="NST53" s="15"/>
      <c r="NSU53" s="15"/>
      <c r="NSV53" s="15"/>
      <c r="NSW53" s="15"/>
      <c r="NSX53" s="15"/>
      <c r="NSY53" s="15"/>
      <c r="NSZ53" s="15"/>
      <c r="NTA53" s="15"/>
      <c r="NTB53" s="15"/>
      <c r="NTC53" s="15"/>
      <c r="NTD53" s="15"/>
      <c r="NTE53" s="15"/>
      <c r="NTF53" s="15"/>
      <c r="NTG53" s="15"/>
      <c r="NTH53" s="15"/>
      <c r="NTI53" s="15"/>
      <c r="NTJ53" s="15"/>
      <c r="NTK53" s="15"/>
      <c r="NTL53" s="15"/>
      <c r="NTM53" s="15"/>
      <c r="NTN53" s="15"/>
      <c r="NTO53" s="15"/>
      <c r="NTP53" s="15"/>
      <c r="NTQ53" s="15"/>
      <c r="NTR53" s="15"/>
      <c r="NTS53" s="15"/>
      <c r="NTT53" s="15"/>
      <c r="NTU53" s="15"/>
      <c r="NTV53" s="15"/>
      <c r="NTW53" s="15"/>
      <c r="NTX53" s="15"/>
      <c r="NTY53" s="15"/>
      <c r="NTZ53" s="15"/>
      <c r="NUA53" s="15"/>
      <c r="NUB53" s="15"/>
      <c r="NUC53" s="15"/>
      <c r="NUD53" s="15"/>
      <c r="NUE53" s="15"/>
      <c r="NUF53" s="15"/>
      <c r="NUG53" s="15"/>
      <c r="NUH53" s="15"/>
      <c r="NUI53" s="15"/>
      <c r="NUJ53" s="15"/>
      <c r="NUK53" s="15"/>
      <c r="NUL53" s="15"/>
      <c r="NUM53" s="15"/>
      <c r="NUN53" s="15"/>
      <c r="NUO53" s="15"/>
      <c r="NUP53" s="15"/>
      <c r="NUQ53" s="15"/>
      <c r="NUR53" s="15"/>
      <c r="NUS53" s="15"/>
      <c r="NUT53" s="15"/>
      <c r="NUU53" s="15"/>
      <c r="NUV53" s="15"/>
      <c r="NUW53" s="15"/>
      <c r="NUX53" s="15"/>
      <c r="NUY53" s="15"/>
      <c r="NUZ53" s="15"/>
      <c r="NVA53" s="15"/>
      <c r="NVB53" s="15"/>
      <c r="NVC53" s="15"/>
      <c r="NVD53" s="15"/>
      <c r="NVE53" s="15"/>
      <c r="NVF53" s="15"/>
      <c r="NVG53" s="15"/>
      <c r="NVH53" s="15"/>
      <c r="NVI53" s="15"/>
      <c r="NVJ53" s="15"/>
      <c r="NVK53" s="15"/>
      <c r="NVL53" s="15"/>
      <c r="NVM53" s="15"/>
      <c r="NVN53" s="15"/>
      <c r="NVO53" s="15"/>
      <c r="NVP53" s="15"/>
      <c r="NVQ53" s="15"/>
      <c r="NVR53" s="15"/>
      <c r="NVS53" s="15"/>
      <c r="NVT53" s="15"/>
      <c r="NVU53" s="15"/>
      <c r="NVV53" s="15"/>
      <c r="NVW53" s="15"/>
      <c r="NVX53" s="15"/>
      <c r="NVY53" s="15"/>
      <c r="NVZ53" s="15"/>
      <c r="NWA53" s="15"/>
      <c r="NWB53" s="15"/>
      <c r="NWC53" s="15"/>
      <c r="NWD53" s="15"/>
      <c r="NWE53" s="15"/>
      <c r="NWF53" s="15"/>
      <c r="NWG53" s="15"/>
      <c r="NWH53" s="15"/>
      <c r="NWI53" s="15"/>
      <c r="NWJ53" s="15"/>
      <c r="NWK53" s="15"/>
      <c r="NWL53" s="15"/>
      <c r="NWM53" s="15"/>
      <c r="NWN53" s="15"/>
      <c r="NWO53" s="15"/>
      <c r="NWP53" s="15"/>
      <c r="NWQ53" s="15"/>
      <c r="NWR53" s="15"/>
      <c r="NWS53" s="15"/>
      <c r="NWT53" s="15"/>
      <c r="NWU53" s="15"/>
      <c r="NWV53" s="15"/>
      <c r="NWW53" s="15"/>
      <c r="NWX53" s="15"/>
      <c r="NWY53" s="15"/>
      <c r="NWZ53" s="15"/>
      <c r="NXA53" s="15"/>
      <c r="NXB53" s="15"/>
      <c r="NXC53" s="15"/>
      <c r="NXD53" s="15"/>
      <c r="NXE53" s="15"/>
      <c r="NXF53" s="15"/>
      <c r="NXG53" s="15"/>
      <c r="NXH53" s="15"/>
      <c r="NXI53" s="15"/>
      <c r="NXJ53" s="15"/>
      <c r="NXK53" s="15"/>
      <c r="NXL53" s="15"/>
      <c r="NXM53" s="15"/>
      <c r="NXN53" s="15"/>
      <c r="NXO53" s="15"/>
      <c r="NXP53" s="15"/>
      <c r="NXQ53" s="15"/>
      <c r="NXR53" s="15"/>
      <c r="NXS53" s="15"/>
      <c r="NXT53" s="15"/>
      <c r="NXU53" s="15"/>
      <c r="NXV53" s="15"/>
      <c r="NXW53" s="15"/>
      <c r="NXX53" s="15"/>
      <c r="NXY53" s="15"/>
      <c r="NXZ53" s="15"/>
      <c r="NYA53" s="15"/>
      <c r="NYB53" s="15"/>
      <c r="NYC53" s="15"/>
      <c r="NYD53" s="15"/>
      <c r="NYE53" s="15"/>
      <c r="NYF53" s="15"/>
      <c r="NYG53" s="15"/>
      <c r="NYH53" s="15"/>
      <c r="NYI53" s="15"/>
      <c r="NYJ53" s="15"/>
      <c r="NYK53" s="15"/>
      <c r="NYL53" s="15"/>
      <c r="NYM53" s="15"/>
      <c r="NYN53" s="15"/>
      <c r="NYO53" s="15"/>
      <c r="NYP53" s="15"/>
      <c r="NYQ53" s="15"/>
      <c r="NYR53" s="15"/>
      <c r="NYS53" s="15"/>
      <c r="NYT53" s="15"/>
      <c r="NYU53" s="15"/>
      <c r="NYV53" s="15"/>
      <c r="NYW53" s="15"/>
      <c r="NYX53" s="15"/>
      <c r="NYY53" s="15"/>
      <c r="NYZ53" s="15"/>
      <c r="NZA53" s="15"/>
      <c r="NZB53" s="15"/>
      <c r="NZC53" s="15"/>
      <c r="NZD53" s="15"/>
      <c r="NZE53" s="15"/>
      <c r="NZF53" s="15"/>
      <c r="NZG53" s="15"/>
      <c r="NZH53" s="15"/>
      <c r="NZI53" s="15"/>
      <c r="NZJ53" s="15"/>
      <c r="NZK53" s="15"/>
      <c r="NZL53" s="15"/>
      <c r="NZM53" s="15"/>
      <c r="NZN53" s="15"/>
      <c r="NZO53" s="15"/>
      <c r="NZP53" s="15"/>
      <c r="NZQ53" s="15"/>
      <c r="NZR53" s="15"/>
      <c r="NZS53" s="15"/>
      <c r="NZT53" s="15"/>
      <c r="NZU53" s="15"/>
      <c r="NZV53" s="15"/>
      <c r="NZW53" s="15"/>
      <c r="NZX53" s="15"/>
      <c r="NZY53" s="15"/>
      <c r="NZZ53" s="15"/>
      <c r="OAA53" s="15"/>
      <c r="OAB53" s="15"/>
      <c r="OAC53" s="15"/>
      <c r="OAD53" s="15"/>
      <c r="OAE53" s="15"/>
      <c r="OAF53" s="15"/>
      <c r="OAG53" s="15"/>
      <c r="OAH53" s="15"/>
      <c r="OAI53" s="15"/>
      <c r="OAJ53" s="15"/>
      <c r="OAK53" s="15"/>
      <c r="OAL53" s="15"/>
      <c r="OAM53" s="15"/>
      <c r="OAN53" s="15"/>
      <c r="OAO53" s="15"/>
      <c r="OAP53" s="15"/>
      <c r="OAQ53" s="15"/>
      <c r="OAR53" s="15"/>
      <c r="OAS53" s="15"/>
      <c r="OAT53" s="15"/>
      <c r="OAU53" s="15"/>
      <c r="OAV53" s="15"/>
      <c r="OAW53" s="15"/>
      <c r="OAX53" s="15"/>
      <c r="OAY53" s="15"/>
      <c r="OAZ53" s="15"/>
      <c r="OBA53" s="15"/>
      <c r="OBB53" s="15"/>
      <c r="OBC53" s="15"/>
      <c r="OBD53" s="15"/>
      <c r="OBE53" s="15"/>
      <c r="OBF53" s="15"/>
      <c r="OBG53" s="15"/>
      <c r="OBH53" s="15"/>
      <c r="OBI53" s="15"/>
      <c r="OBJ53" s="15"/>
      <c r="OBK53" s="15"/>
      <c r="OBL53" s="15"/>
      <c r="OBM53" s="15"/>
      <c r="OBN53" s="15"/>
      <c r="OBO53" s="15"/>
      <c r="OBP53" s="15"/>
      <c r="OBQ53" s="15"/>
      <c r="OBR53" s="15"/>
      <c r="OBS53" s="15"/>
      <c r="OBT53" s="15"/>
      <c r="OBU53" s="15"/>
      <c r="OBV53" s="15"/>
      <c r="OBW53" s="15"/>
      <c r="OBX53" s="15"/>
      <c r="OBY53" s="15"/>
      <c r="OBZ53" s="15"/>
      <c r="OCA53" s="15"/>
      <c r="OCB53" s="15"/>
      <c r="OCC53" s="15"/>
      <c r="OCD53" s="15"/>
      <c r="OCE53" s="15"/>
      <c r="OCF53" s="15"/>
      <c r="OCG53" s="15"/>
      <c r="OCH53" s="15"/>
      <c r="OCI53" s="15"/>
      <c r="OCJ53" s="15"/>
      <c r="OCK53" s="15"/>
      <c r="OCL53" s="15"/>
      <c r="OCM53" s="15"/>
      <c r="OCN53" s="15"/>
      <c r="OCO53" s="15"/>
      <c r="OCP53" s="15"/>
      <c r="OCQ53" s="15"/>
      <c r="OCR53" s="15"/>
      <c r="OCS53" s="15"/>
      <c r="OCT53" s="15"/>
      <c r="OCU53" s="15"/>
      <c r="OCV53" s="15"/>
      <c r="OCW53" s="15"/>
      <c r="OCX53" s="15"/>
      <c r="OCY53" s="15"/>
      <c r="OCZ53" s="15"/>
      <c r="ODA53" s="15"/>
      <c r="ODB53" s="15"/>
      <c r="ODC53" s="15"/>
      <c r="ODD53" s="15"/>
      <c r="ODE53" s="15"/>
      <c r="ODF53" s="15"/>
      <c r="ODG53" s="15"/>
      <c r="ODH53" s="15"/>
      <c r="ODI53" s="15"/>
      <c r="ODJ53" s="15"/>
      <c r="ODK53" s="15"/>
      <c r="ODL53" s="15"/>
      <c r="ODM53" s="15"/>
      <c r="ODN53" s="15"/>
      <c r="ODO53" s="15"/>
      <c r="ODP53" s="15"/>
      <c r="ODQ53" s="15"/>
      <c r="ODR53" s="15"/>
      <c r="ODS53" s="15"/>
      <c r="ODT53" s="15"/>
      <c r="ODU53" s="15"/>
      <c r="ODV53" s="15"/>
      <c r="ODW53" s="15"/>
      <c r="ODX53" s="15"/>
      <c r="ODY53" s="15"/>
      <c r="ODZ53" s="15"/>
      <c r="OEA53" s="15"/>
      <c r="OEB53" s="15"/>
      <c r="OEC53" s="15"/>
      <c r="OED53" s="15"/>
      <c r="OEE53" s="15"/>
      <c r="OEF53" s="15"/>
      <c r="OEG53" s="15"/>
      <c r="OEH53" s="15"/>
      <c r="OEI53" s="15"/>
      <c r="OEJ53" s="15"/>
      <c r="OEK53" s="15"/>
      <c r="OEL53" s="15"/>
      <c r="OEM53" s="15"/>
      <c r="OEN53" s="15"/>
      <c r="OEO53" s="15"/>
      <c r="OEP53" s="15"/>
      <c r="OEQ53" s="15"/>
      <c r="OER53" s="15"/>
      <c r="OES53" s="15"/>
      <c r="OET53" s="15"/>
      <c r="OEU53" s="15"/>
      <c r="OEV53" s="15"/>
      <c r="OEW53" s="15"/>
      <c r="OEX53" s="15"/>
      <c r="OEY53" s="15"/>
      <c r="OEZ53" s="15"/>
      <c r="OFA53" s="15"/>
      <c r="OFB53" s="15"/>
      <c r="OFC53" s="15"/>
      <c r="OFD53" s="15"/>
      <c r="OFE53" s="15"/>
      <c r="OFF53" s="15"/>
      <c r="OFG53" s="15"/>
      <c r="OFH53" s="15"/>
      <c r="OFI53" s="15"/>
      <c r="OFJ53" s="15"/>
      <c r="OFK53" s="15"/>
      <c r="OFL53" s="15"/>
      <c r="OFM53" s="15"/>
      <c r="OFN53" s="15"/>
      <c r="OFO53" s="15"/>
      <c r="OFP53" s="15"/>
      <c r="OFQ53" s="15"/>
      <c r="OFR53" s="15"/>
      <c r="OFS53" s="15"/>
      <c r="OFT53" s="15"/>
      <c r="OFU53" s="15"/>
      <c r="OFV53" s="15"/>
      <c r="OFW53" s="15"/>
      <c r="OFX53" s="15"/>
      <c r="OFY53" s="15"/>
      <c r="OFZ53" s="15"/>
      <c r="OGA53" s="15"/>
      <c r="OGB53" s="15"/>
      <c r="OGC53" s="15"/>
      <c r="OGD53" s="15"/>
      <c r="OGE53" s="15"/>
      <c r="OGF53" s="15"/>
      <c r="OGG53" s="15"/>
      <c r="OGH53" s="15"/>
      <c r="OGI53" s="15"/>
      <c r="OGJ53" s="15"/>
      <c r="OGK53" s="15"/>
      <c r="OGL53" s="15"/>
      <c r="OGM53" s="15"/>
      <c r="OGN53" s="15"/>
      <c r="OGO53" s="15"/>
      <c r="OGP53" s="15"/>
      <c r="OGQ53" s="15"/>
      <c r="OGR53" s="15"/>
      <c r="OGS53" s="15"/>
      <c r="OGT53" s="15"/>
      <c r="OGU53" s="15"/>
      <c r="OGV53" s="15"/>
      <c r="OGW53" s="15"/>
      <c r="OGX53" s="15"/>
      <c r="OGY53" s="15"/>
      <c r="OGZ53" s="15"/>
      <c r="OHA53" s="15"/>
      <c r="OHB53" s="15"/>
      <c r="OHC53" s="15"/>
      <c r="OHD53" s="15"/>
      <c r="OHE53" s="15"/>
      <c r="OHF53" s="15"/>
      <c r="OHG53" s="15"/>
      <c r="OHH53" s="15"/>
      <c r="OHI53" s="15"/>
      <c r="OHJ53" s="15"/>
      <c r="OHK53" s="15"/>
      <c r="OHL53" s="15"/>
      <c r="OHM53" s="15"/>
      <c r="OHN53" s="15"/>
      <c r="OHO53" s="15"/>
      <c r="OHP53" s="15"/>
      <c r="OHQ53" s="15"/>
      <c r="OHR53" s="15"/>
      <c r="OHS53" s="15"/>
      <c r="OHT53" s="15"/>
      <c r="OHU53" s="15"/>
      <c r="OHV53" s="15"/>
      <c r="OHW53" s="15"/>
      <c r="OHX53" s="15"/>
      <c r="OHY53" s="15"/>
      <c r="OHZ53" s="15"/>
      <c r="OIA53" s="15"/>
      <c r="OIB53" s="15"/>
      <c r="OIC53" s="15"/>
      <c r="OID53" s="15"/>
      <c r="OIE53" s="15"/>
      <c r="OIF53" s="15"/>
      <c r="OIG53" s="15"/>
      <c r="OIH53" s="15"/>
      <c r="OII53" s="15"/>
      <c r="OIJ53" s="15"/>
      <c r="OIK53" s="15"/>
      <c r="OIL53" s="15"/>
      <c r="OIM53" s="15"/>
      <c r="OIN53" s="15"/>
      <c r="OIO53" s="15"/>
      <c r="OIP53" s="15"/>
      <c r="OIQ53" s="15"/>
      <c r="OIR53" s="15"/>
      <c r="OIS53" s="15"/>
      <c r="OIT53" s="15"/>
      <c r="OIU53" s="15"/>
      <c r="OIV53" s="15"/>
      <c r="OIW53" s="15"/>
      <c r="OIX53" s="15"/>
      <c r="OIY53" s="15"/>
      <c r="OIZ53" s="15"/>
      <c r="OJA53" s="15"/>
      <c r="OJB53" s="15"/>
      <c r="OJC53" s="15"/>
      <c r="OJD53" s="15"/>
      <c r="OJE53" s="15"/>
      <c r="OJF53" s="15"/>
      <c r="OJG53" s="15"/>
      <c r="OJH53" s="15"/>
      <c r="OJI53" s="15"/>
      <c r="OJJ53" s="15"/>
      <c r="OJK53" s="15"/>
      <c r="OJL53" s="15"/>
      <c r="OJM53" s="15"/>
      <c r="OJN53" s="15"/>
      <c r="OJO53" s="15"/>
      <c r="OJP53" s="15"/>
      <c r="OJQ53" s="15"/>
      <c r="OJR53" s="15"/>
      <c r="OJS53" s="15"/>
      <c r="OJT53" s="15"/>
      <c r="OJU53" s="15"/>
      <c r="OJV53" s="15"/>
      <c r="OJW53" s="15"/>
      <c r="OJX53" s="15"/>
      <c r="OJY53" s="15"/>
      <c r="OJZ53" s="15"/>
      <c r="OKA53" s="15"/>
      <c r="OKB53" s="15"/>
      <c r="OKC53" s="15"/>
      <c r="OKD53" s="15"/>
      <c r="OKE53" s="15"/>
      <c r="OKF53" s="15"/>
      <c r="OKG53" s="15"/>
      <c r="OKH53" s="15"/>
      <c r="OKI53" s="15"/>
      <c r="OKJ53" s="15"/>
      <c r="OKK53" s="15"/>
      <c r="OKL53" s="15"/>
      <c r="OKM53" s="15"/>
      <c r="OKN53" s="15"/>
      <c r="OKO53" s="15"/>
      <c r="OKP53" s="15"/>
      <c r="OKQ53" s="15"/>
      <c r="OKR53" s="15"/>
      <c r="OKS53" s="15"/>
      <c r="OKT53" s="15"/>
      <c r="OKU53" s="15"/>
      <c r="OKV53" s="15"/>
      <c r="OKW53" s="15"/>
      <c r="OKX53" s="15"/>
      <c r="OKY53" s="15"/>
      <c r="OKZ53" s="15"/>
      <c r="OLA53" s="15"/>
      <c r="OLB53" s="15"/>
      <c r="OLC53" s="15"/>
      <c r="OLD53" s="15"/>
      <c r="OLE53" s="15"/>
      <c r="OLF53" s="15"/>
      <c r="OLG53" s="15"/>
      <c r="OLH53" s="15"/>
      <c r="OLI53" s="15"/>
      <c r="OLJ53" s="15"/>
      <c r="OLK53" s="15"/>
      <c r="OLL53" s="15"/>
      <c r="OLM53" s="15"/>
      <c r="OLN53" s="15"/>
      <c r="OLO53" s="15"/>
      <c r="OLP53" s="15"/>
      <c r="OLQ53" s="15"/>
      <c r="OLR53" s="15"/>
      <c r="OLS53" s="15"/>
      <c r="OLT53" s="15"/>
      <c r="OLU53" s="15"/>
      <c r="OLV53" s="15"/>
      <c r="OLW53" s="15"/>
      <c r="OLX53" s="15"/>
      <c r="OLY53" s="15"/>
      <c r="OLZ53" s="15"/>
      <c r="OMA53" s="15"/>
      <c r="OMB53" s="15"/>
      <c r="OMC53" s="15"/>
      <c r="OMD53" s="15"/>
      <c r="OME53" s="15"/>
      <c r="OMF53" s="15"/>
      <c r="OMG53" s="15"/>
      <c r="OMH53" s="15"/>
      <c r="OMI53" s="15"/>
      <c r="OMJ53" s="15"/>
      <c r="OMK53" s="15"/>
      <c r="OML53" s="15"/>
      <c r="OMM53" s="15"/>
      <c r="OMN53" s="15"/>
      <c r="OMO53" s="15"/>
      <c r="OMP53" s="15"/>
      <c r="OMQ53" s="15"/>
      <c r="OMR53" s="15"/>
      <c r="OMS53" s="15"/>
      <c r="OMT53" s="15"/>
      <c r="OMU53" s="15"/>
      <c r="OMV53" s="15"/>
      <c r="OMW53" s="15"/>
      <c r="OMX53" s="15"/>
      <c r="OMY53" s="15"/>
      <c r="OMZ53" s="15"/>
      <c r="ONA53" s="15"/>
      <c r="ONB53" s="15"/>
      <c r="ONC53" s="15"/>
      <c r="OND53" s="15"/>
      <c r="ONE53" s="15"/>
      <c r="ONF53" s="15"/>
      <c r="ONG53" s="15"/>
      <c r="ONH53" s="15"/>
      <c r="ONI53" s="15"/>
      <c r="ONJ53" s="15"/>
      <c r="ONK53" s="15"/>
      <c r="ONL53" s="15"/>
      <c r="ONM53" s="15"/>
      <c r="ONN53" s="15"/>
      <c r="ONO53" s="15"/>
      <c r="ONP53" s="15"/>
      <c r="ONQ53" s="15"/>
      <c r="ONR53" s="15"/>
      <c r="ONS53" s="15"/>
      <c r="ONT53" s="15"/>
      <c r="ONU53" s="15"/>
      <c r="ONV53" s="15"/>
      <c r="ONW53" s="15"/>
      <c r="ONX53" s="15"/>
      <c r="ONY53" s="15"/>
      <c r="ONZ53" s="15"/>
      <c r="OOA53" s="15"/>
      <c r="OOB53" s="15"/>
      <c r="OOC53" s="15"/>
      <c r="OOD53" s="15"/>
      <c r="OOE53" s="15"/>
      <c r="OOF53" s="15"/>
      <c r="OOG53" s="15"/>
      <c r="OOH53" s="15"/>
      <c r="OOI53" s="15"/>
      <c r="OOJ53" s="15"/>
      <c r="OOK53" s="15"/>
      <c r="OOL53" s="15"/>
      <c r="OOM53" s="15"/>
      <c r="OON53" s="15"/>
      <c r="OOO53" s="15"/>
      <c r="OOP53" s="15"/>
      <c r="OOQ53" s="15"/>
      <c r="OOR53" s="15"/>
      <c r="OOS53" s="15"/>
      <c r="OOT53" s="15"/>
      <c r="OOU53" s="15"/>
      <c r="OOV53" s="15"/>
      <c r="OOW53" s="15"/>
      <c r="OOX53" s="15"/>
      <c r="OOY53" s="15"/>
      <c r="OOZ53" s="15"/>
      <c r="OPA53" s="15"/>
      <c r="OPB53" s="15"/>
      <c r="OPC53" s="15"/>
      <c r="OPD53" s="15"/>
      <c r="OPE53" s="15"/>
      <c r="OPF53" s="15"/>
      <c r="OPG53" s="15"/>
      <c r="OPH53" s="15"/>
      <c r="OPI53" s="15"/>
      <c r="OPJ53" s="15"/>
      <c r="OPK53" s="15"/>
      <c r="OPL53" s="15"/>
      <c r="OPM53" s="15"/>
      <c r="OPN53" s="15"/>
      <c r="OPO53" s="15"/>
      <c r="OPP53" s="15"/>
      <c r="OPQ53" s="15"/>
      <c r="OPR53" s="15"/>
      <c r="OPS53" s="15"/>
      <c r="OPT53" s="15"/>
      <c r="OPU53" s="15"/>
      <c r="OPV53" s="15"/>
      <c r="OPW53" s="15"/>
      <c r="OPX53" s="15"/>
      <c r="OPY53" s="15"/>
      <c r="OPZ53" s="15"/>
      <c r="OQA53" s="15"/>
      <c r="OQB53" s="15"/>
      <c r="OQC53" s="15"/>
      <c r="OQD53" s="15"/>
      <c r="OQE53" s="15"/>
      <c r="OQF53" s="15"/>
      <c r="OQG53" s="15"/>
      <c r="OQH53" s="15"/>
      <c r="OQI53" s="15"/>
      <c r="OQJ53" s="15"/>
      <c r="OQK53" s="15"/>
      <c r="OQL53" s="15"/>
      <c r="OQM53" s="15"/>
      <c r="OQN53" s="15"/>
      <c r="OQO53" s="15"/>
      <c r="OQP53" s="15"/>
      <c r="OQQ53" s="15"/>
      <c r="OQR53" s="15"/>
      <c r="OQS53" s="15"/>
      <c r="OQT53" s="15"/>
      <c r="OQU53" s="15"/>
      <c r="OQV53" s="15"/>
      <c r="OQW53" s="15"/>
      <c r="OQX53" s="15"/>
      <c r="OQY53" s="15"/>
      <c r="OQZ53" s="15"/>
      <c r="ORA53" s="15"/>
      <c r="ORB53" s="15"/>
      <c r="ORC53" s="15"/>
      <c r="ORD53" s="15"/>
      <c r="ORE53" s="15"/>
      <c r="ORF53" s="15"/>
      <c r="ORG53" s="15"/>
      <c r="ORH53" s="15"/>
      <c r="ORI53" s="15"/>
      <c r="ORJ53" s="15"/>
      <c r="ORK53" s="15"/>
      <c r="ORL53" s="15"/>
      <c r="ORM53" s="15"/>
      <c r="ORN53" s="15"/>
      <c r="ORO53" s="15"/>
      <c r="ORP53" s="15"/>
      <c r="ORQ53" s="15"/>
      <c r="ORR53" s="15"/>
      <c r="ORS53" s="15"/>
      <c r="ORT53" s="15"/>
      <c r="ORU53" s="15"/>
      <c r="ORV53" s="15"/>
      <c r="ORW53" s="15"/>
      <c r="ORX53" s="15"/>
      <c r="ORY53" s="15"/>
      <c r="ORZ53" s="15"/>
      <c r="OSA53" s="15"/>
      <c r="OSB53" s="15"/>
      <c r="OSC53" s="15"/>
      <c r="OSD53" s="15"/>
      <c r="OSE53" s="15"/>
      <c r="OSF53" s="15"/>
      <c r="OSG53" s="15"/>
      <c r="OSH53" s="15"/>
      <c r="OSI53" s="15"/>
      <c r="OSJ53" s="15"/>
      <c r="OSK53" s="15"/>
      <c r="OSL53" s="15"/>
      <c r="OSM53" s="15"/>
      <c r="OSN53" s="15"/>
      <c r="OSO53" s="15"/>
      <c r="OSP53" s="15"/>
      <c r="OSQ53" s="15"/>
      <c r="OSR53" s="15"/>
      <c r="OSS53" s="15"/>
      <c r="OST53" s="15"/>
      <c r="OSU53" s="15"/>
      <c r="OSV53" s="15"/>
      <c r="OSW53" s="15"/>
      <c r="OSX53" s="15"/>
      <c r="OSY53" s="15"/>
      <c r="OSZ53" s="15"/>
      <c r="OTA53" s="15"/>
      <c r="OTB53" s="15"/>
      <c r="OTC53" s="15"/>
      <c r="OTD53" s="15"/>
      <c r="OTE53" s="15"/>
      <c r="OTF53" s="15"/>
      <c r="OTG53" s="15"/>
      <c r="OTH53" s="15"/>
      <c r="OTI53" s="15"/>
      <c r="OTJ53" s="15"/>
      <c r="OTK53" s="15"/>
      <c r="OTL53" s="15"/>
      <c r="OTM53" s="15"/>
      <c r="OTN53" s="15"/>
      <c r="OTO53" s="15"/>
      <c r="OTP53" s="15"/>
      <c r="OTQ53" s="15"/>
      <c r="OTR53" s="15"/>
      <c r="OTS53" s="15"/>
      <c r="OTT53" s="15"/>
      <c r="OTU53" s="15"/>
      <c r="OTV53" s="15"/>
      <c r="OTW53" s="15"/>
      <c r="OTX53" s="15"/>
      <c r="OTY53" s="15"/>
      <c r="OTZ53" s="15"/>
      <c r="OUA53" s="15"/>
      <c r="OUB53" s="15"/>
      <c r="OUC53" s="15"/>
      <c r="OUD53" s="15"/>
      <c r="OUE53" s="15"/>
      <c r="OUF53" s="15"/>
      <c r="OUG53" s="15"/>
      <c r="OUH53" s="15"/>
      <c r="OUI53" s="15"/>
      <c r="OUJ53" s="15"/>
      <c r="OUK53" s="15"/>
      <c r="OUL53" s="15"/>
      <c r="OUM53" s="15"/>
      <c r="OUN53" s="15"/>
      <c r="OUO53" s="15"/>
      <c r="OUP53" s="15"/>
      <c r="OUQ53" s="15"/>
      <c r="OUR53" s="15"/>
      <c r="OUS53" s="15"/>
      <c r="OUT53" s="15"/>
      <c r="OUU53" s="15"/>
      <c r="OUV53" s="15"/>
      <c r="OUW53" s="15"/>
      <c r="OUX53" s="15"/>
      <c r="OUY53" s="15"/>
      <c r="OUZ53" s="15"/>
      <c r="OVA53" s="15"/>
      <c r="OVB53" s="15"/>
      <c r="OVC53" s="15"/>
      <c r="OVD53" s="15"/>
      <c r="OVE53" s="15"/>
      <c r="OVF53" s="15"/>
      <c r="OVG53" s="15"/>
      <c r="OVH53" s="15"/>
      <c r="OVI53" s="15"/>
      <c r="OVJ53" s="15"/>
      <c r="OVK53" s="15"/>
      <c r="OVL53" s="15"/>
      <c r="OVM53" s="15"/>
      <c r="OVN53" s="15"/>
      <c r="OVO53" s="15"/>
      <c r="OVP53" s="15"/>
      <c r="OVQ53" s="15"/>
      <c r="OVR53" s="15"/>
      <c r="OVS53" s="15"/>
      <c r="OVT53" s="15"/>
      <c r="OVU53" s="15"/>
      <c r="OVV53" s="15"/>
      <c r="OVW53" s="15"/>
      <c r="OVX53" s="15"/>
      <c r="OVY53" s="15"/>
      <c r="OVZ53" s="15"/>
      <c r="OWA53" s="15"/>
      <c r="OWB53" s="15"/>
      <c r="OWC53" s="15"/>
      <c r="OWD53" s="15"/>
      <c r="OWE53" s="15"/>
      <c r="OWF53" s="15"/>
      <c r="OWG53" s="15"/>
      <c r="OWH53" s="15"/>
      <c r="OWI53" s="15"/>
      <c r="OWJ53" s="15"/>
      <c r="OWK53" s="15"/>
      <c r="OWL53" s="15"/>
      <c r="OWM53" s="15"/>
      <c r="OWN53" s="15"/>
      <c r="OWO53" s="15"/>
      <c r="OWP53" s="15"/>
      <c r="OWQ53" s="15"/>
      <c r="OWR53" s="15"/>
      <c r="OWS53" s="15"/>
      <c r="OWT53" s="15"/>
      <c r="OWU53" s="15"/>
      <c r="OWV53" s="15"/>
      <c r="OWW53" s="15"/>
      <c r="OWX53" s="15"/>
      <c r="OWY53" s="15"/>
      <c r="OWZ53" s="15"/>
      <c r="OXA53" s="15"/>
      <c r="OXB53" s="15"/>
      <c r="OXC53" s="15"/>
      <c r="OXD53" s="15"/>
      <c r="OXE53" s="15"/>
      <c r="OXF53" s="15"/>
      <c r="OXG53" s="15"/>
      <c r="OXH53" s="15"/>
      <c r="OXI53" s="15"/>
      <c r="OXJ53" s="15"/>
      <c r="OXK53" s="15"/>
      <c r="OXL53" s="15"/>
      <c r="OXM53" s="15"/>
      <c r="OXN53" s="15"/>
      <c r="OXO53" s="15"/>
      <c r="OXP53" s="15"/>
      <c r="OXQ53" s="15"/>
      <c r="OXR53" s="15"/>
      <c r="OXS53" s="15"/>
      <c r="OXT53" s="15"/>
      <c r="OXU53" s="15"/>
      <c r="OXV53" s="15"/>
      <c r="OXW53" s="15"/>
      <c r="OXX53" s="15"/>
      <c r="OXY53" s="15"/>
      <c r="OXZ53" s="15"/>
      <c r="OYA53" s="15"/>
      <c r="OYB53" s="15"/>
      <c r="OYC53" s="15"/>
      <c r="OYD53" s="15"/>
      <c r="OYE53" s="15"/>
      <c r="OYF53" s="15"/>
      <c r="OYG53" s="15"/>
      <c r="OYH53" s="15"/>
      <c r="OYI53" s="15"/>
      <c r="OYJ53" s="15"/>
      <c r="OYK53" s="15"/>
      <c r="OYL53" s="15"/>
      <c r="OYM53" s="15"/>
      <c r="OYN53" s="15"/>
      <c r="OYO53" s="15"/>
      <c r="OYP53" s="15"/>
      <c r="OYQ53" s="15"/>
      <c r="OYR53" s="15"/>
      <c r="OYS53" s="15"/>
      <c r="OYT53" s="15"/>
      <c r="OYU53" s="15"/>
      <c r="OYV53" s="15"/>
      <c r="OYW53" s="15"/>
      <c r="OYX53" s="15"/>
      <c r="OYY53" s="15"/>
      <c r="OYZ53" s="15"/>
      <c r="OZA53" s="15"/>
      <c r="OZB53" s="15"/>
      <c r="OZC53" s="15"/>
      <c r="OZD53" s="15"/>
      <c r="OZE53" s="15"/>
      <c r="OZF53" s="15"/>
      <c r="OZG53" s="15"/>
      <c r="OZH53" s="15"/>
      <c r="OZI53" s="15"/>
      <c r="OZJ53" s="15"/>
      <c r="OZK53" s="15"/>
      <c r="OZL53" s="15"/>
      <c r="OZM53" s="15"/>
      <c r="OZN53" s="15"/>
      <c r="OZO53" s="15"/>
      <c r="OZP53" s="15"/>
      <c r="OZQ53" s="15"/>
      <c r="OZR53" s="15"/>
      <c r="OZS53" s="15"/>
      <c r="OZT53" s="15"/>
      <c r="OZU53" s="15"/>
      <c r="OZV53" s="15"/>
      <c r="OZW53" s="15"/>
      <c r="OZX53" s="15"/>
      <c r="OZY53" s="15"/>
      <c r="OZZ53" s="15"/>
      <c r="PAA53" s="15"/>
      <c r="PAB53" s="15"/>
      <c r="PAC53" s="15"/>
      <c r="PAD53" s="15"/>
      <c r="PAE53" s="15"/>
      <c r="PAF53" s="15"/>
      <c r="PAG53" s="15"/>
      <c r="PAH53" s="15"/>
      <c r="PAI53" s="15"/>
      <c r="PAJ53" s="15"/>
      <c r="PAK53" s="15"/>
      <c r="PAL53" s="15"/>
      <c r="PAM53" s="15"/>
      <c r="PAN53" s="15"/>
      <c r="PAO53" s="15"/>
      <c r="PAP53" s="15"/>
      <c r="PAQ53" s="15"/>
      <c r="PAR53" s="15"/>
      <c r="PAS53" s="15"/>
      <c r="PAT53" s="15"/>
      <c r="PAU53" s="15"/>
      <c r="PAV53" s="15"/>
      <c r="PAW53" s="15"/>
      <c r="PAX53" s="15"/>
      <c r="PAY53" s="15"/>
      <c r="PAZ53" s="15"/>
      <c r="PBA53" s="15"/>
      <c r="PBB53" s="15"/>
      <c r="PBC53" s="15"/>
      <c r="PBD53" s="15"/>
      <c r="PBE53" s="15"/>
      <c r="PBF53" s="15"/>
      <c r="PBG53" s="15"/>
      <c r="PBH53" s="15"/>
      <c r="PBI53" s="15"/>
      <c r="PBJ53" s="15"/>
      <c r="PBK53" s="15"/>
      <c r="PBL53" s="15"/>
      <c r="PBM53" s="15"/>
      <c r="PBN53" s="15"/>
      <c r="PBO53" s="15"/>
      <c r="PBP53" s="15"/>
      <c r="PBQ53" s="15"/>
      <c r="PBR53" s="15"/>
      <c r="PBS53" s="15"/>
      <c r="PBT53" s="15"/>
      <c r="PBU53" s="15"/>
      <c r="PBV53" s="15"/>
      <c r="PBW53" s="15"/>
      <c r="PBX53" s="15"/>
      <c r="PBY53" s="15"/>
      <c r="PBZ53" s="15"/>
      <c r="PCA53" s="15"/>
      <c r="PCB53" s="15"/>
      <c r="PCC53" s="15"/>
      <c r="PCD53" s="15"/>
      <c r="PCE53" s="15"/>
      <c r="PCF53" s="15"/>
      <c r="PCG53" s="15"/>
      <c r="PCH53" s="15"/>
      <c r="PCI53" s="15"/>
      <c r="PCJ53" s="15"/>
      <c r="PCK53" s="15"/>
      <c r="PCL53" s="15"/>
      <c r="PCM53" s="15"/>
      <c r="PCN53" s="15"/>
      <c r="PCO53" s="15"/>
      <c r="PCP53" s="15"/>
      <c r="PCQ53" s="15"/>
      <c r="PCR53" s="15"/>
      <c r="PCS53" s="15"/>
      <c r="PCT53" s="15"/>
      <c r="PCU53" s="15"/>
      <c r="PCV53" s="15"/>
      <c r="PCW53" s="15"/>
      <c r="PCX53" s="15"/>
      <c r="PCY53" s="15"/>
      <c r="PCZ53" s="15"/>
      <c r="PDA53" s="15"/>
      <c r="PDB53" s="15"/>
      <c r="PDC53" s="15"/>
      <c r="PDD53" s="15"/>
      <c r="PDE53" s="15"/>
      <c r="PDF53" s="15"/>
      <c r="PDG53" s="15"/>
      <c r="PDH53" s="15"/>
      <c r="PDI53" s="15"/>
      <c r="PDJ53" s="15"/>
      <c r="PDK53" s="15"/>
      <c r="PDL53" s="15"/>
      <c r="PDM53" s="15"/>
      <c r="PDN53" s="15"/>
      <c r="PDO53" s="15"/>
      <c r="PDP53" s="15"/>
      <c r="PDQ53" s="15"/>
      <c r="PDR53" s="15"/>
      <c r="PDS53" s="15"/>
      <c r="PDT53" s="15"/>
      <c r="PDU53" s="15"/>
      <c r="PDV53" s="15"/>
      <c r="PDW53" s="15"/>
      <c r="PDX53" s="15"/>
      <c r="PDY53" s="15"/>
      <c r="PDZ53" s="15"/>
      <c r="PEA53" s="15"/>
      <c r="PEB53" s="15"/>
      <c r="PEC53" s="15"/>
      <c r="PED53" s="15"/>
      <c r="PEE53" s="15"/>
      <c r="PEF53" s="15"/>
      <c r="PEG53" s="15"/>
      <c r="PEH53" s="15"/>
      <c r="PEI53" s="15"/>
      <c r="PEJ53" s="15"/>
      <c r="PEK53" s="15"/>
      <c r="PEL53" s="15"/>
      <c r="PEM53" s="15"/>
      <c r="PEN53" s="15"/>
      <c r="PEO53" s="15"/>
      <c r="PEP53" s="15"/>
      <c r="PEQ53" s="15"/>
      <c r="PER53" s="15"/>
      <c r="PES53" s="15"/>
      <c r="PET53" s="15"/>
      <c r="PEU53" s="15"/>
      <c r="PEV53" s="15"/>
      <c r="PEW53" s="15"/>
      <c r="PEX53" s="15"/>
      <c r="PEY53" s="15"/>
      <c r="PEZ53" s="15"/>
      <c r="PFA53" s="15"/>
      <c r="PFB53" s="15"/>
      <c r="PFC53" s="15"/>
      <c r="PFD53" s="15"/>
      <c r="PFE53" s="15"/>
      <c r="PFF53" s="15"/>
      <c r="PFG53" s="15"/>
      <c r="PFH53" s="15"/>
      <c r="PFI53" s="15"/>
      <c r="PFJ53" s="15"/>
      <c r="PFK53" s="15"/>
      <c r="PFL53" s="15"/>
      <c r="PFM53" s="15"/>
      <c r="PFN53" s="15"/>
      <c r="PFO53" s="15"/>
      <c r="PFP53" s="15"/>
      <c r="PFQ53" s="15"/>
      <c r="PFR53" s="15"/>
      <c r="PFS53" s="15"/>
      <c r="PFT53" s="15"/>
      <c r="PFU53" s="15"/>
      <c r="PFV53" s="15"/>
      <c r="PFW53" s="15"/>
      <c r="PFX53" s="15"/>
      <c r="PFY53" s="15"/>
      <c r="PFZ53" s="15"/>
      <c r="PGA53" s="15"/>
      <c r="PGB53" s="15"/>
      <c r="PGC53" s="15"/>
      <c r="PGD53" s="15"/>
      <c r="PGE53" s="15"/>
      <c r="PGF53" s="15"/>
      <c r="PGG53" s="15"/>
      <c r="PGH53" s="15"/>
      <c r="PGI53" s="15"/>
      <c r="PGJ53" s="15"/>
      <c r="PGK53" s="15"/>
      <c r="PGL53" s="15"/>
      <c r="PGM53" s="15"/>
      <c r="PGN53" s="15"/>
      <c r="PGO53" s="15"/>
      <c r="PGP53" s="15"/>
      <c r="PGQ53" s="15"/>
      <c r="PGR53" s="15"/>
      <c r="PGS53" s="15"/>
      <c r="PGT53" s="15"/>
      <c r="PGU53" s="15"/>
      <c r="PGV53" s="15"/>
      <c r="PGW53" s="15"/>
      <c r="PGX53" s="15"/>
      <c r="PGY53" s="15"/>
      <c r="PGZ53" s="15"/>
      <c r="PHA53" s="15"/>
      <c r="PHB53" s="15"/>
      <c r="PHC53" s="15"/>
      <c r="PHD53" s="15"/>
      <c r="PHE53" s="15"/>
      <c r="PHF53" s="15"/>
      <c r="PHG53" s="15"/>
      <c r="PHH53" s="15"/>
      <c r="PHI53" s="15"/>
      <c r="PHJ53" s="15"/>
      <c r="PHK53" s="15"/>
      <c r="PHL53" s="15"/>
      <c r="PHM53" s="15"/>
      <c r="PHN53" s="15"/>
      <c r="PHO53" s="15"/>
      <c r="PHP53" s="15"/>
      <c r="PHQ53" s="15"/>
      <c r="PHR53" s="15"/>
      <c r="PHS53" s="15"/>
      <c r="PHT53" s="15"/>
      <c r="PHU53" s="15"/>
      <c r="PHV53" s="15"/>
      <c r="PHW53" s="15"/>
      <c r="PHX53" s="15"/>
      <c r="PHY53" s="15"/>
      <c r="PHZ53" s="15"/>
      <c r="PIA53" s="15"/>
      <c r="PIB53" s="15"/>
      <c r="PIC53" s="15"/>
      <c r="PID53" s="15"/>
      <c r="PIE53" s="15"/>
      <c r="PIF53" s="15"/>
      <c r="PIG53" s="15"/>
      <c r="PIH53" s="15"/>
      <c r="PII53" s="15"/>
      <c r="PIJ53" s="15"/>
      <c r="PIK53" s="15"/>
      <c r="PIL53" s="15"/>
      <c r="PIM53" s="15"/>
      <c r="PIN53" s="15"/>
      <c r="PIO53" s="15"/>
      <c r="PIP53" s="15"/>
      <c r="PIQ53" s="15"/>
      <c r="PIR53" s="15"/>
      <c r="PIS53" s="15"/>
      <c r="PIT53" s="15"/>
      <c r="PIU53" s="15"/>
      <c r="PIV53" s="15"/>
      <c r="PIW53" s="15"/>
      <c r="PIX53" s="15"/>
      <c r="PIY53" s="15"/>
      <c r="PIZ53" s="15"/>
      <c r="PJA53" s="15"/>
      <c r="PJB53" s="15"/>
      <c r="PJC53" s="15"/>
      <c r="PJD53" s="15"/>
      <c r="PJE53" s="15"/>
      <c r="PJF53" s="15"/>
      <c r="PJG53" s="15"/>
      <c r="PJH53" s="15"/>
      <c r="PJI53" s="15"/>
      <c r="PJJ53" s="15"/>
      <c r="PJK53" s="15"/>
      <c r="PJL53" s="15"/>
      <c r="PJM53" s="15"/>
      <c r="PJN53" s="15"/>
      <c r="PJO53" s="15"/>
      <c r="PJP53" s="15"/>
      <c r="PJQ53" s="15"/>
      <c r="PJR53" s="15"/>
      <c r="PJS53" s="15"/>
      <c r="PJT53" s="15"/>
      <c r="PJU53" s="15"/>
      <c r="PJV53" s="15"/>
      <c r="PJW53" s="15"/>
      <c r="PJX53" s="15"/>
      <c r="PJY53" s="15"/>
      <c r="PJZ53" s="15"/>
      <c r="PKA53" s="15"/>
      <c r="PKB53" s="15"/>
      <c r="PKC53" s="15"/>
      <c r="PKD53" s="15"/>
      <c r="PKE53" s="15"/>
      <c r="PKF53" s="15"/>
      <c r="PKG53" s="15"/>
      <c r="PKH53" s="15"/>
      <c r="PKI53" s="15"/>
      <c r="PKJ53" s="15"/>
      <c r="PKK53" s="15"/>
      <c r="PKL53" s="15"/>
      <c r="PKM53" s="15"/>
      <c r="PKN53" s="15"/>
      <c r="PKO53" s="15"/>
      <c r="PKP53" s="15"/>
      <c r="PKQ53" s="15"/>
      <c r="PKR53" s="15"/>
      <c r="PKS53" s="15"/>
      <c r="PKT53" s="15"/>
      <c r="PKU53" s="15"/>
      <c r="PKV53" s="15"/>
      <c r="PKW53" s="15"/>
      <c r="PKX53" s="15"/>
      <c r="PKY53" s="15"/>
      <c r="PKZ53" s="15"/>
      <c r="PLA53" s="15"/>
      <c r="PLB53" s="15"/>
      <c r="PLC53" s="15"/>
      <c r="PLD53" s="15"/>
      <c r="PLE53" s="15"/>
      <c r="PLF53" s="15"/>
      <c r="PLG53" s="15"/>
      <c r="PLH53" s="15"/>
      <c r="PLI53" s="15"/>
      <c r="PLJ53" s="15"/>
      <c r="PLK53" s="15"/>
      <c r="PLL53" s="15"/>
      <c r="PLM53" s="15"/>
      <c r="PLN53" s="15"/>
      <c r="PLO53" s="15"/>
      <c r="PLP53" s="15"/>
      <c r="PLQ53" s="15"/>
      <c r="PLR53" s="15"/>
      <c r="PLS53" s="15"/>
      <c r="PLT53" s="15"/>
      <c r="PLU53" s="15"/>
      <c r="PLV53" s="15"/>
      <c r="PLW53" s="15"/>
      <c r="PLX53" s="15"/>
      <c r="PLY53" s="15"/>
      <c r="PLZ53" s="15"/>
      <c r="PMA53" s="15"/>
      <c r="PMB53" s="15"/>
      <c r="PMC53" s="15"/>
      <c r="PMD53" s="15"/>
      <c r="PME53" s="15"/>
      <c r="PMF53" s="15"/>
      <c r="PMG53" s="15"/>
      <c r="PMH53" s="15"/>
      <c r="PMI53" s="15"/>
      <c r="PMJ53" s="15"/>
      <c r="PMK53" s="15"/>
      <c r="PML53" s="15"/>
      <c r="PMM53" s="15"/>
      <c r="PMN53" s="15"/>
      <c r="PMO53" s="15"/>
      <c r="PMP53" s="15"/>
      <c r="PMQ53" s="15"/>
      <c r="PMR53" s="15"/>
      <c r="PMS53" s="15"/>
      <c r="PMT53" s="15"/>
      <c r="PMU53" s="15"/>
      <c r="PMV53" s="15"/>
      <c r="PMW53" s="15"/>
      <c r="PMX53" s="15"/>
      <c r="PMY53" s="15"/>
      <c r="PMZ53" s="15"/>
      <c r="PNA53" s="15"/>
      <c r="PNB53" s="15"/>
      <c r="PNC53" s="15"/>
      <c r="PND53" s="15"/>
      <c r="PNE53" s="15"/>
      <c r="PNF53" s="15"/>
      <c r="PNG53" s="15"/>
      <c r="PNH53" s="15"/>
      <c r="PNI53" s="15"/>
      <c r="PNJ53" s="15"/>
      <c r="PNK53" s="15"/>
      <c r="PNL53" s="15"/>
      <c r="PNM53" s="15"/>
      <c r="PNN53" s="15"/>
      <c r="PNO53" s="15"/>
      <c r="PNP53" s="15"/>
      <c r="PNQ53" s="15"/>
      <c r="PNR53" s="15"/>
      <c r="PNS53" s="15"/>
      <c r="PNT53" s="15"/>
      <c r="PNU53" s="15"/>
      <c r="PNV53" s="15"/>
      <c r="PNW53" s="15"/>
      <c r="PNX53" s="15"/>
      <c r="PNY53" s="15"/>
      <c r="PNZ53" s="15"/>
      <c r="POA53" s="15"/>
      <c r="POB53" s="15"/>
      <c r="POC53" s="15"/>
      <c r="POD53" s="15"/>
      <c r="POE53" s="15"/>
      <c r="POF53" s="15"/>
      <c r="POG53" s="15"/>
      <c r="POH53" s="15"/>
      <c r="POI53" s="15"/>
      <c r="POJ53" s="15"/>
      <c r="POK53" s="15"/>
      <c r="POL53" s="15"/>
      <c r="POM53" s="15"/>
      <c r="PON53" s="15"/>
      <c r="POO53" s="15"/>
      <c r="POP53" s="15"/>
      <c r="POQ53" s="15"/>
      <c r="POR53" s="15"/>
      <c r="POS53" s="15"/>
      <c r="POT53" s="15"/>
      <c r="POU53" s="15"/>
      <c r="POV53" s="15"/>
      <c r="POW53" s="15"/>
      <c r="POX53" s="15"/>
      <c r="POY53" s="15"/>
      <c r="POZ53" s="15"/>
      <c r="PPA53" s="15"/>
      <c r="PPB53" s="15"/>
      <c r="PPC53" s="15"/>
      <c r="PPD53" s="15"/>
      <c r="PPE53" s="15"/>
      <c r="PPF53" s="15"/>
      <c r="PPG53" s="15"/>
      <c r="PPH53" s="15"/>
      <c r="PPI53" s="15"/>
      <c r="PPJ53" s="15"/>
      <c r="PPK53" s="15"/>
      <c r="PPL53" s="15"/>
      <c r="PPM53" s="15"/>
      <c r="PPN53" s="15"/>
      <c r="PPO53" s="15"/>
      <c r="PPP53" s="15"/>
      <c r="PPQ53" s="15"/>
      <c r="PPR53" s="15"/>
      <c r="PPS53" s="15"/>
      <c r="PPT53" s="15"/>
      <c r="PPU53" s="15"/>
      <c r="PPV53" s="15"/>
      <c r="PPW53" s="15"/>
      <c r="PPX53" s="15"/>
      <c r="PPY53" s="15"/>
      <c r="PPZ53" s="15"/>
      <c r="PQA53" s="15"/>
      <c r="PQB53" s="15"/>
      <c r="PQC53" s="15"/>
      <c r="PQD53" s="15"/>
      <c r="PQE53" s="15"/>
      <c r="PQF53" s="15"/>
      <c r="PQG53" s="15"/>
      <c r="PQH53" s="15"/>
      <c r="PQI53" s="15"/>
      <c r="PQJ53" s="15"/>
      <c r="PQK53" s="15"/>
      <c r="PQL53" s="15"/>
      <c r="PQM53" s="15"/>
      <c r="PQN53" s="15"/>
      <c r="PQO53" s="15"/>
      <c r="PQP53" s="15"/>
      <c r="PQQ53" s="15"/>
      <c r="PQR53" s="15"/>
      <c r="PQS53" s="15"/>
      <c r="PQT53" s="15"/>
      <c r="PQU53" s="15"/>
      <c r="PQV53" s="15"/>
      <c r="PQW53" s="15"/>
      <c r="PQX53" s="15"/>
      <c r="PQY53" s="15"/>
      <c r="PQZ53" s="15"/>
      <c r="PRA53" s="15"/>
      <c r="PRB53" s="15"/>
      <c r="PRC53" s="15"/>
      <c r="PRD53" s="15"/>
      <c r="PRE53" s="15"/>
      <c r="PRF53" s="15"/>
      <c r="PRG53" s="15"/>
      <c r="PRH53" s="15"/>
      <c r="PRI53" s="15"/>
      <c r="PRJ53" s="15"/>
      <c r="PRK53" s="15"/>
      <c r="PRL53" s="15"/>
      <c r="PRM53" s="15"/>
      <c r="PRN53" s="15"/>
      <c r="PRO53" s="15"/>
      <c r="PRP53" s="15"/>
      <c r="PRQ53" s="15"/>
      <c r="PRR53" s="15"/>
      <c r="PRS53" s="15"/>
      <c r="PRT53" s="15"/>
      <c r="PRU53" s="15"/>
      <c r="PRV53" s="15"/>
      <c r="PRW53" s="15"/>
      <c r="PRX53" s="15"/>
      <c r="PRY53" s="15"/>
      <c r="PRZ53" s="15"/>
      <c r="PSA53" s="15"/>
      <c r="PSB53" s="15"/>
      <c r="PSC53" s="15"/>
      <c r="PSD53" s="15"/>
      <c r="PSE53" s="15"/>
      <c r="PSF53" s="15"/>
      <c r="PSG53" s="15"/>
      <c r="PSH53" s="15"/>
      <c r="PSI53" s="15"/>
      <c r="PSJ53" s="15"/>
      <c r="PSK53" s="15"/>
      <c r="PSL53" s="15"/>
      <c r="PSM53" s="15"/>
      <c r="PSN53" s="15"/>
      <c r="PSO53" s="15"/>
      <c r="PSP53" s="15"/>
      <c r="PSQ53" s="15"/>
      <c r="PSR53" s="15"/>
      <c r="PSS53" s="15"/>
      <c r="PST53" s="15"/>
      <c r="PSU53" s="15"/>
      <c r="PSV53" s="15"/>
      <c r="PSW53" s="15"/>
      <c r="PSX53" s="15"/>
      <c r="PSY53" s="15"/>
      <c r="PSZ53" s="15"/>
      <c r="PTA53" s="15"/>
      <c r="PTB53" s="15"/>
      <c r="PTC53" s="15"/>
      <c r="PTD53" s="15"/>
      <c r="PTE53" s="15"/>
      <c r="PTF53" s="15"/>
      <c r="PTG53" s="15"/>
      <c r="PTH53" s="15"/>
      <c r="PTI53" s="15"/>
      <c r="PTJ53" s="15"/>
      <c r="PTK53" s="15"/>
      <c r="PTL53" s="15"/>
      <c r="PTM53" s="15"/>
      <c r="PTN53" s="15"/>
      <c r="PTO53" s="15"/>
      <c r="PTP53" s="15"/>
      <c r="PTQ53" s="15"/>
      <c r="PTR53" s="15"/>
      <c r="PTS53" s="15"/>
      <c r="PTT53" s="15"/>
      <c r="PTU53" s="15"/>
      <c r="PTV53" s="15"/>
      <c r="PTW53" s="15"/>
      <c r="PTX53" s="15"/>
      <c r="PTY53" s="15"/>
      <c r="PTZ53" s="15"/>
      <c r="PUA53" s="15"/>
      <c r="PUB53" s="15"/>
      <c r="PUC53" s="15"/>
      <c r="PUD53" s="15"/>
      <c r="PUE53" s="15"/>
      <c r="PUF53" s="15"/>
      <c r="PUG53" s="15"/>
      <c r="PUH53" s="15"/>
      <c r="PUI53" s="15"/>
      <c r="PUJ53" s="15"/>
      <c r="PUK53" s="15"/>
      <c r="PUL53" s="15"/>
      <c r="PUM53" s="15"/>
      <c r="PUN53" s="15"/>
      <c r="PUO53" s="15"/>
      <c r="PUP53" s="15"/>
      <c r="PUQ53" s="15"/>
      <c r="PUR53" s="15"/>
      <c r="PUS53" s="15"/>
      <c r="PUT53" s="15"/>
      <c r="PUU53" s="15"/>
      <c r="PUV53" s="15"/>
      <c r="PUW53" s="15"/>
      <c r="PUX53" s="15"/>
      <c r="PUY53" s="15"/>
      <c r="PUZ53" s="15"/>
      <c r="PVA53" s="15"/>
      <c r="PVB53" s="15"/>
      <c r="PVC53" s="15"/>
      <c r="PVD53" s="15"/>
      <c r="PVE53" s="15"/>
      <c r="PVF53" s="15"/>
      <c r="PVG53" s="15"/>
      <c r="PVH53" s="15"/>
      <c r="PVI53" s="15"/>
      <c r="PVJ53" s="15"/>
      <c r="PVK53" s="15"/>
      <c r="PVL53" s="15"/>
      <c r="PVM53" s="15"/>
      <c r="PVN53" s="15"/>
      <c r="PVO53" s="15"/>
      <c r="PVP53" s="15"/>
      <c r="PVQ53" s="15"/>
      <c r="PVR53" s="15"/>
      <c r="PVS53" s="15"/>
      <c r="PVT53" s="15"/>
      <c r="PVU53" s="15"/>
      <c r="PVV53" s="15"/>
      <c r="PVW53" s="15"/>
      <c r="PVX53" s="15"/>
      <c r="PVY53" s="15"/>
      <c r="PVZ53" s="15"/>
      <c r="PWA53" s="15"/>
      <c r="PWB53" s="15"/>
      <c r="PWC53" s="15"/>
      <c r="PWD53" s="15"/>
      <c r="PWE53" s="15"/>
      <c r="PWF53" s="15"/>
      <c r="PWG53" s="15"/>
      <c r="PWH53" s="15"/>
      <c r="PWI53" s="15"/>
      <c r="PWJ53" s="15"/>
      <c r="PWK53" s="15"/>
      <c r="PWL53" s="15"/>
      <c r="PWM53" s="15"/>
      <c r="PWN53" s="15"/>
      <c r="PWO53" s="15"/>
      <c r="PWP53" s="15"/>
      <c r="PWQ53" s="15"/>
      <c r="PWR53" s="15"/>
      <c r="PWS53" s="15"/>
      <c r="PWT53" s="15"/>
      <c r="PWU53" s="15"/>
      <c r="PWV53" s="15"/>
      <c r="PWW53" s="15"/>
      <c r="PWX53" s="15"/>
      <c r="PWY53" s="15"/>
      <c r="PWZ53" s="15"/>
      <c r="PXA53" s="15"/>
      <c r="PXB53" s="15"/>
      <c r="PXC53" s="15"/>
      <c r="PXD53" s="15"/>
      <c r="PXE53" s="15"/>
      <c r="PXF53" s="15"/>
      <c r="PXG53" s="15"/>
      <c r="PXH53" s="15"/>
      <c r="PXI53" s="15"/>
      <c r="PXJ53" s="15"/>
      <c r="PXK53" s="15"/>
      <c r="PXL53" s="15"/>
      <c r="PXM53" s="15"/>
      <c r="PXN53" s="15"/>
      <c r="PXO53" s="15"/>
      <c r="PXP53" s="15"/>
      <c r="PXQ53" s="15"/>
      <c r="PXR53" s="15"/>
      <c r="PXS53" s="15"/>
      <c r="PXT53" s="15"/>
      <c r="PXU53" s="15"/>
      <c r="PXV53" s="15"/>
      <c r="PXW53" s="15"/>
      <c r="PXX53" s="15"/>
      <c r="PXY53" s="15"/>
      <c r="PXZ53" s="15"/>
      <c r="PYA53" s="15"/>
      <c r="PYB53" s="15"/>
      <c r="PYC53" s="15"/>
      <c r="PYD53" s="15"/>
      <c r="PYE53" s="15"/>
      <c r="PYF53" s="15"/>
      <c r="PYG53" s="15"/>
      <c r="PYH53" s="15"/>
      <c r="PYI53" s="15"/>
      <c r="PYJ53" s="15"/>
      <c r="PYK53" s="15"/>
      <c r="PYL53" s="15"/>
      <c r="PYM53" s="15"/>
      <c r="PYN53" s="15"/>
      <c r="PYO53" s="15"/>
      <c r="PYP53" s="15"/>
      <c r="PYQ53" s="15"/>
      <c r="PYR53" s="15"/>
      <c r="PYS53" s="15"/>
      <c r="PYT53" s="15"/>
      <c r="PYU53" s="15"/>
      <c r="PYV53" s="15"/>
      <c r="PYW53" s="15"/>
      <c r="PYX53" s="15"/>
      <c r="PYY53" s="15"/>
      <c r="PYZ53" s="15"/>
      <c r="PZA53" s="15"/>
      <c r="PZB53" s="15"/>
      <c r="PZC53" s="15"/>
      <c r="PZD53" s="15"/>
      <c r="PZE53" s="15"/>
      <c r="PZF53" s="15"/>
      <c r="PZG53" s="15"/>
      <c r="PZH53" s="15"/>
      <c r="PZI53" s="15"/>
      <c r="PZJ53" s="15"/>
      <c r="PZK53" s="15"/>
      <c r="PZL53" s="15"/>
      <c r="PZM53" s="15"/>
      <c r="PZN53" s="15"/>
      <c r="PZO53" s="15"/>
      <c r="PZP53" s="15"/>
      <c r="PZQ53" s="15"/>
      <c r="PZR53" s="15"/>
      <c r="PZS53" s="15"/>
      <c r="PZT53" s="15"/>
      <c r="PZU53" s="15"/>
      <c r="PZV53" s="15"/>
      <c r="PZW53" s="15"/>
      <c r="PZX53" s="15"/>
      <c r="PZY53" s="15"/>
      <c r="PZZ53" s="15"/>
      <c r="QAA53" s="15"/>
      <c r="QAB53" s="15"/>
      <c r="QAC53" s="15"/>
      <c r="QAD53" s="15"/>
      <c r="QAE53" s="15"/>
      <c r="QAF53" s="15"/>
      <c r="QAG53" s="15"/>
      <c r="QAH53" s="15"/>
      <c r="QAI53" s="15"/>
      <c r="QAJ53" s="15"/>
      <c r="QAK53" s="15"/>
      <c r="QAL53" s="15"/>
      <c r="QAM53" s="15"/>
      <c r="QAN53" s="15"/>
      <c r="QAO53" s="15"/>
      <c r="QAP53" s="15"/>
      <c r="QAQ53" s="15"/>
      <c r="QAR53" s="15"/>
      <c r="QAS53" s="15"/>
      <c r="QAT53" s="15"/>
      <c r="QAU53" s="15"/>
      <c r="QAV53" s="15"/>
      <c r="QAW53" s="15"/>
      <c r="QAX53" s="15"/>
      <c r="QAY53" s="15"/>
      <c r="QAZ53" s="15"/>
      <c r="QBA53" s="15"/>
      <c r="QBB53" s="15"/>
      <c r="QBC53" s="15"/>
      <c r="QBD53" s="15"/>
      <c r="QBE53" s="15"/>
      <c r="QBF53" s="15"/>
      <c r="QBG53" s="15"/>
      <c r="QBH53" s="15"/>
      <c r="QBI53" s="15"/>
      <c r="QBJ53" s="15"/>
      <c r="QBK53" s="15"/>
      <c r="QBL53" s="15"/>
      <c r="QBM53" s="15"/>
      <c r="QBN53" s="15"/>
      <c r="QBO53" s="15"/>
      <c r="QBP53" s="15"/>
      <c r="QBQ53" s="15"/>
      <c r="QBR53" s="15"/>
      <c r="QBS53" s="15"/>
      <c r="QBT53" s="15"/>
      <c r="QBU53" s="15"/>
      <c r="QBV53" s="15"/>
      <c r="QBW53" s="15"/>
      <c r="QBX53" s="15"/>
      <c r="QBY53" s="15"/>
      <c r="QBZ53" s="15"/>
      <c r="QCA53" s="15"/>
      <c r="QCB53" s="15"/>
      <c r="QCC53" s="15"/>
      <c r="QCD53" s="15"/>
      <c r="QCE53" s="15"/>
      <c r="QCF53" s="15"/>
      <c r="QCG53" s="15"/>
      <c r="QCH53" s="15"/>
      <c r="QCI53" s="15"/>
      <c r="QCJ53" s="15"/>
      <c r="QCK53" s="15"/>
      <c r="QCL53" s="15"/>
      <c r="QCM53" s="15"/>
      <c r="QCN53" s="15"/>
      <c r="QCO53" s="15"/>
      <c r="QCP53" s="15"/>
      <c r="QCQ53" s="15"/>
      <c r="QCR53" s="15"/>
      <c r="QCS53" s="15"/>
      <c r="QCT53" s="15"/>
      <c r="QCU53" s="15"/>
      <c r="QCV53" s="15"/>
      <c r="QCW53" s="15"/>
      <c r="QCX53" s="15"/>
      <c r="QCY53" s="15"/>
      <c r="QCZ53" s="15"/>
      <c r="QDA53" s="15"/>
      <c r="QDB53" s="15"/>
      <c r="QDC53" s="15"/>
      <c r="QDD53" s="15"/>
      <c r="QDE53" s="15"/>
      <c r="QDF53" s="15"/>
      <c r="QDG53" s="15"/>
      <c r="QDH53" s="15"/>
      <c r="QDI53" s="15"/>
      <c r="QDJ53" s="15"/>
      <c r="QDK53" s="15"/>
      <c r="QDL53" s="15"/>
      <c r="QDM53" s="15"/>
      <c r="QDN53" s="15"/>
      <c r="QDO53" s="15"/>
      <c r="QDP53" s="15"/>
      <c r="QDQ53" s="15"/>
      <c r="QDR53" s="15"/>
      <c r="QDS53" s="15"/>
      <c r="QDT53" s="15"/>
      <c r="QDU53" s="15"/>
      <c r="QDV53" s="15"/>
      <c r="QDW53" s="15"/>
      <c r="QDX53" s="15"/>
      <c r="QDY53" s="15"/>
      <c r="QDZ53" s="15"/>
      <c r="QEA53" s="15"/>
      <c r="QEB53" s="15"/>
      <c r="QEC53" s="15"/>
      <c r="QED53" s="15"/>
      <c r="QEE53" s="15"/>
      <c r="QEF53" s="15"/>
      <c r="QEG53" s="15"/>
      <c r="QEH53" s="15"/>
      <c r="QEI53" s="15"/>
      <c r="QEJ53" s="15"/>
      <c r="QEK53" s="15"/>
      <c r="QEL53" s="15"/>
      <c r="QEM53" s="15"/>
      <c r="QEN53" s="15"/>
      <c r="QEO53" s="15"/>
      <c r="QEP53" s="15"/>
      <c r="QEQ53" s="15"/>
      <c r="QER53" s="15"/>
      <c r="QES53" s="15"/>
      <c r="QET53" s="15"/>
      <c r="QEU53" s="15"/>
      <c r="QEV53" s="15"/>
      <c r="QEW53" s="15"/>
      <c r="QEX53" s="15"/>
      <c r="QEY53" s="15"/>
      <c r="QEZ53" s="15"/>
      <c r="QFA53" s="15"/>
      <c r="QFB53" s="15"/>
      <c r="QFC53" s="15"/>
      <c r="QFD53" s="15"/>
      <c r="QFE53" s="15"/>
      <c r="QFF53" s="15"/>
      <c r="QFG53" s="15"/>
      <c r="QFH53" s="15"/>
      <c r="QFI53" s="15"/>
      <c r="QFJ53" s="15"/>
      <c r="QFK53" s="15"/>
      <c r="QFL53" s="15"/>
      <c r="QFM53" s="15"/>
      <c r="QFN53" s="15"/>
      <c r="QFO53" s="15"/>
      <c r="QFP53" s="15"/>
      <c r="QFQ53" s="15"/>
      <c r="QFR53" s="15"/>
      <c r="QFS53" s="15"/>
      <c r="QFT53" s="15"/>
      <c r="QFU53" s="15"/>
      <c r="QFV53" s="15"/>
      <c r="QFW53" s="15"/>
      <c r="QFX53" s="15"/>
      <c r="QFY53" s="15"/>
      <c r="QFZ53" s="15"/>
      <c r="QGA53" s="15"/>
      <c r="QGB53" s="15"/>
      <c r="QGC53" s="15"/>
      <c r="QGD53" s="15"/>
      <c r="QGE53" s="15"/>
      <c r="QGF53" s="15"/>
      <c r="QGG53" s="15"/>
      <c r="QGH53" s="15"/>
      <c r="QGI53" s="15"/>
      <c r="QGJ53" s="15"/>
      <c r="QGK53" s="15"/>
      <c r="QGL53" s="15"/>
      <c r="QGM53" s="15"/>
      <c r="QGN53" s="15"/>
      <c r="QGO53" s="15"/>
      <c r="QGP53" s="15"/>
      <c r="QGQ53" s="15"/>
      <c r="QGR53" s="15"/>
      <c r="QGS53" s="15"/>
      <c r="QGT53" s="15"/>
      <c r="QGU53" s="15"/>
      <c r="QGV53" s="15"/>
      <c r="QGW53" s="15"/>
      <c r="QGX53" s="15"/>
      <c r="QGY53" s="15"/>
      <c r="QGZ53" s="15"/>
      <c r="QHA53" s="15"/>
      <c r="QHB53" s="15"/>
      <c r="QHC53" s="15"/>
      <c r="QHD53" s="15"/>
      <c r="QHE53" s="15"/>
      <c r="QHF53" s="15"/>
      <c r="QHG53" s="15"/>
      <c r="QHH53" s="15"/>
      <c r="QHI53" s="15"/>
      <c r="QHJ53" s="15"/>
      <c r="QHK53" s="15"/>
      <c r="QHL53" s="15"/>
      <c r="QHM53" s="15"/>
      <c r="QHN53" s="15"/>
      <c r="QHO53" s="15"/>
      <c r="QHP53" s="15"/>
      <c r="QHQ53" s="15"/>
      <c r="QHR53" s="15"/>
      <c r="QHS53" s="15"/>
      <c r="QHT53" s="15"/>
      <c r="QHU53" s="15"/>
      <c r="QHV53" s="15"/>
      <c r="QHW53" s="15"/>
      <c r="QHX53" s="15"/>
      <c r="QHY53" s="15"/>
      <c r="QHZ53" s="15"/>
      <c r="QIA53" s="15"/>
      <c r="QIB53" s="15"/>
      <c r="QIC53" s="15"/>
      <c r="QID53" s="15"/>
      <c r="QIE53" s="15"/>
      <c r="QIF53" s="15"/>
      <c r="QIG53" s="15"/>
      <c r="QIH53" s="15"/>
      <c r="QII53" s="15"/>
      <c r="QIJ53" s="15"/>
      <c r="QIK53" s="15"/>
      <c r="QIL53" s="15"/>
      <c r="QIM53" s="15"/>
      <c r="QIN53" s="15"/>
      <c r="QIO53" s="15"/>
      <c r="QIP53" s="15"/>
      <c r="QIQ53" s="15"/>
      <c r="QIR53" s="15"/>
      <c r="QIS53" s="15"/>
      <c r="QIT53" s="15"/>
      <c r="QIU53" s="15"/>
      <c r="QIV53" s="15"/>
      <c r="QIW53" s="15"/>
      <c r="QIX53" s="15"/>
      <c r="QIY53" s="15"/>
      <c r="QIZ53" s="15"/>
      <c r="QJA53" s="15"/>
      <c r="QJB53" s="15"/>
      <c r="QJC53" s="15"/>
      <c r="QJD53" s="15"/>
      <c r="QJE53" s="15"/>
      <c r="QJF53" s="15"/>
      <c r="QJG53" s="15"/>
      <c r="QJH53" s="15"/>
      <c r="QJI53" s="15"/>
      <c r="QJJ53" s="15"/>
      <c r="QJK53" s="15"/>
      <c r="QJL53" s="15"/>
      <c r="QJM53" s="15"/>
      <c r="QJN53" s="15"/>
      <c r="QJO53" s="15"/>
      <c r="QJP53" s="15"/>
      <c r="QJQ53" s="15"/>
      <c r="QJR53" s="15"/>
      <c r="QJS53" s="15"/>
      <c r="QJT53" s="15"/>
      <c r="QJU53" s="15"/>
      <c r="QJV53" s="15"/>
      <c r="QJW53" s="15"/>
      <c r="QJX53" s="15"/>
      <c r="QJY53" s="15"/>
      <c r="QJZ53" s="15"/>
      <c r="QKA53" s="15"/>
      <c r="QKB53" s="15"/>
      <c r="QKC53" s="15"/>
      <c r="QKD53" s="15"/>
      <c r="QKE53" s="15"/>
      <c r="QKF53" s="15"/>
      <c r="QKG53" s="15"/>
      <c r="QKH53" s="15"/>
      <c r="QKI53" s="15"/>
      <c r="QKJ53" s="15"/>
      <c r="QKK53" s="15"/>
      <c r="QKL53" s="15"/>
      <c r="QKM53" s="15"/>
      <c r="QKN53" s="15"/>
      <c r="QKO53" s="15"/>
      <c r="QKP53" s="15"/>
      <c r="QKQ53" s="15"/>
      <c r="QKR53" s="15"/>
      <c r="QKS53" s="15"/>
      <c r="QKT53" s="15"/>
      <c r="QKU53" s="15"/>
      <c r="QKV53" s="15"/>
      <c r="QKW53" s="15"/>
      <c r="QKX53" s="15"/>
      <c r="QKY53" s="15"/>
      <c r="QKZ53" s="15"/>
      <c r="QLA53" s="15"/>
      <c r="QLB53" s="15"/>
      <c r="QLC53" s="15"/>
      <c r="QLD53" s="15"/>
      <c r="QLE53" s="15"/>
      <c r="QLF53" s="15"/>
      <c r="QLG53" s="15"/>
      <c r="QLH53" s="15"/>
      <c r="QLI53" s="15"/>
      <c r="QLJ53" s="15"/>
      <c r="QLK53" s="15"/>
      <c r="QLL53" s="15"/>
      <c r="QLM53" s="15"/>
      <c r="QLN53" s="15"/>
      <c r="QLO53" s="15"/>
      <c r="QLP53" s="15"/>
      <c r="QLQ53" s="15"/>
      <c r="QLR53" s="15"/>
      <c r="QLS53" s="15"/>
      <c r="QLT53" s="15"/>
      <c r="QLU53" s="15"/>
      <c r="QLV53" s="15"/>
      <c r="QLW53" s="15"/>
      <c r="QLX53" s="15"/>
      <c r="QLY53" s="15"/>
      <c r="QLZ53" s="15"/>
      <c r="QMA53" s="15"/>
      <c r="QMB53" s="15"/>
      <c r="QMC53" s="15"/>
      <c r="QMD53" s="15"/>
      <c r="QME53" s="15"/>
      <c r="QMF53" s="15"/>
      <c r="QMG53" s="15"/>
      <c r="QMH53" s="15"/>
      <c r="QMI53" s="15"/>
      <c r="QMJ53" s="15"/>
      <c r="QMK53" s="15"/>
      <c r="QML53" s="15"/>
      <c r="QMM53" s="15"/>
      <c r="QMN53" s="15"/>
      <c r="QMO53" s="15"/>
      <c r="QMP53" s="15"/>
      <c r="QMQ53" s="15"/>
      <c r="QMR53" s="15"/>
      <c r="QMS53" s="15"/>
      <c r="QMT53" s="15"/>
      <c r="QMU53" s="15"/>
      <c r="QMV53" s="15"/>
      <c r="QMW53" s="15"/>
      <c r="QMX53" s="15"/>
      <c r="QMY53" s="15"/>
      <c r="QMZ53" s="15"/>
      <c r="QNA53" s="15"/>
      <c r="QNB53" s="15"/>
      <c r="QNC53" s="15"/>
      <c r="QND53" s="15"/>
      <c r="QNE53" s="15"/>
      <c r="QNF53" s="15"/>
      <c r="QNG53" s="15"/>
      <c r="QNH53" s="15"/>
      <c r="QNI53" s="15"/>
      <c r="QNJ53" s="15"/>
      <c r="QNK53" s="15"/>
      <c r="QNL53" s="15"/>
      <c r="QNM53" s="15"/>
      <c r="QNN53" s="15"/>
      <c r="QNO53" s="15"/>
      <c r="QNP53" s="15"/>
      <c r="QNQ53" s="15"/>
      <c r="QNR53" s="15"/>
      <c r="QNS53" s="15"/>
      <c r="QNT53" s="15"/>
      <c r="QNU53" s="15"/>
      <c r="QNV53" s="15"/>
      <c r="QNW53" s="15"/>
      <c r="QNX53" s="15"/>
      <c r="QNY53" s="15"/>
      <c r="QNZ53" s="15"/>
      <c r="QOA53" s="15"/>
      <c r="QOB53" s="15"/>
      <c r="QOC53" s="15"/>
      <c r="QOD53" s="15"/>
      <c r="QOE53" s="15"/>
      <c r="QOF53" s="15"/>
      <c r="QOG53" s="15"/>
      <c r="QOH53" s="15"/>
      <c r="QOI53" s="15"/>
      <c r="QOJ53" s="15"/>
      <c r="QOK53" s="15"/>
      <c r="QOL53" s="15"/>
      <c r="QOM53" s="15"/>
      <c r="QON53" s="15"/>
      <c r="QOO53" s="15"/>
      <c r="QOP53" s="15"/>
      <c r="QOQ53" s="15"/>
      <c r="QOR53" s="15"/>
      <c r="QOS53" s="15"/>
      <c r="QOT53" s="15"/>
      <c r="QOU53" s="15"/>
      <c r="QOV53" s="15"/>
      <c r="QOW53" s="15"/>
      <c r="QOX53" s="15"/>
      <c r="QOY53" s="15"/>
      <c r="QOZ53" s="15"/>
      <c r="QPA53" s="15"/>
      <c r="QPB53" s="15"/>
      <c r="QPC53" s="15"/>
      <c r="QPD53" s="15"/>
      <c r="QPE53" s="15"/>
      <c r="QPF53" s="15"/>
      <c r="QPG53" s="15"/>
      <c r="QPH53" s="15"/>
      <c r="QPI53" s="15"/>
      <c r="QPJ53" s="15"/>
      <c r="QPK53" s="15"/>
      <c r="QPL53" s="15"/>
      <c r="QPM53" s="15"/>
      <c r="QPN53" s="15"/>
      <c r="QPO53" s="15"/>
      <c r="QPP53" s="15"/>
      <c r="QPQ53" s="15"/>
      <c r="QPR53" s="15"/>
      <c r="QPS53" s="15"/>
      <c r="QPT53" s="15"/>
      <c r="QPU53" s="15"/>
      <c r="QPV53" s="15"/>
      <c r="QPW53" s="15"/>
      <c r="QPX53" s="15"/>
      <c r="QPY53" s="15"/>
      <c r="QPZ53" s="15"/>
      <c r="QQA53" s="15"/>
      <c r="QQB53" s="15"/>
      <c r="QQC53" s="15"/>
      <c r="QQD53" s="15"/>
      <c r="QQE53" s="15"/>
      <c r="QQF53" s="15"/>
      <c r="QQG53" s="15"/>
      <c r="QQH53" s="15"/>
      <c r="QQI53" s="15"/>
      <c r="QQJ53" s="15"/>
      <c r="QQK53" s="15"/>
      <c r="QQL53" s="15"/>
      <c r="QQM53" s="15"/>
      <c r="QQN53" s="15"/>
      <c r="QQO53" s="15"/>
      <c r="QQP53" s="15"/>
      <c r="QQQ53" s="15"/>
      <c r="QQR53" s="15"/>
      <c r="QQS53" s="15"/>
      <c r="QQT53" s="15"/>
      <c r="QQU53" s="15"/>
      <c r="QQV53" s="15"/>
      <c r="QQW53" s="15"/>
      <c r="QQX53" s="15"/>
      <c r="QQY53" s="15"/>
      <c r="QQZ53" s="15"/>
      <c r="QRA53" s="15"/>
      <c r="QRB53" s="15"/>
      <c r="QRC53" s="15"/>
      <c r="QRD53" s="15"/>
      <c r="QRE53" s="15"/>
      <c r="QRF53" s="15"/>
      <c r="QRG53" s="15"/>
      <c r="QRH53" s="15"/>
      <c r="QRI53" s="15"/>
      <c r="QRJ53" s="15"/>
      <c r="QRK53" s="15"/>
      <c r="QRL53" s="15"/>
      <c r="QRM53" s="15"/>
      <c r="QRN53" s="15"/>
      <c r="QRO53" s="15"/>
      <c r="QRP53" s="15"/>
      <c r="QRQ53" s="15"/>
      <c r="QRR53" s="15"/>
      <c r="QRS53" s="15"/>
      <c r="QRT53" s="15"/>
      <c r="QRU53" s="15"/>
      <c r="QRV53" s="15"/>
      <c r="QRW53" s="15"/>
      <c r="QRX53" s="15"/>
      <c r="QRY53" s="15"/>
      <c r="QRZ53" s="15"/>
      <c r="QSA53" s="15"/>
      <c r="QSB53" s="15"/>
      <c r="QSC53" s="15"/>
      <c r="QSD53" s="15"/>
      <c r="QSE53" s="15"/>
      <c r="QSF53" s="15"/>
      <c r="QSG53" s="15"/>
      <c r="QSH53" s="15"/>
      <c r="QSI53" s="15"/>
      <c r="QSJ53" s="15"/>
      <c r="QSK53" s="15"/>
      <c r="QSL53" s="15"/>
      <c r="QSM53" s="15"/>
      <c r="QSN53" s="15"/>
      <c r="QSO53" s="15"/>
      <c r="QSP53" s="15"/>
      <c r="QSQ53" s="15"/>
      <c r="QSR53" s="15"/>
      <c r="QSS53" s="15"/>
      <c r="QST53" s="15"/>
      <c r="QSU53" s="15"/>
      <c r="QSV53" s="15"/>
      <c r="QSW53" s="15"/>
      <c r="QSX53" s="15"/>
      <c r="QSY53" s="15"/>
      <c r="QSZ53" s="15"/>
      <c r="QTA53" s="15"/>
      <c r="QTB53" s="15"/>
      <c r="QTC53" s="15"/>
      <c r="QTD53" s="15"/>
      <c r="QTE53" s="15"/>
      <c r="QTF53" s="15"/>
      <c r="QTG53" s="15"/>
      <c r="QTH53" s="15"/>
      <c r="QTI53" s="15"/>
      <c r="QTJ53" s="15"/>
      <c r="QTK53" s="15"/>
      <c r="QTL53" s="15"/>
      <c r="QTM53" s="15"/>
      <c r="QTN53" s="15"/>
      <c r="QTO53" s="15"/>
      <c r="QTP53" s="15"/>
      <c r="QTQ53" s="15"/>
      <c r="QTR53" s="15"/>
      <c r="QTS53" s="15"/>
      <c r="QTT53" s="15"/>
      <c r="QTU53" s="15"/>
      <c r="QTV53" s="15"/>
      <c r="QTW53" s="15"/>
      <c r="QTX53" s="15"/>
      <c r="QTY53" s="15"/>
      <c r="QTZ53" s="15"/>
      <c r="QUA53" s="15"/>
      <c r="QUB53" s="15"/>
      <c r="QUC53" s="15"/>
      <c r="QUD53" s="15"/>
      <c r="QUE53" s="15"/>
      <c r="QUF53" s="15"/>
      <c r="QUG53" s="15"/>
      <c r="QUH53" s="15"/>
      <c r="QUI53" s="15"/>
      <c r="QUJ53" s="15"/>
      <c r="QUK53" s="15"/>
      <c r="QUL53" s="15"/>
      <c r="QUM53" s="15"/>
      <c r="QUN53" s="15"/>
      <c r="QUO53" s="15"/>
      <c r="QUP53" s="15"/>
      <c r="QUQ53" s="15"/>
      <c r="QUR53" s="15"/>
      <c r="QUS53" s="15"/>
      <c r="QUT53" s="15"/>
      <c r="QUU53" s="15"/>
      <c r="QUV53" s="15"/>
      <c r="QUW53" s="15"/>
      <c r="QUX53" s="15"/>
      <c r="QUY53" s="15"/>
      <c r="QUZ53" s="15"/>
      <c r="QVA53" s="15"/>
      <c r="QVB53" s="15"/>
      <c r="QVC53" s="15"/>
      <c r="QVD53" s="15"/>
      <c r="QVE53" s="15"/>
      <c r="QVF53" s="15"/>
      <c r="QVG53" s="15"/>
      <c r="QVH53" s="15"/>
      <c r="QVI53" s="15"/>
      <c r="QVJ53" s="15"/>
      <c r="QVK53" s="15"/>
      <c r="QVL53" s="15"/>
      <c r="QVM53" s="15"/>
      <c r="QVN53" s="15"/>
      <c r="QVO53" s="15"/>
      <c r="QVP53" s="15"/>
      <c r="QVQ53" s="15"/>
      <c r="QVR53" s="15"/>
      <c r="QVS53" s="15"/>
      <c r="QVT53" s="15"/>
      <c r="QVU53" s="15"/>
      <c r="QVV53" s="15"/>
      <c r="QVW53" s="15"/>
      <c r="QVX53" s="15"/>
      <c r="QVY53" s="15"/>
      <c r="QVZ53" s="15"/>
      <c r="QWA53" s="15"/>
      <c r="QWB53" s="15"/>
      <c r="QWC53" s="15"/>
      <c r="QWD53" s="15"/>
      <c r="QWE53" s="15"/>
      <c r="QWF53" s="15"/>
      <c r="QWG53" s="15"/>
      <c r="QWH53" s="15"/>
      <c r="QWI53" s="15"/>
      <c r="QWJ53" s="15"/>
      <c r="QWK53" s="15"/>
      <c r="QWL53" s="15"/>
      <c r="QWM53" s="15"/>
      <c r="QWN53" s="15"/>
      <c r="QWO53" s="15"/>
      <c r="QWP53" s="15"/>
      <c r="QWQ53" s="15"/>
      <c r="QWR53" s="15"/>
      <c r="QWS53" s="15"/>
      <c r="QWT53" s="15"/>
      <c r="QWU53" s="15"/>
      <c r="QWV53" s="15"/>
      <c r="QWW53" s="15"/>
      <c r="QWX53" s="15"/>
      <c r="QWY53" s="15"/>
      <c r="QWZ53" s="15"/>
      <c r="QXA53" s="15"/>
      <c r="QXB53" s="15"/>
      <c r="QXC53" s="15"/>
      <c r="QXD53" s="15"/>
      <c r="QXE53" s="15"/>
      <c r="QXF53" s="15"/>
      <c r="QXG53" s="15"/>
      <c r="QXH53" s="15"/>
      <c r="QXI53" s="15"/>
      <c r="QXJ53" s="15"/>
      <c r="QXK53" s="15"/>
      <c r="QXL53" s="15"/>
      <c r="QXM53" s="15"/>
      <c r="QXN53" s="15"/>
      <c r="QXO53" s="15"/>
      <c r="QXP53" s="15"/>
      <c r="QXQ53" s="15"/>
      <c r="QXR53" s="15"/>
      <c r="QXS53" s="15"/>
      <c r="QXT53" s="15"/>
      <c r="QXU53" s="15"/>
      <c r="QXV53" s="15"/>
      <c r="QXW53" s="15"/>
      <c r="QXX53" s="15"/>
      <c r="QXY53" s="15"/>
      <c r="QXZ53" s="15"/>
      <c r="QYA53" s="15"/>
      <c r="QYB53" s="15"/>
      <c r="QYC53" s="15"/>
      <c r="QYD53" s="15"/>
      <c r="QYE53" s="15"/>
      <c r="QYF53" s="15"/>
      <c r="QYG53" s="15"/>
      <c r="QYH53" s="15"/>
      <c r="QYI53" s="15"/>
      <c r="QYJ53" s="15"/>
      <c r="QYK53" s="15"/>
      <c r="QYL53" s="15"/>
      <c r="QYM53" s="15"/>
      <c r="QYN53" s="15"/>
      <c r="QYO53" s="15"/>
      <c r="QYP53" s="15"/>
      <c r="QYQ53" s="15"/>
      <c r="QYR53" s="15"/>
      <c r="QYS53" s="15"/>
      <c r="QYT53" s="15"/>
      <c r="QYU53" s="15"/>
      <c r="QYV53" s="15"/>
      <c r="QYW53" s="15"/>
      <c r="QYX53" s="15"/>
      <c r="QYY53" s="15"/>
      <c r="QYZ53" s="15"/>
      <c r="QZA53" s="15"/>
      <c r="QZB53" s="15"/>
      <c r="QZC53" s="15"/>
      <c r="QZD53" s="15"/>
      <c r="QZE53" s="15"/>
      <c r="QZF53" s="15"/>
      <c r="QZG53" s="15"/>
      <c r="QZH53" s="15"/>
      <c r="QZI53" s="15"/>
      <c r="QZJ53" s="15"/>
      <c r="QZK53" s="15"/>
      <c r="QZL53" s="15"/>
      <c r="QZM53" s="15"/>
      <c r="QZN53" s="15"/>
      <c r="QZO53" s="15"/>
      <c r="QZP53" s="15"/>
      <c r="QZQ53" s="15"/>
      <c r="QZR53" s="15"/>
      <c r="QZS53" s="15"/>
      <c r="QZT53" s="15"/>
      <c r="QZU53" s="15"/>
      <c r="QZV53" s="15"/>
      <c r="QZW53" s="15"/>
      <c r="QZX53" s="15"/>
      <c r="QZY53" s="15"/>
      <c r="QZZ53" s="15"/>
      <c r="RAA53" s="15"/>
      <c r="RAB53" s="15"/>
      <c r="RAC53" s="15"/>
      <c r="RAD53" s="15"/>
      <c r="RAE53" s="15"/>
      <c r="RAF53" s="15"/>
      <c r="RAG53" s="15"/>
      <c r="RAH53" s="15"/>
      <c r="RAI53" s="15"/>
      <c r="RAJ53" s="15"/>
      <c r="RAK53" s="15"/>
      <c r="RAL53" s="15"/>
      <c r="RAM53" s="15"/>
      <c r="RAN53" s="15"/>
      <c r="RAO53" s="15"/>
      <c r="RAP53" s="15"/>
      <c r="RAQ53" s="15"/>
      <c r="RAR53" s="15"/>
      <c r="RAS53" s="15"/>
      <c r="RAT53" s="15"/>
      <c r="RAU53" s="15"/>
      <c r="RAV53" s="15"/>
      <c r="RAW53" s="15"/>
      <c r="RAX53" s="15"/>
      <c r="RAY53" s="15"/>
      <c r="RAZ53" s="15"/>
      <c r="RBA53" s="15"/>
      <c r="RBB53" s="15"/>
      <c r="RBC53" s="15"/>
      <c r="RBD53" s="15"/>
      <c r="RBE53" s="15"/>
      <c r="RBF53" s="15"/>
      <c r="RBG53" s="15"/>
      <c r="RBH53" s="15"/>
      <c r="RBI53" s="15"/>
      <c r="RBJ53" s="15"/>
      <c r="RBK53" s="15"/>
      <c r="RBL53" s="15"/>
      <c r="RBM53" s="15"/>
      <c r="RBN53" s="15"/>
      <c r="RBO53" s="15"/>
      <c r="RBP53" s="15"/>
      <c r="RBQ53" s="15"/>
      <c r="RBR53" s="15"/>
      <c r="RBS53" s="15"/>
      <c r="RBT53" s="15"/>
      <c r="RBU53" s="15"/>
      <c r="RBV53" s="15"/>
      <c r="RBW53" s="15"/>
      <c r="RBX53" s="15"/>
      <c r="RBY53" s="15"/>
      <c r="RBZ53" s="15"/>
      <c r="RCA53" s="15"/>
      <c r="RCB53" s="15"/>
      <c r="RCC53" s="15"/>
      <c r="RCD53" s="15"/>
      <c r="RCE53" s="15"/>
      <c r="RCF53" s="15"/>
      <c r="RCG53" s="15"/>
      <c r="RCH53" s="15"/>
      <c r="RCI53" s="15"/>
      <c r="RCJ53" s="15"/>
      <c r="RCK53" s="15"/>
      <c r="RCL53" s="15"/>
      <c r="RCM53" s="15"/>
      <c r="RCN53" s="15"/>
      <c r="RCO53" s="15"/>
      <c r="RCP53" s="15"/>
      <c r="RCQ53" s="15"/>
      <c r="RCR53" s="15"/>
      <c r="RCS53" s="15"/>
      <c r="RCT53" s="15"/>
      <c r="RCU53" s="15"/>
      <c r="RCV53" s="15"/>
      <c r="RCW53" s="15"/>
      <c r="RCX53" s="15"/>
      <c r="RCY53" s="15"/>
      <c r="RCZ53" s="15"/>
      <c r="RDA53" s="15"/>
      <c r="RDB53" s="15"/>
      <c r="RDC53" s="15"/>
      <c r="RDD53" s="15"/>
      <c r="RDE53" s="15"/>
      <c r="RDF53" s="15"/>
      <c r="RDG53" s="15"/>
      <c r="RDH53" s="15"/>
      <c r="RDI53" s="15"/>
      <c r="RDJ53" s="15"/>
      <c r="RDK53" s="15"/>
      <c r="RDL53" s="15"/>
      <c r="RDM53" s="15"/>
      <c r="RDN53" s="15"/>
      <c r="RDO53" s="15"/>
      <c r="RDP53" s="15"/>
      <c r="RDQ53" s="15"/>
      <c r="RDR53" s="15"/>
      <c r="RDS53" s="15"/>
      <c r="RDT53" s="15"/>
      <c r="RDU53" s="15"/>
      <c r="RDV53" s="15"/>
      <c r="RDW53" s="15"/>
      <c r="RDX53" s="15"/>
      <c r="RDY53" s="15"/>
      <c r="RDZ53" s="15"/>
      <c r="REA53" s="15"/>
      <c r="REB53" s="15"/>
      <c r="REC53" s="15"/>
      <c r="RED53" s="15"/>
      <c r="REE53" s="15"/>
      <c r="REF53" s="15"/>
      <c r="REG53" s="15"/>
      <c r="REH53" s="15"/>
      <c r="REI53" s="15"/>
      <c r="REJ53" s="15"/>
      <c r="REK53" s="15"/>
      <c r="REL53" s="15"/>
      <c r="REM53" s="15"/>
      <c r="REN53" s="15"/>
      <c r="REO53" s="15"/>
      <c r="REP53" s="15"/>
      <c r="REQ53" s="15"/>
      <c r="RER53" s="15"/>
      <c r="RES53" s="15"/>
      <c r="RET53" s="15"/>
      <c r="REU53" s="15"/>
      <c r="REV53" s="15"/>
      <c r="REW53" s="15"/>
      <c r="REX53" s="15"/>
      <c r="REY53" s="15"/>
      <c r="REZ53" s="15"/>
      <c r="RFA53" s="15"/>
      <c r="RFB53" s="15"/>
      <c r="RFC53" s="15"/>
      <c r="RFD53" s="15"/>
      <c r="RFE53" s="15"/>
      <c r="RFF53" s="15"/>
      <c r="RFG53" s="15"/>
      <c r="RFH53" s="15"/>
      <c r="RFI53" s="15"/>
      <c r="RFJ53" s="15"/>
      <c r="RFK53" s="15"/>
      <c r="RFL53" s="15"/>
      <c r="RFM53" s="15"/>
      <c r="RFN53" s="15"/>
      <c r="RFO53" s="15"/>
      <c r="RFP53" s="15"/>
      <c r="RFQ53" s="15"/>
      <c r="RFR53" s="15"/>
      <c r="RFS53" s="15"/>
      <c r="RFT53" s="15"/>
      <c r="RFU53" s="15"/>
      <c r="RFV53" s="15"/>
      <c r="RFW53" s="15"/>
      <c r="RFX53" s="15"/>
      <c r="RFY53" s="15"/>
      <c r="RFZ53" s="15"/>
      <c r="RGA53" s="15"/>
      <c r="RGB53" s="15"/>
      <c r="RGC53" s="15"/>
      <c r="RGD53" s="15"/>
      <c r="RGE53" s="15"/>
      <c r="RGF53" s="15"/>
      <c r="RGG53" s="15"/>
      <c r="RGH53" s="15"/>
      <c r="RGI53" s="15"/>
      <c r="RGJ53" s="15"/>
      <c r="RGK53" s="15"/>
      <c r="RGL53" s="15"/>
      <c r="RGM53" s="15"/>
      <c r="RGN53" s="15"/>
      <c r="RGO53" s="15"/>
      <c r="RGP53" s="15"/>
      <c r="RGQ53" s="15"/>
      <c r="RGR53" s="15"/>
      <c r="RGS53" s="15"/>
      <c r="RGT53" s="15"/>
      <c r="RGU53" s="15"/>
      <c r="RGV53" s="15"/>
      <c r="RGW53" s="15"/>
      <c r="RGX53" s="15"/>
      <c r="RGY53" s="15"/>
      <c r="RGZ53" s="15"/>
      <c r="RHA53" s="15"/>
      <c r="RHB53" s="15"/>
      <c r="RHC53" s="15"/>
      <c r="RHD53" s="15"/>
      <c r="RHE53" s="15"/>
      <c r="RHF53" s="15"/>
      <c r="RHG53" s="15"/>
      <c r="RHH53" s="15"/>
      <c r="RHI53" s="15"/>
      <c r="RHJ53" s="15"/>
      <c r="RHK53" s="15"/>
      <c r="RHL53" s="15"/>
      <c r="RHM53" s="15"/>
      <c r="RHN53" s="15"/>
      <c r="RHO53" s="15"/>
      <c r="RHP53" s="15"/>
      <c r="RHQ53" s="15"/>
      <c r="RHR53" s="15"/>
      <c r="RHS53" s="15"/>
      <c r="RHT53" s="15"/>
      <c r="RHU53" s="15"/>
      <c r="RHV53" s="15"/>
      <c r="RHW53" s="15"/>
      <c r="RHX53" s="15"/>
      <c r="RHY53" s="15"/>
      <c r="RHZ53" s="15"/>
      <c r="RIA53" s="15"/>
      <c r="RIB53" s="15"/>
      <c r="RIC53" s="15"/>
      <c r="RID53" s="15"/>
      <c r="RIE53" s="15"/>
      <c r="RIF53" s="15"/>
      <c r="RIG53" s="15"/>
      <c r="RIH53" s="15"/>
      <c r="RII53" s="15"/>
      <c r="RIJ53" s="15"/>
      <c r="RIK53" s="15"/>
      <c r="RIL53" s="15"/>
      <c r="RIM53" s="15"/>
      <c r="RIN53" s="15"/>
      <c r="RIO53" s="15"/>
      <c r="RIP53" s="15"/>
      <c r="RIQ53" s="15"/>
      <c r="RIR53" s="15"/>
      <c r="RIS53" s="15"/>
      <c r="RIT53" s="15"/>
      <c r="RIU53" s="15"/>
      <c r="RIV53" s="15"/>
      <c r="RIW53" s="15"/>
      <c r="RIX53" s="15"/>
      <c r="RIY53" s="15"/>
      <c r="RIZ53" s="15"/>
      <c r="RJA53" s="15"/>
      <c r="RJB53" s="15"/>
      <c r="RJC53" s="15"/>
      <c r="RJD53" s="15"/>
      <c r="RJE53" s="15"/>
      <c r="RJF53" s="15"/>
      <c r="RJG53" s="15"/>
      <c r="RJH53" s="15"/>
      <c r="RJI53" s="15"/>
      <c r="RJJ53" s="15"/>
      <c r="RJK53" s="15"/>
      <c r="RJL53" s="15"/>
      <c r="RJM53" s="15"/>
      <c r="RJN53" s="15"/>
      <c r="RJO53" s="15"/>
      <c r="RJP53" s="15"/>
      <c r="RJQ53" s="15"/>
      <c r="RJR53" s="15"/>
      <c r="RJS53" s="15"/>
      <c r="RJT53" s="15"/>
      <c r="RJU53" s="15"/>
      <c r="RJV53" s="15"/>
      <c r="RJW53" s="15"/>
      <c r="RJX53" s="15"/>
      <c r="RJY53" s="15"/>
      <c r="RJZ53" s="15"/>
      <c r="RKA53" s="15"/>
      <c r="RKB53" s="15"/>
      <c r="RKC53" s="15"/>
      <c r="RKD53" s="15"/>
      <c r="RKE53" s="15"/>
      <c r="RKF53" s="15"/>
      <c r="RKG53" s="15"/>
      <c r="RKH53" s="15"/>
      <c r="RKI53" s="15"/>
      <c r="RKJ53" s="15"/>
      <c r="RKK53" s="15"/>
      <c r="RKL53" s="15"/>
      <c r="RKM53" s="15"/>
      <c r="RKN53" s="15"/>
      <c r="RKO53" s="15"/>
      <c r="RKP53" s="15"/>
      <c r="RKQ53" s="15"/>
      <c r="RKR53" s="15"/>
      <c r="RKS53" s="15"/>
      <c r="RKT53" s="15"/>
      <c r="RKU53" s="15"/>
      <c r="RKV53" s="15"/>
      <c r="RKW53" s="15"/>
      <c r="RKX53" s="15"/>
      <c r="RKY53" s="15"/>
      <c r="RKZ53" s="15"/>
      <c r="RLA53" s="15"/>
      <c r="RLB53" s="15"/>
      <c r="RLC53" s="15"/>
      <c r="RLD53" s="15"/>
      <c r="RLE53" s="15"/>
      <c r="RLF53" s="15"/>
      <c r="RLG53" s="15"/>
      <c r="RLH53" s="15"/>
      <c r="RLI53" s="15"/>
      <c r="RLJ53" s="15"/>
      <c r="RLK53" s="15"/>
      <c r="RLL53" s="15"/>
      <c r="RLM53" s="15"/>
      <c r="RLN53" s="15"/>
      <c r="RLO53" s="15"/>
      <c r="RLP53" s="15"/>
      <c r="RLQ53" s="15"/>
      <c r="RLR53" s="15"/>
      <c r="RLS53" s="15"/>
      <c r="RLT53" s="15"/>
      <c r="RLU53" s="15"/>
      <c r="RLV53" s="15"/>
      <c r="RLW53" s="15"/>
      <c r="RLX53" s="15"/>
      <c r="RLY53" s="15"/>
      <c r="RLZ53" s="15"/>
      <c r="RMA53" s="15"/>
      <c r="RMB53" s="15"/>
      <c r="RMC53" s="15"/>
      <c r="RMD53" s="15"/>
      <c r="RME53" s="15"/>
      <c r="RMF53" s="15"/>
      <c r="RMG53" s="15"/>
      <c r="RMH53" s="15"/>
      <c r="RMI53" s="15"/>
      <c r="RMJ53" s="15"/>
      <c r="RMK53" s="15"/>
      <c r="RML53" s="15"/>
      <c r="RMM53" s="15"/>
      <c r="RMN53" s="15"/>
      <c r="RMO53" s="15"/>
      <c r="RMP53" s="15"/>
      <c r="RMQ53" s="15"/>
      <c r="RMR53" s="15"/>
      <c r="RMS53" s="15"/>
      <c r="RMT53" s="15"/>
      <c r="RMU53" s="15"/>
      <c r="RMV53" s="15"/>
      <c r="RMW53" s="15"/>
      <c r="RMX53" s="15"/>
      <c r="RMY53" s="15"/>
      <c r="RMZ53" s="15"/>
      <c r="RNA53" s="15"/>
      <c r="RNB53" s="15"/>
      <c r="RNC53" s="15"/>
      <c r="RND53" s="15"/>
      <c r="RNE53" s="15"/>
      <c r="RNF53" s="15"/>
      <c r="RNG53" s="15"/>
      <c r="RNH53" s="15"/>
      <c r="RNI53" s="15"/>
      <c r="RNJ53" s="15"/>
      <c r="RNK53" s="15"/>
      <c r="RNL53" s="15"/>
      <c r="RNM53" s="15"/>
      <c r="RNN53" s="15"/>
      <c r="RNO53" s="15"/>
      <c r="RNP53" s="15"/>
      <c r="RNQ53" s="15"/>
      <c r="RNR53" s="15"/>
      <c r="RNS53" s="15"/>
      <c r="RNT53" s="15"/>
      <c r="RNU53" s="15"/>
      <c r="RNV53" s="15"/>
      <c r="RNW53" s="15"/>
      <c r="RNX53" s="15"/>
      <c r="RNY53" s="15"/>
      <c r="RNZ53" s="15"/>
      <c r="ROA53" s="15"/>
      <c r="ROB53" s="15"/>
      <c r="ROC53" s="15"/>
      <c r="ROD53" s="15"/>
      <c r="ROE53" s="15"/>
      <c r="ROF53" s="15"/>
      <c r="ROG53" s="15"/>
      <c r="ROH53" s="15"/>
      <c r="ROI53" s="15"/>
      <c r="ROJ53" s="15"/>
      <c r="ROK53" s="15"/>
      <c r="ROL53" s="15"/>
      <c r="ROM53" s="15"/>
      <c r="RON53" s="15"/>
      <c r="ROO53" s="15"/>
      <c r="ROP53" s="15"/>
      <c r="ROQ53" s="15"/>
      <c r="ROR53" s="15"/>
      <c r="ROS53" s="15"/>
      <c r="ROT53" s="15"/>
      <c r="ROU53" s="15"/>
      <c r="ROV53" s="15"/>
      <c r="ROW53" s="15"/>
      <c r="ROX53" s="15"/>
      <c r="ROY53" s="15"/>
      <c r="ROZ53" s="15"/>
      <c r="RPA53" s="15"/>
      <c r="RPB53" s="15"/>
      <c r="RPC53" s="15"/>
      <c r="RPD53" s="15"/>
      <c r="RPE53" s="15"/>
      <c r="RPF53" s="15"/>
      <c r="RPG53" s="15"/>
      <c r="RPH53" s="15"/>
      <c r="RPI53" s="15"/>
      <c r="RPJ53" s="15"/>
      <c r="RPK53" s="15"/>
      <c r="RPL53" s="15"/>
      <c r="RPM53" s="15"/>
      <c r="RPN53" s="15"/>
      <c r="RPO53" s="15"/>
      <c r="RPP53" s="15"/>
      <c r="RPQ53" s="15"/>
      <c r="RPR53" s="15"/>
      <c r="RPS53" s="15"/>
      <c r="RPT53" s="15"/>
      <c r="RPU53" s="15"/>
      <c r="RPV53" s="15"/>
      <c r="RPW53" s="15"/>
      <c r="RPX53" s="15"/>
      <c r="RPY53" s="15"/>
      <c r="RPZ53" s="15"/>
      <c r="RQA53" s="15"/>
      <c r="RQB53" s="15"/>
      <c r="RQC53" s="15"/>
      <c r="RQD53" s="15"/>
      <c r="RQE53" s="15"/>
      <c r="RQF53" s="15"/>
      <c r="RQG53" s="15"/>
      <c r="RQH53" s="15"/>
      <c r="RQI53" s="15"/>
      <c r="RQJ53" s="15"/>
      <c r="RQK53" s="15"/>
      <c r="RQL53" s="15"/>
      <c r="RQM53" s="15"/>
      <c r="RQN53" s="15"/>
      <c r="RQO53" s="15"/>
      <c r="RQP53" s="15"/>
      <c r="RQQ53" s="15"/>
      <c r="RQR53" s="15"/>
      <c r="RQS53" s="15"/>
      <c r="RQT53" s="15"/>
      <c r="RQU53" s="15"/>
      <c r="RQV53" s="15"/>
      <c r="RQW53" s="15"/>
      <c r="RQX53" s="15"/>
      <c r="RQY53" s="15"/>
      <c r="RQZ53" s="15"/>
      <c r="RRA53" s="15"/>
      <c r="RRB53" s="15"/>
      <c r="RRC53" s="15"/>
      <c r="RRD53" s="15"/>
      <c r="RRE53" s="15"/>
      <c r="RRF53" s="15"/>
      <c r="RRG53" s="15"/>
      <c r="RRH53" s="15"/>
      <c r="RRI53" s="15"/>
      <c r="RRJ53" s="15"/>
      <c r="RRK53" s="15"/>
      <c r="RRL53" s="15"/>
      <c r="RRM53" s="15"/>
      <c r="RRN53" s="15"/>
      <c r="RRO53" s="15"/>
      <c r="RRP53" s="15"/>
      <c r="RRQ53" s="15"/>
      <c r="RRR53" s="15"/>
      <c r="RRS53" s="15"/>
      <c r="RRT53" s="15"/>
      <c r="RRU53" s="15"/>
      <c r="RRV53" s="15"/>
      <c r="RRW53" s="15"/>
      <c r="RRX53" s="15"/>
      <c r="RRY53" s="15"/>
      <c r="RRZ53" s="15"/>
      <c r="RSA53" s="15"/>
      <c r="RSB53" s="15"/>
      <c r="RSC53" s="15"/>
      <c r="RSD53" s="15"/>
      <c r="RSE53" s="15"/>
      <c r="RSF53" s="15"/>
      <c r="RSG53" s="15"/>
      <c r="RSH53" s="15"/>
      <c r="RSI53" s="15"/>
      <c r="RSJ53" s="15"/>
      <c r="RSK53" s="15"/>
      <c r="RSL53" s="15"/>
      <c r="RSM53" s="15"/>
      <c r="RSN53" s="15"/>
      <c r="RSO53" s="15"/>
      <c r="RSP53" s="15"/>
      <c r="RSQ53" s="15"/>
      <c r="RSR53" s="15"/>
      <c r="RSS53" s="15"/>
      <c r="RST53" s="15"/>
      <c r="RSU53" s="15"/>
      <c r="RSV53" s="15"/>
      <c r="RSW53" s="15"/>
      <c r="RSX53" s="15"/>
      <c r="RSY53" s="15"/>
      <c r="RSZ53" s="15"/>
      <c r="RTA53" s="15"/>
      <c r="RTB53" s="15"/>
      <c r="RTC53" s="15"/>
      <c r="RTD53" s="15"/>
      <c r="RTE53" s="15"/>
      <c r="RTF53" s="15"/>
      <c r="RTG53" s="15"/>
      <c r="RTH53" s="15"/>
      <c r="RTI53" s="15"/>
      <c r="RTJ53" s="15"/>
      <c r="RTK53" s="15"/>
      <c r="RTL53" s="15"/>
      <c r="RTM53" s="15"/>
      <c r="RTN53" s="15"/>
      <c r="RTO53" s="15"/>
      <c r="RTP53" s="15"/>
      <c r="RTQ53" s="15"/>
      <c r="RTR53" s="15"/>
      <c r="RTS53" s="15"/>
      <c r="RTT53" s="15"/>
      <c r="RTU53" s="15"/>
      <c r="RTV53" s="15"/>
      <c r="RTW53" s="15"/>
      <c r="RTX53" s="15"/>
      <c r="RTY53" s="15"/>
      <c r="RTZ53" s="15"/>
      <c r="RUA53" s="15"/>
      <c r="RUB53" s="15"/>
      <c r="RUC53" s="15"/>
      <c r="RUD53" s="15"/>
      <c r="RUE53" s="15"/>
      <c r="RUF53" s="15"/>
      <c r="RUG53" s="15"/>
      <c r="RUH53" s="15"/>
      <c r="RUI53" s="15"/>
      <c r="RUJ53" s="15"/>
      <c r="RUK53" s="15"/>
      <c r="RUL53" s="15"/>
      <c r="RUM53" s="15"/>
      <c r="RUN53" s="15"/>
      <c r="RUO53" s="15"/>
      <c r="RUP53" s="15"/>
      <c r="RUQ53" s="15"/>
      <c r="RUR53" s="15"/>
      <c r="RUS53" s="15"/>
      <c r="RUT53" s="15"/>
      <c r="RUU53" s="15"/>
      <c r="RUV53" s="15"/>
      <c r="RUW53" s="15"/>
      <c r="RUX53" s="15"/>
      <c r="RUY53" s="15"/>
      <c r="RUZ53" s="15"/>
      <c r="RVA53" s="15"/>
      <c r="RVB53" s="15"/>
      <c r="RVC53" s="15"/>
      <c r="RVD53" s="15"/>
      <c r="RVE53" s="15"/>
      <c r="RVF53" s="15"/>
      <c r="RVG53" s="15"/>
      <c r="RVH53" s="15"/>
      <c r="RVI53" s="15"/>
      <c r="RVJ53" s="15"/>
      <c r="RVK53" s="15"/>
      <c r="RVL53" s="15"/>
      <c r="RVM53" s="15"/>
      <c r="RVN53" s="15"/>
      <c r="RVO53" s="15"/>
      <c r="RVP53" s="15"/>
      <c r="RVQ53" s="15"/>
      <c r="RVR53" s="15"/>
      <c r="RVS53" s="15"/>
      <c r="RVT53" s="15"/>
      <c r="RVU53" s="15"/>
      <c r="RVV53" s="15"/>
      <c r="RVW53" s="15"/>
      <c r="RVX53" s="15"/>
      <c r="RVY53" s="15"/>
      <c r="RVZ53" s="15"/>
      <c r="RWA53" s="15"/>
      <c r="RWB53" s="15"/>
      <c r="RWC53" s="15"/>
      <c r="RWD53" s="15"/>
      <c r="RWE53" s="15"/>
      <c r="RWF53" s="15"/>
      <c r="RWG53" s="15"/>
      <c r="RWH53" s="15"/>
      <c r="RWI53" s="15"/>
      <c r="RWJ53" s="15"/>
      <c r="RWK53" s="15"/>
      <c r="RWL53" s="15"/>
      <c r="RWM53" s="15"/>
      <c r="RWN53" s="15"/>
      <c r="RWO53" s="15"/>
      <c r="RWP53" s="15"/>
      <c r="RWQ53" s="15"/>
      <c r="RWR53" s="15"/>
      <c r="RWS53" s="15"/>
      <c r="RWT53" s="15"/>
      <c r="RWU53" s="15"/>
      <c r="RWV53" s="15"/>
      <c r="RWW53" s="15"/>
      <c r="RWX53" s="15"/>
      <c r="RWY53" s="15"/>
      <c r="RWZ53" s="15"/>
      <c r="RXA53" s="15"/>
      <c r="RXB53" s="15"/>
      <c r="RXC53" s="15"/>
      <c r="RXD53" s="15"/>
      <c r="RXE53" s="15"/>
      <c r="RXF53" s="15"/>
      <c r="RXG53" s="15"/>
      <c r="RXH53" s="15"/>
      <c r="RXI53" s="15"/>
      <c r="RXJ53" s="15"/>
      <c r="RXK53" s="15"/>
      <c r="RXL53" s="15"/>
      <c r="RXM53" s="15"/>
      <c r="RXN53" s="15"/>
      <c r="RXO53" s="15"/>
      <c r="RXP53" s="15"/>
      <c r="RXQ53" s="15"/>
      <c r="RXR53" s="15"/>
      <c r="RXS53" s="15"/>
      <c r="RXT53" s="15"/>
      <c r="RXU53" s="15"/>
      <c r="RXV53" s="15"/>
      <c r="RXW53" s="15"/>
      <c r="RXX53" s="15"/>
      <c r="RXY53" s="15"/>
      <c r="RXZ53" s="15"/>
      <c r="RYA53" s="15"/>
      <c r="RYB53" s="15"/>
      <c r="RYC53" s="15"/>
      <c r="RYD53" s="15"/>
      <c r="RYE53" s="15"/>
      <c r="RYF53" s="15"/>
      <c r="RYG53" s="15"/>
      <c r="RYH53" s="15"/>
      <c r="RYI53" s="15"/>
      <c r="RYJ53" s="15"/>
      <c r="RYK53" s="15"/>
      <c r="RYL53" s="15"/>
      <c r="RYM53" s="15"/>
      <c r="RYN53" s="15"/>
      <c r="RYO53" s="15"/>
      <c r="RYP53" s="15"/>
      <c r="RYQ53" s="15"/>
      <c r="RYR53" s="15"/>
      <c r="RYS53" s="15"/>
      <c r="RYT53" s="15"/>
      <c r="RYU53" s="15"/>
      <c r="RYV53" s="15"/>
      <c r="RYW53" s="15"/>
      <c r="RYX53" s="15"/>
      <c r="RYY53" s="15"/>
      <c r="RYZ53" s="15"/>
      <c r="RZA53" s="15"/>
      <c r="RZB53" s="15"/>
      <c r="RZC53" s="15"/>
      <c r="RZD53" s="15"/>
      <c r="RZE53" s="15"/>
      <c r="RZF53" s="15"/>
      <c r="RZG53" s="15"/>
      <c r="RZH53" s="15"/>
      <c r="RZI53" s="15"/>
      <c r="RZJ53" s="15"/>
      <c r="RZK53" s="15"/>
      <c r="RZL53" s="15"/>
      <c r="RZM53" s="15"/>
      <c r="RZN53" s="15"/>
      <c r="RZO53" s="15"/>
      <c r="RZP53" s="15"/>
      <c r="RZQ53" s="15"/>
      <c r="RZR53" s="15"/>
      <c r="RZS53" s="15"/>
      <c r="RZT53" s="15"/>
      <c r="RZU53" s="15"/>
      <c r="RZV53" s="15"/>
      <c r="RZW53" s="15"/>
      <c r="RZX53" s="15"/>
      <c r="RZY53" s="15"/>
      <c r="RZZ53" s="15"/>
      <c r="SAA53" s="15"/>
      <c r="SAB53" s="15"/>
      <c r="SAC53" s="15"/>
      <c r="SAD53" s="15"/>
      <c r="SAE53" s="15"/>
      <c r="SAF53" s="15"/>
      <c r="SAG53" s="15"/>
      <c r="SAH53" s="15"/>
      <c r="SAI53" s="15"/>
      <c r="SAJ53" s="15"/>
      <c r="SAK53" s="15"/>
      <c r="SAL53" s="15"/>
      <c r="SAM53" s="15"/>
      <c r="SAN53" s="15"/>
      <c r="SAO53" s="15"/>
      <c r="SAP53" s="15"/>
      <c r="SAQ53" s="15"/>
      <c r="SAR53" s="15"/>
      <c r="SAS53" s="15"/>
      <c r="SAT53" s="15"/>
      <c r="SAU53" s="15"/>
      <c r="SAV53" s="15"/>
      <c r="SAW53" s="15"/>
      <c r="SAX53" s="15"/>
      <c r="SAY53" s="15"/>
      <c r="SAZ53" s="15"/>
      <c r="SBA53" s="15"/>
      <c r="SBB53" s="15"/>
      <c r="SBC53" s="15"/>
      <c r="SBD53" s="15"/>
      <c r="SBE53" s="15"/>
      <c r="SBF53" s="15"/>
      <c r="SBG53" s="15"/>
      <c r="SBH53" s="15"/>
      <c r="SBI53" s="15"/>
      <c r="SBJ53" s="15"/>
      <c r="SBK53" s="15"/>
      <c r="SBL53" s="15"/>
      <c r="SBM53" s="15"/>
      <c r="SBN53" s="15"/>
      <c r="SBO53" s="15"/>
      <c r="SBP53" s="15"/>
      <c r="SBQ53" s="15"/>
      <c r="SBR53" s="15"/>
      <c r="SBS53" s="15"/>
      <c r="SBT53" s="15"/>
      <c r="SBU53" s="15"/>
      <c r="SBV53" s="15"/>
      <c r="SBW53" s="15"/>
      <c r="SBX53" s="15"/>
      <c r="SBY53" s="15"/>
      <c r="SBZ53" s="15"/>
      <c r="SCA53" s="15"/>
      <c r="SCB53" s="15"/>
      <c r="SCC53" s="15"/>
      <c r="SCD53" s="15"/>
      <c r="SCE53" s="15"/>
      <c r="SCF53" s="15"/>
      <c r="SCG53" s="15"/>
      <c r="SCH53" s="15"/>
      <c r="SCI53" s="15"/>
      <c r="SCJ53" s="15"/>
      <c r="SCK53" s="15"/>
      <c r="SCL53" s="15"/>
      <c r="SCM53" s="15"/>
      <c r="SCN53" s="15"/>
      <c r="SCO53" s="15"/>
      <c r="SCP53" s="15"/>
      <c r="SCQ53" s="15"/>
      <c r="SCR53" s="15"/>
      <c r="SCS53" s="15"/>
      <c r="SCT53" s="15"/>
      <c r="SCU53" s="15"/>
      <c r="SCV53" s="15"/>
      <c r="SCW53" s="15"/>
      <c r="SCX53" s="15"/>
      <c r="SCY53" s="15"/>
      <c r="SCZ53" s="15"/>
      <c r="SDA53" s="15"/>
      <c r="SDB53" s="15"/>
      <c r="SDC53" s="15"/>
      <c r="SDD53" s="15"/>
      <c r="SDE53" s="15"/>
      <c r="SDF53" s="15"/>
      <c r="SDG53" s="15"/>
      <c r="SDH53" s="15"/>
      <c r="SDI53" s="15"/>
      <c r="SDJ53" s="15"/>
      <c r="SDK53" s="15"/>
      <c r="SDL53" s="15"/>
      <c r="SDM53" s="15"/>
      <c r="SDN53" s="15"/>
      <c r="SDO53" s="15"/>
      <c r="SDP53" s="15"/>
      <c r="SDQ53" s="15"/>
      <c r="SDR53" s="15"/>
      <c r="SDS53" s="15"/>
      <c r="SDT53" s="15"/>
      <c r="SDU53" s="15"/>
      <c r="SDV53" s="15"/>
      <c r="SDW53" s="15"/>
      <c r="SDX53" s="15"/>
      <c r="SDY53" s="15"/>
      <c r="SDZ53" s="15"/>
      <c r="SEA53" s="15"/>
      <c r="SEB53" s="15"/>
      <c r="SEC53" s="15"/>
      <c r="SED53" s="15"/>
      <c r="SEE53" s="15"/>
      <c r="SEF53" s="15"/>
      <c r="SEG53" s="15"/>
      <c r="SEH53" s="15"/>
      <c r="SEI53" s="15"/>
      <c r="SEJ53" s="15"/>
      <c r="SEK53" s="15"/>
      <c r="SEL53" s="15"/>
      <c r="SEM53" s="15"/>
      <c r="SEN53" s="15"/>
      <c r="SEO53" s="15"/>
      <c r="SEP53" s="15"/>
      <c r="SEQ53" s="15"/>
      <c r="SER53" s="15"/>
      <c r="SES53" s="15"/>
      <c r="SET53" s="15"/>
      <c r="SEU53" s="15"/>
      <c r="SEV53" s="15"/>
      <c r="SEW53" s="15"/>
      <c r="SEX53" s="15"/>
      <c r="SEY53" s="15"/>
      <c r="SEZ53" s="15"/>
      <c r="SFA53" s="15"/>
      <c r="SFB53" s="15"/>
      <c r="SFC53" s="15"/>
      <c r="SFD53" s="15"/>
      <c r="SFE53" s="15"/>
      <c r="SFF53" s="15"/>
      <c r="SFG53" s="15"/>
      <c r="SFH53" s="15"/>
      <c r="SFI53" s="15"/>
      <c r="SFJ53" s="15"/>
      <c r="SFK53" s="15"/>
      <c r="SFL53" s="15"/>
      <c r="SFM53" s="15"/>
      <c r="SFN53" s="15"/>
      <c r="SFO53" s="15"/>
      <c r="SFP53" s="15"/>
      <c r="SFQ53" s="15"/>
      <c r="SFR53" s="15"/>
      <c r="SFS53" s="15"/>
      <c r="SFT53" s="15"/>
      <c r="SFU53" s="15"/>
      <c r="SFV53" s="15"/>
      <c r="SFW53" s="15"/>
      <c r="SFX53" s="15"/>
      <c r="SFY53" s="15"/>
      <c r="SFZ53" s="15"/>
      <c r="SGA53" s="15"/>
      <c r="SGB53" s="15"/>
      <c r="SGC53" s="15"/>
      <c r="SGD53" s="15"/>
      <c r="SGE53" s="15"/>
      <c r="SGF53" s="15"/>
      <c r="SGG53" s="15"/>
      <c r="SGH53" s="15"/>
      <c r="SGI53" s="15"/>
      <c r="SGJ53" s="15"/>
      <c r="SGK53" s="15"/>
      <c r="SGL53" s="15"/>
      <c r="SGM53" s="15"/>
      <c r="SGN53" s="15"/>
      <c r="SGO53" s="15"/>
      <c r="SGP53" s="15"/>
      <c r="SGQ53" s="15"/>
      <c r="SGR53" s="15"/>
      <c r="SGS53" s="15"/>
      <c r="SGT53" s="15"/>
      <c r="SGU53" s="15"/>
      <c r="SGV53" s="15"/>
      <c r="SGW53" s="15"/>
      <c r="SGX53" s="15"/>
      <c r="SGY53" s="15"/>
      <c r="SGZ53" s="15"/>
      <c r="SHA53" s="15"/>
      <c r="SHB53" s="15"/>
      <c r="SHC53" s="15"/>
      <c r="SHD53" s="15"/>
      <c r="SHE53" s="15"/>
      <c r="SHF53" s="15"/>
      <c r="SHG53" s="15"/>
      <c r="SHH53" s="15"/>
      <c r="SHI53" s="15"/>
      <c r="SHJ53" s="15"/>
      <c r="SHK53" s="15"/>
      <c r="SHL53" s="15"/>
      <c r="SHM53" s="15"/>
      <c r="SHN53" s="15"/>
      <c r="SHO53" s="15"/>
      <c r="SHP53" s="15"/>
      <c r="SHQ53" s="15"/>
      <c r="SHR53" s="15"/>
      <c r="SHS53" s="15"/>
      <c r="SHT53" s="15"/>
      <c r="SHU53" s="15"/>
      <c r="SHV53" s="15"/>
      <c r="SHW53" s="15"/>
      <c r="SHX53" s="15"/>
      <c r="SHY53" s="15"/>
      <c r="SHZ53" s="15"/>
      <c r="SIA53" s="15"/>
      <c r="SIB53" s="15"/>
      <c r="SIC53" s="15"/>
      <c r="SID53" s="15"/>
      <c r="SIE53" s="15"/>
      <c r="SIF53" s="15"/>
      <c r="SIG53" s="15"/>
      <c r="SIH53" s="15"/>
      <c r="SII53" s="15"/>
      <c r="SIJ53" s="15"/>
      <c r="SIK53" s="15"/>
      <c r="SIL53" s="15"/>
      <c r="SIM53" s="15"/>
      <c r="SIN53" s="15"/>
      <c r="SIO53" s="15"/>
      <c r="SIP53" s="15"/>
      <c r="SIQ53" s="15"/>
      <c r="SIR53" s="15"/>
      <c r="SIS53" s="15"/>
      <c r="SIT53" s="15"/>
      <c r="SIU53" s="15"/>
      <c r="SIV53" s="15"/>
      <c r="SIW53" s="15"/>
      <c r="SIX53" s="15"/>
      <c r="SIY53" s="15"/>
      <c r="SIZ53" s="15"/>
      <c r="SJA53" s="15"/>
      <c r="SJB53" s="15"/>
      <c r="SJC53" s="15"/>
      <c r="SJD53" s="15"/>
      <c r="SJE53" s="15"/>
      <c r="SJF53" s="15"/>
      <c r="SJG53" s="15"/>
      <c r="SJH53" s="15"/>
      <c r="SJI53" s="15"/>
      <c r="SJJ53" s="15"/>
      <c r="SJK53" s="15"/>
      <c r="SJL53" s="15"/>
      <c r="SJM53" s="15"/>
      <c r="SJN53" s="15"/>
      <c r="SJO53" s="15"/>
      <c r="SJP53" s="15"/>
      <c r="SJQ53" s="15"/>
      <c r="SJR53" s="15"/>
      <c r="SJS53" s="15"/>
      <c r="SJT53" s="15"/>
      <c r="SJU53" s="15"/>
      <c r="SJV53" s="15"/>
      <c r="SJW53" s="15"/>
      <c r="SJX53" s="15"/>
      <c r="SJY53" s="15"/>
      <c r="SJZ53" s="15"/>
      <c r="SKA53" s="15"/>
      <c r="SKB53" s="15"/>
      <c r="SKC53" s="15"/>
      <c r="SKD53" s="15"/>
      <c r="SKE53" s="15"/>
      <c r="SKF53" s="15"/>
      <c r="SKG53" s="15"/>
      <c r="SKH53" s="15"/>
      <c r="SKI53" s="15"/>
      <c r="SKJ53" s="15"/>
      <c r="SKK53" s="15"/>
      <c r="SKL53" s="15"/>
      <c r="SKM53" s="15"/>
      <c r="SKN53" s="15"/>
      <c r="SKO53" s="15"/>
      <c r="SKP53" s="15"/>
      <c r="SKQ53" s="15"/>
      <c r="SKR53" s="15"/>
      <c r="SKS53" s="15"/>
      <c r="SKT53" s="15"/>
      <c r="SKU53" s="15"/>
      <c r="SKV53" s="15"/>
      <c r="SKW53" s="15"/>
      <c r="SKX53" s="15"/>
      <c r="SKY53" s="15"/>
      <c r="SKZ53" s="15"/>
      <c r="SLA53" s="15"/>
      <c r="SLB53" s="15"/>
      <c r="SLC53" s="15"/>
      <c r="SLD53" s="15"/>
      <c r="SLE53" s="15"/>
      <c r="SLF53" s="15"/>
      <c r="SLG53" s="15"/>
      <c r="SLH53" s="15"/>
      <c r="SLI53" s="15"/>
      <c r="SLJ53" s="15"/>
      <c r="SLK53" s="15"/>
      <c r="SLL53" s="15"/>
      <c r="SLM53" s="15"/>
      <c r="SLN53" s="15"/>
      <c r="SLO53" s="15"/>
      <c r="SLP53" s="15"/>
      <c r="SLQ53" s="15"/>
      <c r="SLR53" s="15"/>
      <c r="SLS53" s="15"/>
      <c r="SLT53" s="15"/>
      <c r="SLU53" s="15"/>
      <c r="SLV53" s="15"/>
      <c r="SLW53" s="15"/>
      <c r="SLX53" s="15"/>
      <c r="SLY53" s="15"/>
      <c r="SLZ53" s="15"/>
      <c r="SMA53" s="15"/>
      <c r="SMB53" s="15"/>
      <c r="SMC53" s="15"/>
      <c r="SMD53" s="15"/>
      <c r="SME53" s="15"/>
      <c r="SMF53" s="15"/>
      <c r="SMG53" s="15"/>
      <c r="SMH53" s="15"/>
      <c r="SMI53" s="15"/>
      <c r="SMJ53" s="15"/>
      <c r="SMK53" s="15"/>
      <c r="SML53" s="15"/>
      <c r="SMM53" s="15"/>
      <c r="SMN53" s="15"/>
      <c r="SMO53" s="15"/>
      <c r="SMP53" s="15"/>
      <c r="SMQ53" s="15"/>
      <c r="SMR53" s="15"/>
      <c r="SMS53" s="15"/>
      <c r="SMT53" s="15"/>
      <c r="SMU53" s="15"/>
      <c r="SMV53" s="15"/>
      <c r="SMW53" s="15"/>
      <c r="SMX53" s="15"/>
      <c r="SMY53" s="15"/>
      <c r="SMZ53" s="15"/>
      <c r="SNA53" s="15"/>
      <c r="SNB53" s="15"/>
      <c r="SNC53" s="15"/>
      <c r="SND53" s="15"/>
      <c r="SNE53" s="15"/>
      <c r="SNF53" s="15"/>
      <c r="SNG53" s="15"/>
      <c r="SNH53" s="15"/>
      <c r="SNI53" s="15"/>
      <c r="SNJ53" s="15"/>
      <c r="SNK53" s="15"/>
      <c r="SNL53" s="15"/>
      <c r="SNM53" s="15"/>
      <c r="SNN53" s="15"/>
      <c r="SNO53" s="15"/>
      <c r="SNP53" s="15"/>
      <c r="SNQ53" s="15"/>
      <c r="SNR53" s="15"/>
      <c r="SNS53" s="15"/>
      <c r="SNT53" s="15"/>
      <c r="SNU53" s="15"/>
      <c r="SNV53" s="15"/>
      <c r="SNW53" s="15"/>
      <c r="SNX53" s="15"/>
      <c r="SNY53" s="15"/>
      <c r="SNZ53" s="15"/>
      <c r="SOA53" s="15"/>
      <c r="SOB53" s="15"/>
      <c r="SOC53" s="15"/>
      <c r="SOD53" s="15"/>
      <c r="SOE53" s="15"/>
      <c r="SOF53" s="15"/>
      <c r="SOG53" s="15"/>
      <c r="SOH53" s="15"/>
      <c r="SOI53" s="15"/>
      <c r="SOJ53" s="15"/>
      <c r="SOK53" s="15"/>
      <c r="SOL53" s="15"/>
      <c r="SOM53" s="15"/>
      <c r="SON53" s="15"/>
      <c r="SOO53" s="15"/>
      <c r="SOP53" s="15"/>
      <c r="SOQ53" s="15"/>
      <c r="SOR53" s="15"/>
      <c r="SOS53" s="15"/>
      <c r="SOT53" s="15"/>
      <c r="SOU53" s="15"/>
      <c r="SOV53" s="15"/>
      <c r="SOW53" s="15"/>
      <c r="SOX53" s="15"/>
      <c r="SOY53" s="15"/>
      <c r="SOZ53" s="15"/>
      <c r="SPA53" s="15"/>
      <c r="SPB53" s="15"/>
      <c r="SPC53" s="15"/>
      <c r="SPD53" s="15"/>
      <c r="SPE53" s="15"/>
      <c r="SPF53" s="15"/>
      <c r="SPG53" s="15"/>
      <c r="SPH53" s="15"/>
      <c r="SPI53" s="15"/>
      <c r="SPJ53" s="15"/>
      <c r="SPK53" s="15"/>
      <c r="SPL53" s="15"/>
      <c r="SPM53" s="15"/>
      <c r="SPN53" s="15"/>
      <c r="SPO53" s="15"/>
      <c r="SPP53" s="15"/>
      <c r="SPQ53" s="15"/>
      <c r="SPR53" s="15"/>
      <c r="SPS53" s="15"/>
      <c r="SPT53" s="15"/>
      <c r="SPU53" s="15"/>
      <c r="SPV53" s="15"/>
      <c r="SPW53" s="15"/>
      <c r="SPX53" s="15"/>
      <c r="SPY53" s="15"/>
      <c r="SPZ53" s="15"/>
      <c r="SQA53" s="15"/>
      <c r="SQB53" s="15"/>
      <c r="SQC53" s="15"/>
      <c r="SQD53" s="15"/>
      <c r="SQE53" s="15"/>
      <c r="SQF53" s="15"/>
      <c r="SQG53" s="15"/>
      <c r="SQH53" s="15"/>
      <c r="SQI53" s="15"/>
      <c r="SQJ53" s="15"/>
      <c r="SQK53" s="15"/>
      <c r="SQL53" s="15"/>
      <c r="SQM53" s="15"/>
      <c r="SQN53" s="15"/>
      <c r="SQO53" s="15"/>
      <c r="SQP53" s="15"/>
      <c r="SQQ53" s="15"/>
      <c r="SQR53" s="15"/>
      <c r="SQS53" s="15"/>
      <c r="SQT53" s="15"/>
      <c r="SQU53" s="15"/>
      <c r="SQV53" s="15"/>
      <c r="SQW53" s="15"/>
      <c r="SQX53" s="15"/>
      <c r="SQY53" s="15"/>
      <c r="SQZ53" s="15"/>
      <c r="SRA53" s="15"/>
      <c r="SRB53" s="15"/>
      <c r="SRC53" s="15"/>
      <c r="SRD53" s="15"/>
      <c r="SRE53" s="15"/>
      <c r="SRF53" s="15"/>
      <c r="SRG53" s="15"/>
      <c r="SRH53" s="15"/>
      <c r="SRI53" s="15"/>
      <c r="SRJ53" s="15"/>
      <c r="SRK53" s="15"/>
      <c r="SRL53" s="15"/>
      <c r="SRM53" s="15"/>
      <c r="SRN53" s="15"/>
      <c r="SRO53" s="15"/>
      <c r="SRP53" s="15"/>
      <c r="SRQ53" s="15"/>
      <c r="SRR53" s="15"/>
      <c r="SRS53" s="15"/>
      <c r="SRT53" s="15"/>
      <c r="SRU53" s="15"/>
      <c r="SRV53" s="15"/>
      <c r="SRW53" s="15"/>
      <c r="SRX53" s="15"/>
      <c r="SRY53" s="15"/>
      <c r="SRZ53" s="15"/>
      <c r="SSA53" s="15"/>
      <c r="SSB53" s="15"/>
      <c r="SSC53" s="15"/>
      <c r="SSD53" s="15"/>
      <c r="SSE53" s="15"/>
      <c r="SSF53" s="15"/>
      <c r="SSG53" s="15"/>
      <c r="SSH53" s="15"/>
      <c r="SSI53" s="15"/>
      <c r="SSJ53" s="15"/>
      <c r="SSK53" s="15"/>
      <c r="SSL53" s="15"/>
      <c r="SSM53" s="15"/>
      <c r="SSN53" s="15"/>
      <c r="SSO53" s="15"/>
      <c r="SSP53" s="15"/>
      <c r="SSQ53" s="15"/>
      <c r="SSR53" s="15"/>
      <c r="SSS53" s="15"/>
      <c r="SST53" s="15"/>
      <c r="SSU53" s="15"/>
      <c r="SSV53" s="15"/>
      <c r="SSW53" s="15"/>
      <c r="SSX53" s="15"/>
      <c r="SSY53" s="15"/>
      <c r="SSZ53" s="15"/>
      <c r="STA53" s="15"/>
      <c r="STB53" s="15"/>
      <c r="STC53" s="15"/>
      <c r="STD53" s="15"/>
      <c r="STE53" s="15"/>
      <c r="STF53" s="15"/>
      <c r="STG53" s="15"/>
      <c r="STH53" s="15"/>
      <c r="STI53" s="15"/>
      <c r="STJ53" s="15"/>
      <c r="STK53" s="15"/>
      <c r="STL53" s="15"/>
      <c r="STM53" s="15"/>
      <c r="STN53" s="15"/>
      <c r="STO53" s="15"/>
      <c r="STP53" s="15"/>
      <c r="STQ53" s="15"/>
      <c r="STR53" s="15"/>
      <c r="STS53" s="15"/>
      <c r="STT53" s="15"/>
      <c r="STU53" s="15"/>
      <c r="STV53" s="15"/>
      <c r="STW53" s="15"/>
      <c r="STX53" s="15"/>
      <c r="STY53" s="15"/>
      <c r="STZ53" s="15"/>
      <c r="SUA53" s="15"/>
      <c r="SUB53" s="15"/>
      <c r="SUC53" s="15"/>
      <c r="SUD53" s="15"/>
      <c r="SUE53" s="15"/>
      <c r="SUF53" s="15"/>
      <c r="SUG53" s="15"/>
      <c r="SUH53" s="15"/>
      <c r="SUI53" s="15"/>
      <c r="SUJ53" s="15"/>
      <c r="SUK53" s="15"/>
      <c r="SUL53" s="15"/>
      <c r="SUM53" s="15"/>
      <c r="SUN53" s="15"/>
      <c r="SUO53" s="15"/>
      <c r="SUP53" s="15"/>
      <c r="SUQ53" s="15"/>
      <c r="SUR53" s="15"/>
      <c r="SUS53" s="15"/>
      <c r="SUT53" s="15"/>
      <c r="SUU53" s="15"/>
      <c r="SUV53" s="15"/>
      <c r="SUW53" s="15"/>
      <c r="SUX53" s="15"/>
      <c r="SUY53" s="15"/>
      <c r="SUZ53" s="15"/>
      <c r="SVA53" s="15"/>
      <c r="SVB53" s="15"/>
      <c r="SVC53" s="15"/>
      <c r="SVD53" s="15"/>
      <c r="SVE53" s="15"/>
      <c r="SVF53" s="15"/>
      <c r="SVG53" s="15"/>
      <c r="SVH53" s="15"/>
      <c r="SVI53" s="15"/>
      <c r="SVJ53" s="15"/>
      <c r="SVK53" s="15"/>
      <c r="SVL53" s="15"/>
      <c r="SVM53" s="15"/>
      <c r="SVN53" s="15"/>
      <c r="SVO53" s="15"/>
      <c r="SVP53" s="15"/>
      <c r="SVQ53" s="15"/>
      <c r="SVR53" s="15"/>
      <c r="SVS53" s="15"/>
      <c r="SVT53" s="15"/>
      <c r="SVU53" s="15"/>
      <c r="SVV53" s="15"/>
      <c r="SVW53" s="15"/>
      <c r="SVX53" s="15"/>
      <c r="SVY53" s="15"/>
      <c r="SVZ53" s="15"/>
      <c r="SWA53" s="15"/>
      <c r="SWB53" s="15"/>
      <c r="SWC53" s="15"/>
      <c r="SWD53" s="15"/>
      <c r="SWE53" s="15"/>
      <c r="SWF53" s="15"/>
      <c r="SWG53" s="15"/>
      <c r="SWH53" s="15"/>
      <c r="SWI53" s="15"/>
      <c r="SWJ53" s="15"/>
      <c r="SWK53" s="15"/>
      <c r="SWL53" s="15"/>
      <c r="SWM53" s="15"/>
      <c r="SWN53" s="15"/>
      <c r="SWO53" s="15"/>
      <c r="SWP53" s="15"/>
      <c r="SWQ53" s="15"/>
      <c r="SWR53" s="15"/>
      <c r="SWS53" s="15"/>
      <c r="SWT53" s="15"/>
      <c r="SWU53" s="15"/>
      <c r="SWV53" s="15"/>
      <c r="SWW53" s="15"/>
      <c r="SWX53" s="15"/>
      <c r="SWY53" s="15"/>
      <c r="SWZ53" s="15"/>
      <c r="SXA53" s="15"/>
      <c r="SXB53" s="15"/>
      <c r="SXC53" s="15"/>
      <c r="SXD53" s="15"/>
      <c r="SXE53" s="15"/>
      <c r="SXF53" s="15"/>
      <c r="SXG53" s="15"/>
      <c r="SXH53" s="15"/>
      <c r="SXI53" s="15"/>
      <c r="SXJ53" s="15"/>
      <c r="SXK53" s="15"/>
      <c r="SXL53" s="15"/>
      <c r="SXM53" s="15"/>
      <c r="SXN53" s="15"/>
      <c r="SXO53" s="15"/>
      <c r="SXP53" s="15"/>
      <c r="SXQ53" s="15"/>
      <c r="SXR53" s="15"/>
      <c r="SXS53" s="15"/>
      <c r="SXT53" s="15"/>
      <c r="SXU53" s="15"/>
      <c r="SXV53" s="15"/>
      <c r="SXW53" s="15"/>
      <c r="SXX53" s="15"/>
      <c r="SXY53" s="15"/>
      <c r="SXZ53" s="15"/>
      <c r="SYA53" s="15"/>
      <c r="SYB53" s="15"/>
      <c r="SYC53" s="15"/>
      <c r="SYD53" s="15"/>
      <c r="SYE53" s="15"/>
      <c r="SYF53" s="15"/>
      <c r="SYG53" s="15"/>
      <c r="SYH53" s="15"/>
      <c r="SYI53" s="15"/>
      <c r="SYJ53" s="15"/>
      <c r="SYK53" s="15"/>
      <c r="SYL53" s="15"/>
      <c r="SYM53" s="15"/>
      <c r="SYN53" s="15"/>
      <c r="SYO53" s="15"/>
      <c r="SYP53" s="15"/>
      <c r="SYQ53" s="15"/>
      <c r="SYR53" s="15"/>
      <c r="SYS53" s="15"/>
      <c r="SYT53" s="15"/>
      <c r="SYU53" s="15"/>
      <c r="SYV53" s="15"/>
      <c r="SYW53" s="15"/>
      <c r="SYX53" s="15"/>
      <c r="SYY53" s="15"/>
      <c r="SYZ53" s="15"/>
      <c r="SZA53" s="15"/>
      <c r="SZB53" s="15"/>
      <c r="SZC53" s="15"/>
      <c r="SZD53" s="15"/>
      <c r="SZE53" s="15"/>
      <c r="SZF53" s="15"/>
      <c r="SZG53" s="15"/>
      <c r="SZH53" s="15"/>
      <c r="SZI53" s="15"/>
      <c r="SZJ53" s="15"/>
      <c r="SZK53" s="15"/>
      <c r="SZL53" s="15"/>
      <c r="SZM53" s="15"/>
      <c r="SZN53" s="15"/>
      <c r="SZO53" s="15"/>
      <c r="SZP53" s="15"/>
      <c r="SZQ53" s="15"/>
      <c r="SZR53" s="15"/>
      <c r="SZS53" s="15"/>
      <c r="SZT53" s="15"/>
      <c r="SZU53" s="15"/>
      <c r="SZV53" s="15"/>
      <c r="SZW53" s="15"/>
      <c r="SZX53" s="15"/>
      <c r="SZY53" s="15"/>
      <c r="SZZ53" s="15"/>
      <c r="TAA53" s="15"/>
      <c r="TAB53" s="15"/>
      <c r="TAC53" s="15"/>
      <c r="TAD53" s="15"/>
      <c r="TAE53" s="15"/>
      <c r="TAF53" s="15"/>
      <c r="TAG53" s="15"/>
      <c r="TAH53" s="15"/>
      <c r="TAI53" s="15"/>
      <c r="TAJ53" s="15"/>
      <c r="TAK53" s="15"/>
      <c r="TAL53" s="15"/>
      <c r="TAM53" s="15"/>
      <c r="TAN53" s="15"/>
      <c r="TAO53" s="15"/>
      <c r="TAP53" s="15"/>
      <c r="TAQ53" s="15"/>
      <c r="TAR53" s="15"/>
      <c r="TAS53" s="15"/>
      <c r="TAT53" s="15"/>
      <c r="TAU53" s="15"/>
      <c r="TAV53" s="15"/>
      <c r="TAW53" s="15"/>
      <c r="TAX53" s="15"/>
      <c r="TAY53" s="15"/>
      <c r="TAZ53" s="15"/>
      <c r="TBA53" s="15"/>
      <c r="TBB53" s="15"/>
      <c r="TBC53" s="15"/>
      <c r="TBD53" s="15"/>
      <c r="TBE53" s="15"/>
      <c r="TBF53" s="15"/>
      <c r="TBG53" s="15"/>
      <c r="TBH53" s="15"/>
      <c r="TBI53" s="15"/>
      <c r="TBJ53" s="15"/>
      <c r="TBK53" s="15"/>
      <c r="TBL53" s="15"/>
      <c r="TBM53" s="15"/>
      <c r="TBN53" s="15"/>
      <c r="TBO53" s="15"/>
      <c r="TBP53" s="15"/>
      <c r="TBQ53" s="15"/>
      <c r="TBR53" s="15"/>
      <c r="TBS53" s="15"/>
      <c r="TBT53" s="15"/>
      <c r="TBU53" s="15"/>
      <c r="TBV53" s="15"/>
      <c r="TBW53" s="15"/>
      <c r="TBX53" s="15"/>
      <c r="TBY53" s="15"/>
      <c r="TBZ53" s="15"/>
      <c r="TCA53" s="15"/>
      <c r="TCB53" s="15"/>
      <c r="TCC53" s="15"/>
      <c r="TCD53" s="15"/>
      <c r="TCE53" s="15"/>
      <c r="TCF53" s="15"/>
      <c r="TCG53" s="15"/>
      <c r="TCH53" s="15"/>
      <c r="TCI53" s="15"/>
      <c r="TCJ53" s="15"/>
      <c r="TCK53" s="15"/>
      <c r="TCL53" s="15"/>
      <c r="TCM53" s="15"/>
      <c r="TCN53" s="15"/>
      <c r="TCO53" s="15"/>
      <c r="TCP53" s="15"/>
      <c r="TCQ53" s="15"/>
      <c r="TCR53" s="15"/>
      <c r="TCS53" s="15"/>
      <c r="TCT53" s="15"/>
      <c r="TCU53" s="15"/>
      <c r="TCV53" s="15"/>
      <c r="TCW53" s="15"/>
      <c r="TCX53" s="15"/>
      <c r="TCY53" s="15"/>
      <c r="TCZ53" s="15"/>
      <c r="TDA53" s="15"/>
      <c r="TDB53" s="15"/>
      <c r="TDC53" s="15"/>
      <c r="TDD53" s="15"/>
      <c r="TDE53" s="15"/>
      <c r="TDF53" s="15"/>
      <c r="TDG53" s="15"/>
      <c r="TDH53" s="15"/>
      <c r="TDI53" s="15"/>
      <c r="TDJ53" s="15"/>
      <c r="TDK53" s="15"/>
      <c r="TDL53" s="15"/>
      <c r="TDM53" s="15"/>
      <c r="TDN53" s="15"/>
      <c r="TDO53" s="15"/>
      <c r="TDP53" s="15"/>
      <c r="TDQ53" s="15"/>
      <c r="TDR53" s="15"/>
      <c r="TDS53" s="15"/>
      <c r="TDT53" s="15"/>
      <c r="TDU53" s="15"/>
      <c r="TDV53" s="15"/>
      <c r="TDW53" s="15"/>
      <c r="TDX53" s="15"/>
      <c r="TDY53" s="15"/>
      <c r="TDZ53" s="15"/>
      <c r="TEA53" s="15"/>
      <c r="TEB53" s="15"/>
      <c r="TEC53" s="15"/>
      <c r="TED53" s="15"/>
      <c r="TEE53" s="15"/>
      <c r="TEF53" s="15"/>
      <c r="TEG53" s="15"/>
      <c r="TEH53" s="15"/>
      <c r="TEI53" s="15"/>
      <c r="TEJ53" s="15"/>
      <c r="TEK53" s="15"/>
      <c r="TEL53" s="15"/>
      <c r="TEM53" s="15"/>
      <c r="TEN53" s="15"/>
      <c r="TEO53" s="15"/>
      <c r="TEP53" s="15"/>
      <c r="TEQ53" s="15"/>
      <c r="TER53" s="15"/>
      <c r="TES53" s="15"/>
      <c r="TET53" s="15"/>
      <c r="TEU53" s="15"/>
      <c r="TEV53" s="15"/>
      <c r="TEW53" s="15"/>
      <c r="TEX53" s="15"/>
      <c r="TEY53" s="15"/>
      <c r="TEZ53" s="15"/>
      <c r="TFA53" s="15"/>
      <c r="TFB53" s="15"/>
      <c r="TFC53" s="15"/>
      <c r="TFD53" s="15"/>
      <c r="TFE53" s="15"/>
      <c r="TFF53" s="15"/>
      <c r="TFG53" s="15"/>
      <c r="TFH53" s="15"/>
      <c r="TFI53" s="15"/>
      <c r="TFJ53" s="15"/>
      <c r="TFK53" s="15"/>
      <c r="TFL53" s="15"/>
      <c r="TFM53" s="15"/>
      <c r="TFN53" s="15"/>
      <c r="TFO53" s="15"/>
      <c r="TFP53" s="15"/>
      <c r="TFQ53" s="15"/>
      <c r="TFR53" s="15"/>
      <c r="TFS53" s="15"/>
      <c r="TFT53" s="15"/>
      <c r="TFU53" s="15"/>
      <c r="TFV53" s="15"/>
      <c r="TFW53" s="15"/>
      <c r="TFX53" s="15"/>
      <c r="TFY53" s="15"/>
      <c r="TFZ53" s="15"/>
      <c r="TGA53" s="15"/>
      <c r="TGB53" s="15"/>
      <c r="TGC53" s="15"/>
      <c r="TGD53" s="15"/>
      <c r="TGE53" s="15"/>
      <c r="TGF53" s="15"/>
      <c r="TGG53" s="15"/>
      <c r="TGH53" s="15"/>
      <c r="TGI53" s="15"/>
      <c r="TGJ53" s="15"/>
      <c r="TGK53" s="15"/>
      <c r="TGL53" s="15"/>
      <c r="TGM53" s="15"/>
      <c r="TGN53" s="15"/>
      <c r="TGO53" s="15"/>
      <c r="TGP53" s="15"/>
      <c r="TGQ53" s="15"/>
      <c r="TGR53" s="15"/>
      <c r="TGS53" s="15"/>
      <c r="TGT53" s="15"/>
      <c r="TGU53" s="15"/>
      <c r="TGV53" s="15"/>
      <c r="TGW53" s="15"/>
      <c r="TGX53" s="15"/>
      <c r="TGY53" s="15"/>
      <c r="TGZ53" s="15"/>
      <c r="THA53" s="15"/>
      <c r="THB53" s="15"/>
      <c r="THC53" s="15"/>
      <c r="THD53" s="15"/>
      <c r="THE53" s="15"/>
      <c r="THF53" s="15"/>
      <c r="THG53" s="15"/>
      <c r="THH53" s="15"/>
      <c r="THI53" s="15"/>
      <c r="THJ53" s="15"/>
      <c r="THK53" s="15"/>
      <c r="THL53" s="15"/>
      <c r="THM53" s="15"/>
      <c r="THN53" s="15"/>
      <c r="THO53" s="15"/>
      <c r="THP53" s="15"/>
      <c r="THQ53" s="15"/>
      <c r="THR53" s="15"/>
      <c r="THS53" s="15"/>
      <c r="THT53" s="15"/>
      <c r="THU53" s="15"/>
      <c r="THV53" s="15"/>
      <c r="THW53" s="15"/>
      <c r="THX53" s="15"/>
      <c r="THY53" s="15"/>
      <c r="THZ53" s="15"/>
      <c r="TIA53" s="15"/>
      <c r="TIB53" s="15"/>
      <c r="TIC53" s="15"/>
      <c r="TID53" s="15"/>
      <c r="TIE53" s="15"/>
      <c r="TIF53" s="15"/>
      <c r="TIG53" s="15"/>
      <c r="TIH53" s="15"/>
      <c r="TII53" s="15"/>
      <c r="TIJ53" s="15"/>
      <c r="TIK53" s="15"/>
      <c r="TIL53" s="15"/>
      <c r="TIM53" s="15"/>
      <c r="TIN53" s="15"/>
      <c r="TIO53" s="15"/>
      <c r="TIP53" s="15"/>
      <c r="TIQ53" s="15"/>
      <c r="TIR53" s="15"/>
      <c r="TIS53" s="15"/>
      <c r="TIT53" s="15"/>
      <c r="TIU53" s="15"/>
      <c r="TIV53" s="15"/>
      <c r="TIW53" s="15"/>
      <c r="TIX53" s="15"/>
      <c r="TIY53" s="15"/>
      <c r="TIZ53" s="15"/>
      <c r="TJA53" s="15"/>
      <c r="TJB53" s="15"/>
      <c r="TJC53" s="15"/>
      <c r="TJD53" s="15"/>
      <c r="TJE53" s="15"/>
      <c r="TJF53" s="15"/>
      <c r="TJG53" s="15"/>
      <c r="TJH53" s="15"/>
      <c r="TJI53" s="15"/>
      <c r="TJJ53" s="15"/>
      <c r="TJK53" s="15"/>
      <c r="TJL53" s="15"/>
      <c r="TJM53" s="15"/>
      <c r="TJN53" s="15"/>
      <c r="TJO53" s="15"/>
      <c r="TJP53" s="15"/>
      <c r="TJQ53" s="15"/>
      <c r="TJR53" s="15"/>
      <c r="TJS53" s="15"/>
      <c r="TJT53" s="15"/>
      <c r="TJU53" s="15"/>
      <c r="TJV53" s="15"/>
      <c r="TJW53" s="15"/>
      <c r="TJX53" s="15"/>
      <c r="TJY53" s="15"/>
      <c r="TJZ53" s="15"/>
      <c r="TKA53" s="15"/>
      <c r="TKB53" s="15"/>
      <c r="TKC53" s="15"/>
      <c r="TKD53" s="15"/>
      <c r="TKE53" s="15"/>
      <c r="TKF53" s="15"/>
      <c r="TKG53" s="15"/>
      <c r="TKH53" s="15"/>
      <c r="TKI53" s="15"/>
      <c r="TKJ53" s="15"/>
      <c r="TKK53" s="15"/>
      <c r="TKL53" s="15"/>
      <c r="TKM53" s="15"/>
      <c r="TKN53" s="15"/>
      <c r="TKO53" s="15"/>
      <c r="TKP53" s="15"/>
      <c r="TKQ53" s="15"/>
      <c r="TKR53" s="15"/>
      <c r="TKS53" s="15"/>
      <c r="TKT53" s="15"/>
      <c r="TKU53" s="15"/>
      <c r="TKV53" s="15"/>
      <c r="TKW53" s="15"/>
      <c r="TKX53" s="15"/>
      <c r="TKY53" s="15"/>
      <c r="TKZ53" s="15"/>
      <c r="TLA53" s="15"/>
      <c r="TLB53" s="15"/>
      <c r="TLC53" s="15"/>
      <c r="TLD53" s="15"/>
      <c r="TLE53" s="15"/>
      <c r="TLF53" s="15"/>
      <c r="TLG53" s="15"/>
      <c r="TLH53" s="15"/>
      <c r="TLI53" s="15"/>
      <c r="TLJ53" s="15"/>
      <c r="TLK53" s="15"/>
      <c r="TLL53" s="15"/>
      <c r="TLM53" s="15"/>
      <c r="TLN53" s="15"/>
      <c r="TLO53" s="15"/>
      <c r="TLP53" s="15"/>
      <c r="TLQ53" s="15"/>
      <c r="TLR53" s="15"/>
      <c r="TLS53" s="15"/>
      <c r="TLT53" s="15"/>
      <c r="TLU53" s="15"/>
      <c r="TLV53" s="15"/>
      <c r="TLW53" s="15"/>
      <c r="TLX53" s="15"/>
      <c r="TLY53" s="15"/>
      <c r="TLZ53" s="15"/>
      <c r="TMA53" s="15"/>
      <c r="TMB53" s="15"/>
      <c r="TMC53" s="15"/>
      <c r="TMD53" s="15"/>
      <c r="TME53" s="15"/>
      <c r="TMF53" s="15"/>
      <c r="TMG53" s="15"/>
      <c r="TMH53" s="15"/>
      <c r="TMI53" s="15"/>
      <c r="TMJ53" s="15"/>
      <c r="TMK53" s="15"/>
      <c r="TML53" s="15"/>
      <c r="TMM53" s="15"/>
      <c r="TMN53" s="15"/>
      <c r="TMO53" s="15"/>
      <c r="TMP53" s="15"/>
      <c r="TMQ53" s="15"/>
      <c r="TMR53" s="15"/>
      <c r="TMS53" s="15"/>
      <c r="TMT53" s="15"/>
      <c r="TMU53" s="15"/>
      <c r="TMV53" s="15"/>
      <c r="TMW53" s="15"/>
      <c r="TMX53" s="15"/>
      <c r="TMY53" s="15"/>
      <c r="TMZ53" s="15"/>
      <c r="TNA53" s="15"/>
      <c r="TNB53" s="15"/>
      <c r="TNC53" s="15"/>
      <c r="TND53" s="15"/>
      <c r="TNE53" s="15"/>
      <c r="TNF53" s="15"/>
      <c r="TNG53" s="15"/>
      <c r="TNH53" s="15"/>
      <c r="TNI53" s="15"/>
      <c r="TNJ53" s="15"/>
      <c r="TNK53" s="15"/>
      <c r="TNL53" s="15"/>
      <c r="TNM53" s="15"/>
      <c r="TNN53" s="15"/>
      <c r="TNO53" s="15"/>
      <c r="TNP53" s="15"/>
      <c r="TNQ53" s="15"/>
      <c r="TNR53" s="15"/>
      <c r="TNS53" s="15"/>
      <c r="TNT53" s="15"/>
      <c r="TNU53" s="15"/>
      <c r="TNV53" s="15"/>
      <c r="TNW53" s="15"/>
      <c r="TNX53" s="15"/>
      <c r="TNY53" s="15"/>
      <c r="TNZ53" s="15"/>
      <c r="TOA53" s="15"/>
      <c r="TOB53" s="15"/>
      <c r="TOC53" s="15"/>
      <c r="TOD53" s="15"/>
      <c r="TOE53" s="15"/>
      <c r="TOF53" s="15"/>
      <c r="TOG53" s="15"/>
      <c r="TOH53" s="15"/>
      <c r="TOI53" s="15"/>
      <c r="TOJ53" s="15"/>
      <c r="TOK53" s="15"/>
      <c r="TOL53" s="15"/>
      <c r="TOM53" s="15"/>
      <c r="TON53" s="15"/>
      <c r="TOO53" s="15"/>
      <c r="TOP53" s="15"/>
      <c r="TOQ53" s="15"/>
      <c r="TOR53" s="15"/>
      <c r="TOS53" s="15"/>
      <c r="TOT53" s="15"/>
      <c r="TOU53" s="15"/>
      <c r="TOV53" s="15"/>
      <c r="TOW53" s="15"/>
      <c r="TOX53" s="15"/>
      <c r="TOY53" s="15"/>
      <c r="TOZ53" s="15"/>
      <c r="TPA53" s="15"/>
      <c r="TPB53" s="15"/>
      <c r="TPC53" s="15"/>
      <c r="TPD53" s="15"/>
      <c r="TPE53" s="15"/>
      <c r="TPF53" s="15"/>
      <c r="TPG53" s="15"/>
      <c r="TPH53" s="15"/>
      <c r="TPI53" s="15"/>
      <c r="TPJ53" s="15"/>
      <c r="TPK53" s="15"/>
      <c r="TPL53" s="15"/>
      <c r="TPM53" s="15"/>
      <c r="TPN53" s="15"/>
      <c r="TPO53" s="15"/>
      <c r="TPP53" s="15"/>
      <c r="TPQ53" s="15"/>
      <c r="TPR53" s="15"/>
      <c r="TPS53" s="15"/>
      <c r="TPT53" s="15"/>
      <c r="TPU53" s="15"/>
      <c r="TPV53" s="15"/>
      <c r="TPW53" s="15"/>
      <c r="TPX53" s="15"/>
      <c r="TPY53" s="15"/>
      <c r="TPZ53" s="15"/>
      <c r="TQA53" s="15"/>
      <c r="TQB53" s="15"/>
      <c r="TQC53" s="15"/>
      <c r="TQD53" s="15"/>
      <c r="TQE53" s="15"/>
      <c r="TQF53" s="15"/>
      <c r="TQG53" s="15"/>
      <c r="TQH53" s="15"/>
      <c r="TQI53" s="15"/>
      <c r="TQJ53" s="15"/>
      <c r="TQK53" s="15"/>
      <c r="TQL53" s="15"/>
      <c r="TQM53" s="15"/>
      <c r="TQN53" s="15"/>
      <c r="TQO53" s="15"/>
      <c r="TQP53" s="15"/>
      <c r="TQQ53" s="15"/>
      <c r="TQR53" s="15"/>
      <c r="TQS53" s="15"/>
      <c r="TQT53" s="15"/>
      <c r="TQU53" s="15"/>
      <c r="TQV53" s="15"/>
      <c r="TQW53" s="15"/>
      <c r="TQX53" s="15"/>
      <c r="TQY53" s="15"/>
      <c r="TQZ53" s="15"/>
      <c r="TRA53" s="15"/>
      <c r="TRB53" s="15"/>
      <c r="TRC53" s="15"/>
      <c r="TRD53" s="15"/>
      <c r="TRE53" s="15"/>
      <c r="TRF53" s="15"/>
      <c r="TRG53" s="15"/>
      <c r="TRH53" s="15"/>
      <c r="TRI53" s="15"/>
      <c r="TRJ53" s="15"/>
      <c r="TRK53" s="15"/>
      <c r="TRL53" s="15"/>
      <c r="TRM53" s="15"/>
      <c r="TRN53" s="15"/>
      <c r="TRO53" s="15"/>
      <c r="TRP53" s="15"/>
      <c r="TRQ53" s="15"/>
      <c r="TRR53" s="15"/>
      <c r="TRS53" s="15"/>
      <c r="TRT53" s="15"/>
      <c r="TRU53" s="15"/>
      <c r="TRV53" s="15"/>
      <c r="TRW53" s="15"/>
      <c r="TRX53" s="15"/>
      <c r="TRY53" s="15"/>
      <c r="TRZ53" s="15"/>
      <c r="TSA53" s="15"/>
      <c r="TSB53" s="15"/>
      <c r="TSC53" s="15"/>
      <c r="TSD53" s="15"/>
      <c r="TSE53" s="15"/>
      <c r="TSF53" s="15"/>
      <c r="TSG53" s="15"/>
      <c r="TSH53" s="15"/>
      <c r="TSI53" s="15"/>
      <c r="TSJ53" s="15"/>
      <c r="TSK53" s="15"/>
      <c r="TSL53" s="15"/>
      <c r="TSM53" s="15"/>
      <c r="TSN53" s="15"/>
      <c r="TSO53" s="15"/>
      <c r="TSP53" s="15"/>
      <c r="TSQ53" s="15"/>
      <c r="TSR53" s="15"/>
      <c r="TSS53" s="15"/>
      <c r="TST53" s="15"/>
      <c r="TSU53" s="15"/>
      <c r="TSV53" s="15"/>
      <c r="TSW53" s="15"/>
      <c r="TSX53" s="15"/>
      <c r="TSY53" s="15"/>
      <c r="TSZ53" s="15"/>
      <c r="TTA53" s="15"/>
      <c r="TTB53" s="15"/>
      <c r="TTC53" s="15"/>
      <c r="TTD53" s="15"/>
      <c r="TTE53" s="15"/>
      <c r="TTF53" s="15"/>
      <c r="TTG53" s="15"/>
      <c r="TTH53" s="15"/>
      <c r="TTI53" s="15"/>
      <c r="TTJ53" s="15"/>
      <c r="TTK53" s="15"/>
      <c r="TTL53" s="15"/>
      <c r="TTM53" s="15"/>
      <c r="TTN53" s="15"/>
      <c r="TTO53" s="15"/>
      <c r="TTP53" s="15"/>
      <c r="TTQ53" s="15"/>
      <c r="TTR53" s="15"/>
      <c r="TTS53" s="15"/>
      <c r="TTT53" s="15"/>
      <c r="TTU53" s="15"/>
      <c r="TTV53" s="15"/>
      <c r="TTW53" s="15"/>
      <c r="TTX53" s="15"/>
      <c r="TTY53" s="15"/>
      <c r="TTZ53" s="15"/>
      <c r="TUA53" s="15"/>
      <c r="TUB53" s="15"/>
      <c r="TUC53" s="15"/>
      <c r="TUD53" s="15"/>
      <c r="TUE53" s="15"/>
      <c r="TUF53" s="15"/>
      <c r="TUG53" s="15"/>
      <c r="TUH53" s="15"/>
      <c r="TUI53" s="15"/>
      <c r="TUJ53" s="15"/>
      <c r="TUK53" s="15"/>
      <c r="TUL53" s="15"/>
      <c r="TUM53" s="15"/>
      <c r="TUN53" s="15"/>
      <c r="TUO53" s="15"/>
      <c r="TUP53" s="15"/>
      <c r="TUQ53" s="15"/>
      <c r="TUR53" s="15"/>
      <c r="TUS53" s="15"/>
      <c r="TUT53" s="15"/>
      <c r="TUU53" s="15"/>
      <c r="TUV53" s="15"/>
      <c r="TUW53" s="15"/>
      <c r="TUX53" s="15"/>
      <c r="TUY53" s="15"/>
      <c r="TUZ53" s="15"/>
      <c r="TVA53" s="15"/>
      <c r="TVB53" s="15"/>
      <c r="TVC53" s="15"/>
      <c r="TVD53" s="15"/>
      <c r="TVE53" s="15"/>
      <c r="TVF53" s="15"/>
      <c r="TVG53" s="15"/>
      <c r="TVH53" s="15"/>
      <c r="TVI53" s="15"/>
      <c r="TVJ53" s="15"/>
      <c r="TVK53" s="15"/>
      <c r="TVL53" s="15"/>
      <c r="TVM53" s="15"/>
      <c r="TVN53" s="15"/>
      <c r="TVO53" s="15"/>
      <c r="TVP53" s="15"/>
      <c r="TVQ53" s="15"/>
      <c r="TVR53" s="15"/>
      <c r="TVS53" s="15"/>
      <c r="TVT53" s="15"/>
      <c r="TVU53" s="15"/>
      <c r="TVV53" s="15"/>
      <c r="TVW53" s="15"/>
      <c r="TVX53" s="15"/>
      <c r="TVY53" s="15"/>
      <c r="TVZ53" s="15"/>
      <c r="TWA53" s="15"/>
      <c r="TWB53" s="15"/>
      <c r="TWC53" s="15"/>
      <c r="TWD53" s="15"/>
      <c r="TWE53" s="15"/>
      <c r="TWF53" s="15"/>
      <c r="TWG53" s="15"/>
      <c r="TWH53" s="15"/>
      <c r="TWI53" s="15"/>
      <c r="TWJ53" s="15"/>
      <c r="TWK53" s="15"/>
      <c r="TWL53" s="15"/>
      <c r="TWM53" s="15"/>
      <c r="TWN53" s="15"/>
      <c r="TWO53" s="15"/>
      <c r="TWP53" s="15"/>
      <c r="TWQ53" s="15"/>
      <c r="TWR53" s="15"/>
      <c r="TWS53" s="15"/>
      <c r="TWT53" s="15"/>
      <c r="TWU53" s="15"/>
      <c r="TWV53" s="15"/>
      <c r="TWW53" s="15"/>
      <c r="TWX53" s="15"/>
      <c r="TWY53" s="15"/>
      <c r="TWZ53" s="15"/>
      <c r="TXA53" s="15"/>
      <c r="TXB53" s="15"/>
      <c r="TXC53" s="15"/>
      <c r="TXD53" s="15"/>
      <c r="TXE53" s="15"/>
      <c r="TXF53" s="15"/>
      <c r="TXG53" s="15"/>
      <c r="TXH53" s="15"/>
      <c r="TXI53" s="15"/>
      <c r="TXJ53" s="15"/>
      <c r="TXK53" s="15"/>
      <c r="TXL53" s="15"/>
      <c r="TXM53" s="15"/>
      <c r="TXN53" s="15"/>
      <c r="TXO53" s="15"/>
      <c r="TXP53" s="15"/>
      <c r="TXQ53" s="15"/>
      <c r="TXR53" s="15"/>
      <c r="TXS53" s="15"/>
      <c r="TXT53" s="15"/>
      <c r="TXU53" s="15"/>
      <c r="TXV53" s="15"/>
      <c r="TXW53" s="15"/>
      <c r="TXX53" s="15"/>
      <c r="TXY53" s="15"/>
      <c r="TXZ53" s="15"/>
      <c r="TYA53" s="15"/>
      <c r="TYB53" s="15"/>
      <c r="TYC53" s="15"/>
      <c r="TYD53" s="15"/>
      <c r="TYE53" s="15"/>
      <c r="TYF53" s="15"/>
      <c r="TYG53" s="15"/>
      <c r="TYH53" s="15"/>
      <c r="TYI53" s="15"/>
      <c r="TYJ53" s="15"/>
      <c r="TYK53" s="15"/>
      <c r="TYL53" s="15"/>
      <c r="TYM53" s="15"/>
      <c r="TYN53" s="15"/>
      <c r="TYO53" s="15"/>
      <c r="TYP53" s="15"/>
      <c r="TYQ53" s="15"/>
      <c r="TYR53" s="15"/>
      <c r="TYS53" s="15"/>
      <c r="TYT53" s="15"/>
      <c r="TYU53" s="15"/>
      <c r="TYV53" s="15"/>
      <c r="TYW53" s="15"/>
      <c r="TYX53" s="15"/>
      <c r="TYY53" s="15"/>
      <c r="TYZ53" s="15"/>
      <c r="TZA53" s="15"/>
      <c r="TZB53" s="15"/>
      <c r="TZC53" s="15"/>
      <c r="TZD53" s="15"/>
      <c r="TZE53" s="15"/>
      <c r="TZF53" s="15"/>
      <c r="TZG53" s="15"/>
      <c r="TZH53" s="15"/>
      <c r="TZI53" s="15"/>
      <c r="TZJ53" s="15"/>
      <c r="TZK53" s="15"/>
      <c r="TZL53" s="15"/>
      <c r="TZM53" s="15"/>
      <c r="TZN53" s="15"/>
      <c r="TZO53" s="15"/>
      <c r="TZP53" s="15"/>
      <c r="TZQ53" s="15"/>
      <c r="TZR53" s="15"/>
      <c r="TZS53" s="15"/>
      <c r="TZT53" s="15"/>
      <c r="TZU53" s="15"/>
      <c r="TZV53" s="15"/>
      <c r="TZW53" s="15"/>
      <c r="TZX53" s="15"/>
      <c r="TZY53" s="15"/>
      <c r="TZZ53" s="15"/>
      <c r="UAA53" s="15"/>
      <c r="UAB53" s="15"/>
      <c r="UAC53" s="15"/>
      <c r="UAD53" s="15"/>
      <c r="UAE53" s="15"/>
      <c r="UAF53" s="15"/>
      <c r="UAG53" s="15"/>
      <c r="UAH53" s="15"/>
      <c r="UAI53" s="15"/>
      <c r="UAJ53" s="15"/>
      <c r="UAK53" s="15"/>
      <c r="UAL53" s="15"/>
      <c r="UAM53" s="15"/>
      <c r="UAN53" s="15"/>
      <c r="UAO53" s="15"/>
      <c r="UAP53" s="15"/>
      <c r="UAQ53" s="15"/>
      <c r="UAR53" s="15"/>
      <c r="UAS53" s="15"/>
      <c r="UAT53" s="15"/>
      <c r="UAU53" s="15"/>
      <c r="UAV53" s="15"/>
      <c r="UAW53" s="15"/>
      <c r="UAX53" s="15"/>
      <c r="UAY53" s="15"/>
      <c r="UAZ53" s="15"/>
      <c r="UBA53" s="15"/>
      <c r="UBB53" s="15"/>
      <c r="UBC53" s="15"/>
      <c r="UBD53" s="15"/>
      <c r="UBE53" s="15"/>
      <c r="UBF53" s="15"/>
      <c r="UBG53" s="15"/>
      <c r="UBH53" s="15"/>
      <c r="UBI53" s="15"/>
      <c r="UBJ53" s="15"/>
      <c r="UBK53" s="15"/>
      <c r="UBL53" s="15"/>
      <c r="UBM53" s="15"/>
      <c r="UBN53" s="15"/>
      <c r="UBO53" s="15"/>
      <c r="UBP53" s="15"/>
      <c r="UBQ53" s="15"/>
      <c r="UBR53" s="15"/>
      <c r="UBS53" s="15"/>
      <c r="UBT53" s="15"/>
      <c r="UBU53" s="15"/>
      <c r="UBV53" s="15"/>
      <c r="UBW53" s="15"/>
      <c r="UBX53" s="15"/>
      <c r="UBY53" s="15"/>
      <c r="UBZ53" s="15"/>
      <c r="UCA53" s="15"/>
      <c r="UCB53" s="15"/>
      <c r="UCC53" s="15"/>
      <c r="UCD53" s="15"/>
      <c r="UCE53" s="15"/>
      <c r="UCF53" s="15"/>
      <c r="UCG53" s="15"/>
      <c r="UCH53" s="15"/>
      <c r="UCI53" s="15"/>
      <c r="UCJ53" s="15"/>
      <c r="UCK53" s="15"/>
      <c r="UCL53" s="15"/>
      <c r="UCM53" s="15"/>
      <c r="UCN53" s="15"/>
      <c r="UCO53" s="15"/>
      <c r="UCP53" s="15"/>
      <c r="UCQ53" s="15"/>
      <c r="UCR53" s="15"/>
      <c r="UCS53" s="15"/>
      <c r="UCT53" s="15"/>
      <c r="UCU53" s="15"/>
      <c r="UCV53" s="15"/>
      <c r="UCW53" s="15"/>
      <c r="UCX53" s="15"/>
      <c r="UCY53" s="15"/>
      <c r="UCZ53" s="15"/>
      <c r="UDA53" s="15"/>
      <c r="UDB53" s="15"/>
      <c r="UDC53" s="15"/>
      <c r="UDD53" s="15"/>
      <c r="UDE53" s="15"/>
      <c r="UDF53" s="15"/>
      <c r="UDG53" s="15"/>
      <c r="UDH53" s="15"/>
      <c r="UDI53" s="15"/>
      <c r="UDJ53" s="15"/>
      <c r="UDK53" s="15"/>
      <c r="UDL53" s="15"/>
      <c r="UDM53" s="15"/>
      <c r="UDN53" s="15"/>
      <c r="UDO53" s="15"/>
      <c r="UDP53" s="15"/>
      <c r="UDQ53" s="15"/>
      <c r="UDR53" s="15"/>
      <c r="UDS53" s="15"/>
      <c r="UDT53" s="15"/>
      <c r="UDU53" s="15"/>
      <c r="UDV53" s="15"/>
      <c r="UDW53" s="15"/>
      <c r="UDX53" s="15"/>
      <c r="UDY53" s="15"/>
      <c r="UDZ53" s="15"/>
      <c r="UEA53" s="15"/>
      <c r="UEB53" s="15"/>
      <c r="UEC53" s="15"/>
      <c r="UED53" s="15"/>
      <c r="UEE53" s="15"/>
      <c r="UEF53" s="15"/>
      <c r="UEG53" s="15"/>
      <c r="UEH53" s="15"/>
      <c r="UEI53" s="15"/>
      <c r="UEJ53" s="15"/>
      <c r="UEK53" s="15"/>
      <c r="UEL53" s="15"/>
      <c r="UEM53" s="15"/>
      <c r="UEN53" s="15"/>
      <c r="UEO53" s="15"/>
      <c r="UEP53" s="15"/>
      <c r="UEQ53" s="15"/>
      <c r="UER53" s="15"/>
      <c r="UES53" s="15"/>
      <c r="UET53" s="15"/>
      <c r="UEU53" s="15"/>
      <c r="UEV53" s="15"/>
      <c r="UEW53" s="15"/>
      <c r="UEX53" s="15"/>
      <c r="UEY53" s="15"/>
      <c r="UEZ53" s="15"/>
      <c r="UFA53" s="15"/>
      <c r="UFB53" s="15"/>
      <c r="UFC53" s="15"/>
      <c r="UFD53" s="15"/>
      <c r="UFE53" s="15"/>
      <c r="UFF53" s="15"/>
      <c r="UFG53" s="15"/>
      <c r="UFH53" s="15"/>
      <c r="UFI53" s="15"/>
      <c r="UFJ53" s="15"/>
      <c r="UFK53" s="15"/>
      <c r="UFL53" s="15"/>
      <c r="UFM53" s="15"/>
      <c r="UFN53" s="15"/>
      <c r="UFO53" s="15"/>
      <c r="UFP53" s="15"/>
      <c r="UFQ53" s="15"/>
      <c r="UFR53" s="15"/>
      <c r="UFS53" s="15"/>
      <c r="UFT53" s="15"/>
      <c r="UFU53" s="15"/>
      <c r="UFV53" s="15"/>
      <c r="UFW53" s="15"/>
      <c r="UFX53" s="15"/>
      <c r="UFY53" s="15"/>
      <c r="UFZ53" s="15"/>
      <c r="UGA53" s="15"/>
      <c r="UGB53" s="15"/>
      <c r="UGC53" s="15"/>
      <c r="UGD53" s="15"/>
      <c r="UGE53" s="15"/>
      <c r="UGF53" s="15"/>
      <c r="UGG53" s="15"/>
      <c r="UGH53" s="15"/>
      <c r="UGI53" s="15"/>
      <c r="UGJ53" s="15"/>
      <c r="UGK53" s="15"/>
      <c r="UGL53" s="15"/>
      <c r="UGM53" s="15"/>
      <c r="UGN53" s="15"/>
      <c r="UGO53" s="15"/>
      <c r="UGP53" s="15"/>
      <c r="UGQ53" s="15"/>
      <c r="UGR53" s="15"/>
      <c r="UGS53" s="15"/>
      <c r="UGT53" s="15"/>
      <c r="UGU53" s="15"/>
      <c r="UGV53" s="15"/>
      <c r="UGW53" s="15"/>
      <c r="UGX53" s="15"/>
      <c r="UGY53" s="15"/>
      <c r="UGZ53" s="15"/>
      <c r="UHA53" s="15"/>
      <c r="UHB53" s="15"/>
      <c r="UHC53" s="15"/>
      <c r="UHD53" s="15"/>
      <c r="UHE53" s="15"/>
      <c r="UHF53" s="15"/>
      <c r="UHG53" s="15"/>
      <c r="UHH53" s="15"/>
      <c r="UHI53" s="15"/>
      <c r="UHJ53" s="15"/>
      <c r="UHK53" s="15"/>
      <c r="UHL53" s="15"/>
      <c r="UHM53" s="15"/>
      <c r="UHN53" s="15"/>
      <c r="UHO53" s="15"/>
      <c r="UHP53" s="15"/>
      <c r="UHQ53" s="15"/>
      <c r="UHR53" s="15"/>
      <c r="UHS53" s="15"/>
      <c r="UHT53" s="15"/>
      <c r="UHU53" s="15"/>
      <c r="UHV53" s="15"/>
      <c r="UHW53" s="15"/>
      <c r="UHX53" s="15"/>
      <c r="UHY53" s="15"/>
      <c r="UHZ53" s="15"/>
      <c r="UIA53" s="15"/>
      <c r="UIB53" s="15"/>
      <c r="UIC53" s="15"/>
      <c r="UID53" s="15"/>
      <c r="UIE53" s="15"/>
      <c r="UIF53" s="15"/>
      <c r="UIG53" s="15"/>
      <c r="UIH53" s="15"/>
      <c r="UII53" s="15"/>
      <c r="UIJ53" s="15"/>
      <c r="UIK53" s="15"/>
      <c r="UIL53" s="15"/>
      <c r="UIM53" s="15"/>
      <c r="UIN53" s="15"/>
      <c r="UIO53" s="15"/>
      <c r="UIP53" s="15"/>
      <c r="UIQ53" s="15"/>
      <c r="UIR53" s="15"/>
      <c r="UIS53" s="15"/>
      <c r="UIT53" s="15"/>
      <c r="UIU53" s="15"/>
      <c r="UIV53" s="15"/>
      <c r="UIW53" s="15"/>
      <c r="UIX53" s="15"/>
      <c r="UIY53" s="15"/>
      <c r="UIZ53" s="15"/>
      <c r="UJA53" s="15"/>
      <c r="UJB53" s="15"/>
      <c r="UJC53" s="15"/>
      <c r="UJD53" s="15"/>
      <c r="UJE53" s="15"/>
      <c r="UJF53" s="15"/>
      <c r="UJG53" s="15"/>
      <c r="UJH53" s="15"/>
      <c r="UJI53" s="15"/>
      <c r="UJJ53" s="15"/>
      <c r="UJK53" s="15"/>
      <c r="UJL53" s="15"/>
      <c r="UJM53" s="15"/>
      <c r="UJN53" s="15"/>
      <c r="UJO53" s="15"/>
      <c r="UJP53" s="15"/>
      <c r="UJQ53" s="15"/>
      <c r="UJR53" s="15"/>
      <c r="UJS53" s="15"/>
      <c r="UJT53" s="15"/>
      <c r="UJU53" s="15"/>
      <c r="UJV53" s="15"/>
      <c r="UJW53" s="15"/>
      <c r="UJX53" s="15"/>
      <c r="UJY53" s="15"/>
      <c r="UJZ53" s="15"/>
      <c r="UKA53" s="15"/>
      <c r="UKB53" s="15"/>
      <c r="UKC53" s="15"/>
      <c r="UKD53" s="15"/>
      <c r="UKE53" s="15"/>
      <c r="UKF53" s="15"/>
      <c r="UKG53" s="15"/>
      <c r="UKH53" s="15"/>
      <c r="UKI53" s="15"/>
      <c r="UKJ53" s="15"/>
      <c r="UKK53" s="15"/>
      <c r="UKL53" s="15"/>
      <c r="UKM53" s="15"/>
      <c r="UKN53" s="15"/>
      <c r="UKO53" s="15"/>
      <c r="UKP53" s="15"/>
      <c r="UKQ53" s="15"/>
      <c r="UKR53" s="15"/>
      <c r="UKS53" s="15"/>
      <c r="UKT53" s="15"/>
      <c r="UKU53" s="15"/>
      <c r="UKV53" s="15"/>
      <c r="UKW53" s="15"/>
      <c r="UKX53" s="15"/>
      <c r="UKY53" s="15"/>
      <c r="UKZ53" s="15"/>
      <c r="ULA53" s="15"/>
      <c r="ULB53" s="15"/>
      <c r="ULC53" s="15"/>
      <c r="ULD53" s="15"/>
      <c r="ULE53" s="15"/>
      <c r="ULF53" s="15"/>
      <c r="ULG53" s="15"/>
      <c r="ULH53" s="15"/>
      <c r="ULI53" s="15"/>
      <c r="ULJ53" s="15"/>
      <c r="ULK53" s="15"/>
      <c r="ULL53" s="15"/>
      <c r="ULM53" s="15"/>
      <c r="ULN53" s="15"/>
      <c r="ULO53" s="15"/>
      <c r="ULP53" s="15"/>
      <c r="ULQ53" s="15"/>
      <c r="ULR53" s="15"/>
      <c r="ULS53" s="15"/>
      <c r="ULT53" s="15"/>
      <c r="ULU53" s="15"/>
      <c r="ULV53" s="15"/>
      <c r="ULW53" s="15"/>
      <c r="ULX53" s="15"/>
      <c r="ULY53" s="15"/>
      <c r="ULZ53" s="15"/>
      <c r="UMA53" s="15"/>
      <c r="UMB53" s="15"/>
      <c r="UMC53" s="15"/>
      <c r="UMD53" s="15"/>
      <c r="UME53" s="15"/>
      <c r="UMF53" s="15"/>
      <c r="UMG53" s="15"/>
      <c r="UMH53" s="15"/>
      <c r="UMI53" s="15"/>
      <c r="UMJ53" s="15"/>
      <c r="UMK53" s="15"/>
      <c r="UML53" s="15"/>
      <c r="UMM53" s="15"/>
      <c r="UMN53" s="15"/>
      <c r="UMO53" s="15"/>
      <c r="UMP53" s="15"/>
      <c r="UMQ53" s="15"/>
      <c r="UMR53" s="15"/>
      <c r="UMS53" s="15"/>
      <c r="UMT53" s="15"/>
      <c r="UMU53" s="15"/>
      <c r="UMV53" s="15"/>
      <c r="UMW53" s="15"/>
      <c r="UMX53" s="15"/>
      <c r="UMY53" s="15"/>
      <c r="UMZ53" s="15"/>
      <c r="UNA53" s="15"/>
      <c r="UNB53" s="15"/>
      <c r="UNC53" s="15"/>
      <c r="UND53" s="15"/>
      <c r="UNE53" s="15"/>
      <c r="UNF53" s="15"/>
      <c r="UNG53" s="15"/>
      <c r="UNH53" s="15"/>
      <c r="UNI53" s="15"/>
      <c r="UNJ53" s="15"/>
      <c r="UNK53" s="15"/>
      <c r="UNL53" s="15"/>
      <c r="UNM53" s="15"/>
      <c r="UNN53" s="15"/>
      <c r="UNO53" s="15"/>
      <c r="UNP53" s="15"/>
      <c r="UNQ53" s="15"/>
      <c r="UNR53" s="15"/>
      <c r="UNS53" s="15"/>
      <c r="UNT53" s="15"/>
      <c r="UNU53" s="15"/>
      <c r="UNV53" s="15"/>
      <c r="UNW53" s="15"/>
      <c r="UNX53" s="15"/>
      <c r="UNY53" s="15"/>
      <c r="UNZ53" s="15"/>
      <c r="UOA53" s="15"/>
      <c r="UOB53" s="15"/>
      <c r="UOC53" s="15"/>
      <c r="UOD53" s="15"/>
      <c r="UOE53" s="15"/>
      <c r="UOF53" s="15"/>
      <c r="UOG53" s="15"/>
      <c r="UOH53" s="15"/>
      <c r="UOI53" s="15"/>
      <c r="UOJ53" s="15"/>
      <c r="UOK53" s="15"/>
      <c r="UOL53" s="15"/>
      <c r="UOM53" s="15"/>
      <c r="UON53" s="15"/>
      <c r="UOO53" s="15"/>
      <c r="UOP53" s="15"/>
      <c r="UOQ53" s="15"/>
      <c r="UOR53" s="15"/>
      <c r="UOS53" s="15"/>
      <c r="UOT53" s="15"/>
      <c r="UOU53" s="15"/>
      <c r="UOV53" s="15"/>
      <c r="UOW53" s="15"/>
      <c r="UOX53" s="15"/>
      <c r="UOY53" s="15"/>
      <c r="UOZ53" s="15"/>
      <c r="UPA53" s="15"/>
      <c r="UPB53" s="15"/>
      <c r="UPC53" s="15"/>
      <c r="UPD53" s="15"/>
      <c r="UPE53" s="15"/>
      <c r="UPF53" s="15"/>
      <c r="UPG53" s="15"/>
      <c r="UPH53" s="15"/>
      <c r="UPI53" s="15"/>
      <c r="UPJ53" s="15"/>
      <c r="UPK53" s="15"/>
      <c r="UPL53" s="15"/>
      <c r="UPM53" s="15"/>
      <c r="UPN53" s="15"/>
      <c r="UPO53" s="15"/>
      <c r="UPP53" s="15"/>
      <c r="UPQ53" s="15"/>
      <c r="UPR53" s="15"/>
      <c r="UPS53" s="15"/>
      <c r="UPT53" s="15"/>
      <c r="UPU53" s="15"/>
      <c r="UPV53" s="15"/>
      <c r="UPW53" s="15"/>
      <c r="UPX53" s="15"/>
      <c r="UPY53" s="15"/>
      <c r="UPZ53" s="15"/>
      <c r="UQA53" s="15"/>
      <c r="UQB53" s="15"/>
      <c r="UQC53" s="15"/>
      <c r="UQD53" s="15"/>
      <c r="UQE53" s="15"/>
      <c r="UQF53" s="15"/>
      <c r="UQG53" s="15"/>
      <c r="UQH53" s="15"/>
      <c r="UQI53" s="15"/>
      <c r="UQJ53" s="15"/>
      <c r="UQK53" s="15"/>
      <c r="UQL53" s="15"/>
      <c r="UQM53" s="15"/>
      <c r="UQN53" s="15"/>
      <c r="UQO53" s="15"/>
      <c r="UQP53" s="15"/>
      <c r="UQQ53" s="15"/>
      <c r="UQR53" s="15"/>
      <c r="UQS53" s="15"/>
      <c r="UQT53" s="15"/>
      <c r="UQU53" s="15"/>
      <c r="UQV53" s="15"/>
      <c r="UQW53" s="15"/>
      <c r="UQX53" s="15"/>
      <c r="UQY53" s="15"/>
      <c r="UQZ53" s="15"/>
      <c r="URA53" s="15"/>
      <c r="URB53" s="15"/>
      <c r="URC53" s="15"/>
      <c r="URD53" s="15"/>
      <c r="URE53" s="15"/>
      <c r="URF53" s="15"/>
      <c r="URG53" s="15"/>
      <c r="URH53" s="15"/>
      <c r="URI53" s="15"/>
      <c r="URJ53" s="15"/>
      <c r="URK53" s="15"/>
      <c r="URL53" s="15"/>
      <c r="URM53" s="15"/>
      <c r="URN53" s="15"/>
      <c r="URO53" s="15"/>
      <c r="URP53" s="15"/>
      <c r="URQ53" s="15"/>
      <c r="URR53" s="15"/>
      <c r="URS53" s="15"/>
      <c r="URT53" s="15"/>
      <c r="URU53" s="15"/>
      <c r="URV53" s="15"/>
      <c r="URW53" s="15"/>
      <c r="URX53" s="15"/>
      <c r="URY53" s="15"/>
      <c r="URZ53" s="15"/>
      <c r="USA53" s="15"/>
      <c r="USB53" s="15"/>
      <c r="USC53" s="15"/>
      <c r="USD53" s="15"/>
      <c r="USE53" s="15"/>
      <c r="USF53" s="15"/>
      <c r="USG53" s="15"/>
      <c r="USH53" s="15"/>
      <c r="USI53" s="15"/>
      <c r="USJ53" s="15"/>
      <c r="USK53" s="15"/>
      <c r="USL53" s="15"/>
      <c r="USM53" s="15"/>
      <c r="USN53" s="15"/>
      <c r="USO53" s="15"/>
      <c r="USP53" s="15"/>
      <c r="USQ53" s="15"/>
      <c r="USR53" s="15"/>
      <c r="USS53" s="15"/>
      <c r="UST53" s="15"/>
      <c r="USU53" s="15"/>
      <c r="USV53" s="15"/>
      <c r="USW53" s="15"/>
      <c r="USX53" s="15"/>
      <c r="USY53" s="15"/>
      <c r="USZ53" s="15"/>
      <c r="UTA53" s="15"/>
      <c r="UTB53" s="15"/>
      <c r="UTC53" s="15"/>
      <c r="UTD53" s="15"/>
      <c r="UTE53" s="15"/>
      <c r="UTF53" s="15"/>
      <c r="UTG53" s="15"/>
      <c r="UTH53" s="15"/>
      <c r="UTI53" s="15"/>
      <c r="UTJ53" s="15"/>
      <c r="UTK53" s="15"/>
      <c r="UTL53" s="15"/>
      <c r="UTM53" s="15"/>
      <c r="UTN53" s="15"/>
      <c r="UTO53" s="15"/>
      <c r="UTP53" s="15"/>
      <c r="UTQ53" s="15"/>
      <c r="UTR53" s="15"/>
      <c r="UTS53" s="15"/>
      <c r="UTT53" s="15"/>
      <c r="UTU53" s="15"/>
      <c r="UTV53" s="15"/>
      <c r="UTW53" s="15"/>
      <c r="UTX53" s="15"/>
      <c r="UTY53" s="15"/>
      <c r="UTZ53" s="15"/>
      <c r="UUA53" s="15"/>
      <c r="UUB53" s="15"/>
      <c r="UUC53" s="15"/>
      <c r="UUD53" s="15"/>
      <c r="UUE53" s="15"/>
      <c r="UUF53" s="15"/>
      <c r="UUG53" s="15"/>
      <c r="UUH53" s="15"/>
      <c r="UUI53" s="15"/>
      <c r="UUJ53" s="15"/>
      <c r="UUK53" s="15"/>
      <c r="UUL53" s="15"/>
      <c r="UUM53" s="15"/>
      <c r="UUN53" s="15"/>
      <c r="UUO53" s="15"/>
      <c r="UUP53" s="15"/>
      <c r="UUQ53" s="15"/>
      <c r="UUR53" s="15"/>
      <c r="UUS53" s="15"/>
      <c r="UUT53" s="15"/>
      <c r="UUU53" s="15"/>
      <c r="UUV53" s="15"/>
      <c r="UUW53" s="15"/>
      <c r="UUX53" s="15"/>
      <c r="UUY53" s="15"/>
      <c r="UUZ53" s="15"/>
      <c r="UVA53" s="15"/>
      <c r="UVB53" s="15"/>
      <c r="UVC53" s="15"/>
      <c r="UVD53" s="15"/>
      <c r="UVE53" s="15"/>
      <c r="UVF53" s="15"/>
      <c r="UVG53" s="15"/>
      <c r="UVH53" s="15"/>
      <c r="UVI53" s="15"/>
      <c r="UVJ53" s="15"/>
      <c r="UVK53" s="15"/>
      <c r="UVL53" s="15"/>
      <c r="UVM53" s="15"/>
      <c r="UVN53" s="15"/>
      <c r="UVO53" s="15"/>
      <c r="UVP53" s="15"/>
      <c r="UVQ53" s="15"/>
      <c r="UVR53" s="15"/>
      <c r="UVS53" s="15"/>
      <c r="UVT53" s="15"/>
      <c r="UVU53" s="15"/>
      <c r="UVV53" s="15"/>
      <c r="UVW53" s="15"/>
      <c r="UVX53" s="15"/>
      <c r="UVY53" s="15"/>
      <c r="UVZ53" s="15"/>
      <c r="UWA53" s="15"/>
      <c r="UWB53" s="15"/>
      <c r="UWC53" s="15"/>
      <c r="UWD53" s="15"/>
      <c r="UWE53" s="15"/>
      <c r="UWF53" s="15"/>
      <c r="UWG53" s="15"/>
      <c r="UWH53" s="15"/>
      <c r="UWI53" s="15"/>
      <c r="UWJ53" s="15"/>
      <c r="UWK53" s="15"/>
      <c r="UWL53" s="15"/>
      <c r="UWM53" s="15"/>
      <c r="UWN53" s="15"/>
      <c r="UWO53" s="15"/>
      <c r="UWP53" s="15"/>
      <c r="UWQ53" s="15"/>
      <c r="UWR53" s="15"/>
      <c r="UWS53" s="15"/>
      <c r="UWT53" s="15"/>
      <c r="UWU53" s="15"/>
      <c r="UWV53" s="15"/>
      <c r="UWW53" s="15"/>
      <c r="UWX53" s="15"/>
      <c r="UWY53" s="15"/>
      <c r="UWZ53" s="15"/>
      <c r="UXA53" s="15"/>
      <c r="UXB53" s="15"/>
      <c r="UXC53" s="15"/>
      <c r="UXD53" s="15"/>
      <c r="UXE53" s="15"/>
      <c r="UXF53" s="15"/>
      <c r="UXG53" s="15"/>
      <c r="UXH53" s="15"/>
      <c r="UXI53" s="15"/>
      <c r="UXJ53" s="15"/>
      <c r="UXK53" s="15"/>
      <c r="UXL53" s="15"/>
      <c r="UXM53" s="15"/>
      <c r="UXN53" s="15"/>
      <c r="UXO53" s="15"/>
      <c r="UXP53" s="15"/>
      <c r="UXQ53" s="15"/>
      <c r="UXR53" s="15"/>
      <c r="UXS53" s="15"/>
      <c r="UXT53" s="15"/>
      <c r="UXU53" s="15"/>
      <c r="UXV53" s="15"/>
      <c r="UXW53" s="15"/>
      <c r="UXX53" s="15"/>
      <c r="UXY53" s="15"/>
      <c r="UXZ53" s="15"/>
      <c r="UYA53" s="15"/>
      <c r="UYB53" s="15"/>
      <c r="UYC53" s="15"/>
      <c r="UYD53" s="15"/>
      <c r="UYE53" s="15"/>
      <c r="UYF53" s="15"/>
      <c r="UYG53" s="15"/>
      <c r="UYH53" s="15"/>
      <c r="UYI53" s="15"/>
      <c r="UYJ53" s="15"/>
      <c r="UYK53" s="15"/>
      <c r="UYL53" s="15"/>
      <c r="UYM53" s="15"/>
      <c r="UYN53" s="15"/>
      <c r="UYO53" s="15"/>
      <c r="UYP53" s="15"/>
      <c r="UYQ53" s="15"/>
      <c r="UYR53" s="15"/>
      <c r="UYS53" s="15"/>
      <c r="UYT53" s="15"/>
      <c r="UYU53" s="15"/>
      <c r="UYV53" s="15"/>
      <c r="UYW53" s="15"/>
      <c r="UYX53" s="15"/>
      <c r="UYY53" s="15"/>
      <c r="UYZ53" s="15"/>
      <c r="UZA53" s="15"/>
      <c r="UZB53" s="15"/>
      <c r="UZC53" s="15"/>
      <c r="UZD53" s="15"/>
      <c r="UZE53" s="15"/>
      <c r="UZF53" s="15"/>
      <c r="UZG53" s="15"/>
      <c r="UZH53" s="15"/>
      <c r="UZI53" s="15"/>
      <c r="UZJ53" s="15"/>
      <c r="UZK53" s="15"/>
      <c r="UZL53" s="15"/>
      <c r="UZM53" s="15"/>
      <c r="UZN53" s="15"/>
      <c r="UZO53" s="15"/>
      <c r="UZP53" s="15"/>
      <c r="UZQ53" s="15"/>
      <c r="UZR53" s="15"/>
      <c r="UZS53" s="15"/>
      <c r="UZT53" s="15"/>
      <c r="UZU53" s="15"/>
      <c r="UZV53" s="15"/>
      <c r="UZW53" s="15"/>
      <c r="UZX53" s="15"/>
      <c r="UZY53" s="15"/>
      <c r="UZZ53" s="15"/>
      <c r="VAA53" s="15"/>
      <c r="VAB53" s="15"/>
      <c r="VAC53" s="15"/>
      <c r="VAD53" s="15"/>
      <c r="VAE53" s="15"/>
      <c r="VAF53" s="15"/>
      <c r="VAG53" s="15"/>
      <c r="VAH53" s="15"/>
      <c r="VAI53" s="15"/>
      <c r="VAJ53" s="15"/>
      <c r="VAK53" s="15"/>
      <c r="VAL53" s="15"/>
      <c r="VAM53" s="15"/>
      <c r="VAN53" s="15"/>
      <c r="VAO53" s="15"/>
      <c r="VAP53" s="15"/>
      <c r="VAQ53" s="15"/>
      <c r="VAR53" s="15"/>
      <c r="VAS53" s="15"/>
      <c r="VAT53" s="15"/>
      <c r="VAU53" s="15"/>
      <c r="VAV53" s="15"/>
      <c r="VAW53" s="15"/>
      <c r="VAX53" s="15"/>
      <c r="VAY53" s="15"/>
      <c r="VAZ53" s="15"/>
      <c r="VBA53" s="15"/>
      <c r="VBB53" s="15"/>
      <c r="VBC53" s="15"/>
      <c r="VBD53" s="15"/>
      <c r="VBE53" s="15"/>
      <c r="VBF53" s="15"/>
      <c r="VBG53" s="15"/>
      <c r="VBH53" s="15"/>
      <c r="VBI53" s="15"/>
      <c r="VBJ53" s="15"/>
      <c r="VBK53" s="15"/>
      <c r="VBL53" s="15"/>
      <c r="VBM53" s="15"/>
      <c r="VBN53" s="15"/>
      <c r="VBO53" s="15"/>
      <c r="VBP53" s="15"/>
      <c r="VBQ53" s="15"/>
      <c r="VBR53" s="15"/>
      <c r="VBS53" s="15"/>
      <c r="VBT53" s="15"/>
      <c r="VBU53" s="15"/>
      <c r="VBV53" s="15"/>
      <c r="VBW53" s="15"/>
      <c r="VBX53" s="15"/>
      <c r="VBY53" s="15"/>
      <c r="VBZ53" s="15"/>
      <c r="VCA53" s="15"/>
      <c r="VCB53" s="15"/>
      <c r="VCC53" s="15"/>
      <c r="VCD53" s="15"/>
      <c r="VCE53" s="15"/>
      <c r="VCF53" s="15"/>
      <c r="VCG53" s="15"/>
      <c r="VCH53" s="15"/>
      <c r="VCI53" s="15"/>
      <c r="VCJ53" s="15"/>
      <c r="VCK53" s="15"/>
      <c r="VCL53" s="15"/>
      <c r="VCM53" s="15"/>
      <c r="VCN53" s="15"/>
      <c r="VCO53" s="15"/>
      <c r="VCP53" s="15"/>
      <c r="VCQ53" s="15"/>
      <c r="VCR53" s="15"/>
      <c r="VCS53" s="15"/>
      <c r="VCT53" s="15"/>
      <c r="VCU53" s="15"/>
      <c r="VCV53" s="15"/>
      <c r="VCW53" s="15"/>
      <c r="VCX53" s="15"/>
      <c r="VCY53" s="15"/>
      <c r="VCZ53" s="15"/>
      <c r="VDA53" s="15"/>
      <c r="VDB53" s="15"/>
      <c r="VDC53" s="15"/>
      <c r="VDD53" s="15"/>
      <c r="VDE53" s="15"/>
      <c r="VDF53" s="15"/>
      <c r="VDG53" s="15"/>
      <c r="VDH53" s="15"/>
      <c r="VDI53" s="15"/>
      <c r="VDJ53" s="15"/>
      <c r="VDK53" s="15"/>
      <c r="VDL53" s="15"/>
      <c r="VDM53" s="15"/>
      <c r="VDN53" s="15"/>
      <c r="VDO53" s="15"/>
      <c r="VDP53" s="15"/>
      <c r="VDQ53" s="15"/>
      <c r="VDR53" s="15"/>
      <c r="VDS53" s="15"/>
      <c r="VDT53" s="15"/>
      <c r="VDU53" s="15"/>
      <c r="VDV53" s="15"/>
      <c r="VDW53" s="15"/>
      <c r="VDX53" s="15"/>
      <c r="VDY53" s="15"/>
      <c r="VDZ53" s="15"/>
      <c r="VEA53" s="15"/>
      <c r="VEB53" s="15"/>
      <c r="VEC53" s="15"/>
      <c r="VED53" s="15"/>
      <c r="VEE53" s="15"/>
      <c r="VEF53" s="15"/>
      <c r="VEG53" s="15"/>
      <c r="VEH53" s="15"/>
      <c r="VEI53" s="15"/>
      <c r="VEJ53" s="15"/>
      <c r="VEK53" s="15"/>
      <c r="VEL53" s="15"/>
      <c r="VEM53" s="15"/>
      <c r="VEN53" s="15"/>
      <c r="VEO53" s="15"/>
      <c r="VEP53" s="15"/>
      <c r="VEQ53" s="15"/>
      <c r="VER53" s="15"/>
      <c r="VES53" s="15"/>
      <c r="VET53" s="15"/>
      <c r="VEU53" s="15"/>
      <c r="VEV53" s="15"/>
      <c r="VEW53" s="15"/>
      <c r="VEX53" s="15"/>
      <c r="VEY53" s="15"/>
      <c r="VEZ53" s="15"/>
      <c r="VFA53" s="15"/>
      <c r="VFB53" s="15"/>
      <c r="VFC53" s="15"/>
      <c r="VFD53" s="15"/>
      <c r="VFE53" s="15"/>
      <c r="VFF53" s="15"/>
      <c r="VFG53" s="15"/>
      <c r="VFH53" s="15"/>
      <c r="VFI53" s="15"/>
      <c r="VFJ53" s="15"/>
      <c r="VFK53" s="15"/>
      <c r="VFL53" s="15"/>
      <c r="VFM53" s="15"/>
      <c r="VFN53" s="15"/>
      <c r="VFO53" s="15"/>
      <c r="VFP53" s="15"/>
      <c r="VFQ53" s="15"/>
      <c r="VFR53" s="15"/>
      <c r="VFS53" s="15"/>
      <c r="VFT53" s="15"/>
      <c r="VFU53" s="15"/>
      <c r="VFV53" s="15"/>
      <c r="VFW53" s="15"/>
      <c r="VFX53" s="15"/>
      <c r="VFY53" s="15"/>
      <c r="VFZ53" s="15"/>
      <c r="VGA53" s="15"/>
      <c r="VGB53" s="15"/>
      <c r="VGC53" s="15"/>
      <c r="VGD53" s="15"/>
      <c r="VGE53" s="15"/>
      <c r="VGF53" s="15"/>
      <c r="VGG53" s="15"/>
      <c r="VGH53" s="15"/>
      <c r="VGI53" s="15"/>
      <c r="VGJ53" s="15"/>
      <c r="VGK53" s="15"/>
      <c r="VGL53" s="15"/>
      <c r="VGM53" s="15"/>
      <c r="VGN53" s="15"/>
      <c r="VGO53" s="15"/>
      <c r="VGP53" s="15"/>
      <c r="VGQ53" s="15"/>
      <c r="VGR53" s="15"/>
      <c r="VGS53" s="15"/>
      <c r="VGT53" s="15"/>
      <c r="VGU53" s="15"/>
      <c r="VGV53" s="15"/>
      <c r="VGW53" s="15"/>
      <c r="VGX53" s="15"/>
      <c r="VGY53" s="15"/>
      <c r="VGZ53" s="15"/>
      <c r="VHA53" s="15"/>
      <c r="VHB53" s="15"/>
      <c r="VHC53" s="15"/>
      <c r="VHD53" s="15"/>
      <c r="VHE53" s="15"/>
      <c r="VHF53" s="15"/>
      <c r="VHG53" s="15"/>
      <c r="VHH53" s="15"/>
      <c r="VHI53" s="15"/>
      <c r="VHJ53" s="15"/>
      <c r="VHK53" s="15"/>
      <c r="VHL53" s="15"/>
      <c r="VHM53" s="15"/>
      <c r="VHN53" s="15"/>
      <c r="VHO53" s="15"/>
      <c r="VHP53" s="15"/>
      <c r="VHQ53" s="15"/>
      <c r="VHR53" s="15"/>
      <c r="VHS53" s="15"/>
      <c r="VHT53" s="15"/>
      <c r="VHU53" s="15"/>
      <c r="VHV53" s="15"/>
      <c r="VHW53" s="15"/>
      <c r="VHX53" s="15"/>
      <c r="VHY53" s="15"/>
      <c r="VHZ53" s="15"/>
      <c r="VIA53" s="15"/>
      <c r="VIB53" s="15"/>
      <c r="VIC53" s="15"/>
      <c r="VID53" s="15"/>
      <c r="VIE53" s="15"/>
      <c r="VIF53" s="15"/>
      <c r="VIG53" s="15"/>
      <c r="VIH53" s="15"/>
      <c r="VII53" s="15"/>
      <c r="VIJ53" s="15"/>
      <c r="VIK53" s="15"/>
      <c r="VIL53" s="15"/>
      <c r="VIM53" s="15"/>
      <c r="VIN53" s="15"/>
      <c r="VIO53" s="15"/>
      <c r="VIP53" s="15"/>
      <c r="VIQ53" s="15"/>
      <c r="VIR53" s="15"/>
      <c r="VIS53" s="15"/>
      <c r="VIT53" s="15"/>
      <c r="VIU53" s="15"/>
      <c r="VIV53" s="15"/>
      <c r="VIW53" s="15"/>
      <c r="VIX53" s="15"/>
      <c r="VIY53" s="15"/>
      <c r="VIZ53" s="15"/>
      <c r="VJA53" s="15"/>
      <c r="VJB53" s="15"/>
      <c r="VJC53" s="15"/>
      <c r="VJD53" s="15"/>
      <c r="VJE53" s="15"/>
      <c r="VJF53" s="15"/>
      <c r="VJG53" s="15"/>
      <c r="VJH53" s="15"/>
      <c r="VJI53" s="15"/>
      <c r="VJJ53" s="15"/>
      <c r="VJK53" s="15"/>
      <c r="VJL53" s="15"/>
      <c r="VJM53" s="15"/>
      <c r="VJN53" s="15"/>
      <c r="VJO53" s="15"/>
      <c r="VJP53" s="15"/>
      <c r="VJQ53" s="15"/>
      <c r="VJR53" s="15"/>
      <c r="VJS53" s="15"/>
      <c r="VJT53" s="15"/>
      <c r="VJU53" s="15"/>
      <c r="VJV53" s="15"/>
      <c r="VJW53" s="15"/>
      <c r="VJX53" s="15"/>
      <c r="VJY53" s="15"/>
      <c r="VJZ53" s="15"/>
      <c r="VKA53" s="15"/>
      <c r="VKB53" s="15"/>
      <c r="VKC53" s="15"/>
      <c r="VKD53" s="15"/>
      <c r="VKE53" s="15"/>
      <c r="VKF53" s="15"/>
      <c r="VKG53" s="15"/>
      <c r="VKH53" s="15"/>
      <c r="VKI53" s="15"/>
      <c r="VKJ53" s="15"/>
      <c r="VKK53" s="15"/>
      <c r="VKL53" s="15"/>
      <c r="VKM53" s="15"/>
      <c r="VKN53" s="15"/>
      <c r="VKO53" s="15"/>
      <c r="VKP53" s="15"/>
      <c r="VKQ53" s="15"/>
      <c r="VKR53" s="15"/>
      <c r="VKS53" s="15"/>
      <c r="VKT53" s="15"/>
      <c r="VKU53" s="15"/>
      <c r="VKV53" s="15"/>
      <c r="VKW53" s="15"/>
      <c r="VKX53" s="15"/>
      <c r="VKY53" s="15"/>
      <c r="VKZ53" s="15"/>
      <c r="VLA53" s="15"/>
      <c r="VLB53" s="15"/>
      <c r="VLC53" s="15"/>
      <c r="VLD53" s="15"/>
      <c r="VLE53" s="15"/>
      <c r="VLF53" s="15"/>
      <c r="VLG53" s="15"/>
      <c r="VLH53" s="15"/>
      <c r="VLI53" s="15"/>
      <c r="VLJ53" s="15"/>
      <c r="VLK53" s="15"/>
      <c r="VLL53" s="15"/>
      <c r="VLM53" s="15"/>
      <c r="VLN53" s="15"/>
      <c r="VLO53" s="15"/>
      <c r="VLP53" s="15"/>
      <c r="VLQ53" s="15"/>
      <c r="VLR53" s="15"/>
      <c r="VLS53" s="15"/>
      <c r="VLT53" s="15"/>
      <c r="VLU53" s="15"/>
      <c r="VLV53" s="15"/>
      <c r="VLW53" s="15"/>
      <c r="VLX53" s="15"/>
      <c r="VLY53" s="15"/>
      <c r="VLZ53" s="15"/>
      <c r="VMA53" s="15"/>
      <c r="VMB53" s="15"/>
      <c r="VMC53" s="15"/>
      <c r="VMD53" s="15"/>
      <c r="VME53" s="15"/>
      <c r="VMF53" s="15"/>
      <c r="VMG53" s="15"/>
      <c r="VMH53" s="15"/>
      <c r="VMI53" s="15"/>
      <c r="VMJ53" s="15"/>
      <c r="VMK53" s="15"/>
      <c r="VML53" s="15"/>
      <c r="VMM53" s="15"/>
      <c r="VMN53" s="15"/>
      <c r="VMO53" s="15"/>
      <c r="VMP53" s="15"/>
      <c r="VMQ53" s="15"/>
      <c r="VMR53" s="15"/>
      <c r="VMS53" s="15"/>
      <c r="VMT53" s="15"/>
      <c r="VMU53" s="15"/>
      <c r="VMV53" s="15"/>
      <c r="VMW53" s="15"/>
      <c r="VMX53" s="15"/>
      <c r="VMY53" s="15"/>
      <c r="VMZ53" s="15"/>
      <c r="VNA53" s="15"/>
      <c r="VNB53" s="15"/>
      <c r="VNC53" s="15"/>
      <c r="VND53" s="15"/>
      <c r="VNE53" s="15"/>
      <c r="VNF53" s="15"/>
      <c r="VNG53" s="15"/>
      <c r="VNH53" s="15"/>
      <c r="VNI53" s="15"/>
      <c r="VNJ53" s="15"/>
      <c r="VNK53" s="15"/>
      <c r="VNL53" s="15"/>
      <c r="VNM53" s="15"/>
      <c r="VNN53" s="15"/>
      <c r="VNO53" s="15"/>
      <c r="VNP53" s="15"/>
      <c r="VNQ53" s="15"/>
      <c r="VNR53" s="15"/>
      <c r="VNS53" s="15"/>
      <c r="VNT53" s="15"/>
      <c r="VNU53" s="15"/>
      <c r="VNV53" s="15"/>
      <c r="VNW53" s="15"/>
      <c r="VNX53" s="15"/>
      <c r="VNY53" s="15"/>
      <c r="VNZ53" s="15"/>
      <c r="VOA53" s="15"/>
      <c r="VOB53" s="15"/>
      <c r="VOC53" s="15"/>
      <c r="VOD53" s="15"/>
      <c r="VOE53" s="15"/>
      <c r="VOF53" s="15"/>
      <c r="VOG53" s="15"/>
      <c r="VOH53" s="15"/>
      <c r="VOI53" s="15"/>
      <c r="VOJ53" s="15"/>
      <c r="VOK53" s="15"/>
      <c r="VOL53" s="15"/>
      <c r="VOM53" s="15"/>
      <c r="VON53" s="15"/>
      <c r="VOO53" s="15"/>
      <c r="VOP53" s="15"/>
      <c r="VOQ53" s="15"/>
      <c r="VOR53" s="15"/>
      <c r="VOS53" s="15"/>
      <c r="VOT53" s="15"/>
      <c r="VOU53" s="15"/>
      <c r="VOV53" s="15"/>
      <c r="VOW53" s="15"/>
      <c r="VOX53" s="15"/>
      <c r="VOY53" s="15"/>
      <c r="VOZ53" s="15"/>
      <c r="VPA53" s="15"/>
      <c r="VPB53" s="15"/>
      <c r="VPC53" s="15"/>
      <c r="VPD53" s="15"/>
      <c r="VPE53" s="15"/>
      <c r="VPF53" s="15"/>
      <c r="VPG53" s="15"/>
      <c r="VPH53" s="15"/>
      <c r="VPI53" s="15"/>
      <c r="VPJ53" s="15"/>
      <c r="VPK53" s="15"/>
      <c r="VPL53" s="15"/>
      <c r="VPM53" s="15"/>
      <c r="VPN53" s="15"/>
      <c r="VPO53" s="15"/>
      <c r="VPP53" s="15"/>
      <c r="VPQ53" s="15"/>
      <c r="VPR53" s="15"/>
      <c r="VPS53" s="15"/>
      <c r="VPT53" s="15"/>
      <c r="VPU53" s="15"/>
      <c r="VPV53" s="15"/>
      <c r="VPW53" s="15"/>
      <c r="VPX53" s="15"/>
      <c r="VPY53" s="15"/>
      <c r="VPZ53" s="15"/>
      <c r="VQA53" s="15"/>
      <c r="VQB53" s="15"/>
      <c r="VQC53" s="15"/>
      <c r="VQD53" s="15"/>
      <c r="VQE53" s="15"/>
      <c r="VQF53" s="15"/>
      <c r="VQG53" s="15"/>
      <c r="VQH53" s="15"/>
      <c r="VQI53" s="15"/>
      <c r="VQJ53" s="15"/>
      <c r="VQK53" s="15"/>
      <c r="VQL53" s="15"/>
      <c r="VQM53" s="15"/>
      <c r="VQN53" s="15"/>
      <c r="VQO53" s="15"/>
      <c r="VQP53" s="15"/>
      <c r="VQQ53" s="15"/>
      <c r="VQR53" s="15"/>
      <c r="VQS53" s="15"/>
      <c r="VQT53" s="15"/>
      <c r="VQU53" s="15"/>
      <c r="VQV53" s="15"/>
      <c r="VQW53" s="15"/>
      <c r="VQX53" s="15"/>
      <c r="VQY53" s="15"/>
      <c r="VQZ53" s="15"/>
      <c r="VRA53" s="15"/>
      <c r="VRB53" s="15"/>
      <c r="VRC53" s="15"/>
      <c r="VRD53" s="15"/>
      <c r="VRE53" s="15"/>
      <c r="VRF53" s="15"/>
      <c r="VRG53" s="15"/>
      <c r="VRH53" s="15"/>
      <c r="VRI53" s="15"/>
      <c r="VRJ53" s="15"/>
      <c r="VRK53" s="15"/>
      <c r="VRL53" s="15"/>
      <c r="VRM53" s="15"/>
      <c r="VRN53" s="15"/>
      <c r="VRO53" s="15"/>
      <c r="VRP53" s="15"/>
      <c r="VRQ53" s="15"/>
      <c r="VRR53" s="15"/>
      <c r="VRS53" s="15"/>
      <c r="VRT53" s="15"/>
      <c r="VRU53" s="15"/>
      <c r="VRV53" s="15"/>
      <c r="VRW53" s="15"/>
      <c r="VRX53" s="15"/>
      <c r="VRY53" s="15"/>
      <c r="VRZ53" s="15"/>
      <c r="VSA53" s="15"/>
      <c r="VSB53" s="15"/>
      <c r="VSC53" s="15"/>
      <c r="VSD53" s="15"/>
      <c r="VSE53" s="15"/>
      <c r="VSF53" s="15"/>
      <c r="VSG53" s="15"/>
      <c r="VSH53" s="15"/>
      <c r="VSI53" s="15"/>
      <c r="VSJ53" s="15"/>
      <c r="VSK53" s="15"/>
      <c r="VSL53" s="15"/>
      <c r="VSM53" s="15"/>
      <c r="VSN53" s="15"/>
      <c r="VSO53" s="15"/>
      <c r="VSP53" s="15"/>
      <c r="VSQ53" s="15"/>
      <c r="VSR53" s="15"/>
      <c r="VSS53" s="15"/>
      <c r="VST53" s="15"/>
      <c r="VSU53" s="15"/>
      <c r="VSV53" s="15"/>
      <c r="VSW53" s="15"/>
      <c r="VSX53" s="15"/>
      <c r="VSY53" s="15"/>
      <c r="VSZ53" s="15"/>
      <c r="VTA53" s="15"/>
      <c r="VTB53" s="15"/>
      <c r="VTC53" s="15"/>
      <c r="VTD53" s="15"/>
      <c r="VTE53" s="15"/>
      <c r="VTF53" s="15"/>
      <c r="VTG53" s="15"/>
      <c r="VTH53" s="15"/>
      <c r="VTI53" s="15"/>
      <c r="VTJ53" s="15"/>
      <c r="VTK53" s="15"/>
      <c r="VTL53" s="15"/>
      <c r="VTM53" s="15"/>
      <c r="VTN53" s="15"/>
      <c r="VTO53" s="15"/>
      <c r="VTP53" s="15"/>
      <c r="VTQ53" s="15"/>
      <c r="VTR53" s="15"/>
      <c r="VTS53" s="15"/>
      <c r="VTT53" s="15"/>
      <c r="VTU53" s="15"/>
      <c r="VTV53" s="15"/>
      <c r="VTW53" s="15"/>
      <c r="VTX53" s="15"/>
      <c r="VTY53" s="15"/>
      <c r="VTZ53" s="15"/>
      <c r="VUA53" s="15"/>
      <c r="VUB53" s="15"/>
      <c r="VUC53" s="15"/>
      <c r="VUD53" s="15"/>
      <c r="VUE53" s="15"/>
      <c r="VUF53" s="15"/>
      <c r="VUG53" s="15"/>
      <c r="VUH53" s="15"/>
      <c r="VUI53" s="15"/>
      <c r="VUJ53" s="15"/>
      <c r="VUK53" s="15"/>
      <c r="VUL53" s="15"/>
      <c r="VUM53" s="15"/>
      <c r="VUN53" s="15"/>
      <c r="VUO53" s="15"/>
      <c r="VUP53" s="15"/>
      <c r="VUQ53" s="15"/>
      <c r="VUR53" s="15"/>
      <c r="VUS53" s="15"/>
      <c r="VUT53" s="15"/>
      <c r="VUU53" s="15"/>
      <c r="VUV53" s="15"/>
      <c r="VUW53" s="15"/>
      <c r="VUX53" s="15"/>
      <c r="VUY53" s="15"/>
      <c r="VUZ53" s="15"/>
      <c r="VVA53" s="15"/>
      <c r="VVB53" s="15"/>
      <c r="VVC53" s="15"/>
      <c r="VVD53" s="15"/>
      <c r="VVE53" s="15"/>
      <c r="VVF53" s="15"/>
      <c r="VVG53" s="15"/>
      <c r="VVH53" s="15"/>
      <c r="VVI53" s="15"/>
      <c r="VVJ53" s="15"/>
      <c r="VVK53" s="15"/>
      <c r="VVL53" s="15"/>
      <c r="VVM53" s="15"/>
      <c r="VVN53" s="15"/>
      <c r="VVO53" s="15"/>
      <c r="VVP53" s="15"/>
      <c r="VVQ53" s="15"/>
      <c r="VVR53" s="15"/>
      <c r="VVS53" s="15"/>
      <c r="VVT53" s="15"/>
      <c r="VVU53" s="15"/>
      <c r="VVV53" s="15"/>
      <c r="VVW53" s="15"/>
      <c r="VVX53" s="15"/>
      <c r="VVY53" s="15"/>
      <c r="VVZ53" s="15"/>
      <c r="VWA53" s="15"/>
      <c r="VWB53" s="15"/>
      <c r="VWC53" s="15"/>
      <c r="VWD53" s="15"/>
      <c r="VWE53" s="15"/>
      <c r="VWF53" s="15"/>
      <c r="VWG53" s="15"/>
      <c r="VWH53" s="15"/>
      <c r="VWI53" s="15"/>
      <c r="VWJ53" s="15"/>
      <c r="VWK53" s="15"/>
      <c r="VWL53" s="15"/>
      <c r="VWM53" s="15"/>
      <c r="VWN53" s="15"/>
      <c r="VWO53" s="15"/>
      <c r="VWP53" s="15"/>
      <c r="VWQ53" s="15"/>
      <c r="VWR53" s="15"/>
      <c r="VWS53" s="15"/>
      <c r="VWT53" s="15"/>
      <c r="VWU53" s="15"/>
      <c r="VWV53" s="15"/>
      <c r="VWW53" s="15"/>
      <c r="VWX53" s="15"/>
      <c r="VWY53" s="15"/>
      <c r="VWZ53" s="15"/>
      <c r="VXA53" s="15"/>
      <c r="VXB53" s="15"/>
      <c r="VXC53" s="15"/>
      <c r="VXD53" s="15"/>
      <c r="VXE53" s="15"/>
      <c r="VXF53" s="15"/>
      <c r="VXG53" s="15"/>
      <c r="VXH53" s="15"/>
      <c r="VXI53" s="15"/>
      <c r="VXJ53" s="15"/>
      <c r="VXK53" s="15"/>
      <c r="VXL53" s="15"/>
      <c r="VXM53" s="15"/>
      <c r="VXN53" s="15"/>
      <c r="VXO53" s="15"/>
      <c r="VXP53" s="15"/>
      <c r="VXQ53" s="15"/>
      <c r="VXR53" s="15"/>
      <c r="VXS53" s="15"/>
      <c r="VXT53" s="15"/>
      <c r="VXU53" s="15"/>
      <c r="VXV53" s="15"/>
      <c r="VXW53" s="15"/>
      <c r="VXX53" s="15"/>
      <c r="VXY53" s="15"/>
      <c r="VXZ53" s="15"/>
      <c r="VYA53" s="15"/>
      <c r="VYB53" s="15"/>
      <c r="VYC53" s="15"/>
      <c r="VYD53" s="15"/>
      <c r="VYE53" s="15"/>
      <c r="VYF53" s="15"/>
      <c r="VYG53" s="15"/>
      <c r="VYH53" s="15"/>
      <c r="VYI53" s="15"/>
      <c r="VYJ53" s="15"/>
      <c r="VYK53" s="15"/>
      <c r="VYL53" s="15"/>
      <c r="VYM53" s="15"/>
      <c r="VYN53" s="15"/>
      <c r="VYO53" s="15"/>
      <c r="VYP53" s="15"/>
      <c r="VYQ53" s="15"/>
      <c r="VYR53" s="15"/>
      <c r="VYS53" s="15"/>
      <c r="VYT53" s="15"/>
      <c r="VYU53" s="15"/>
      <c r="VYV53" s="15"/>
      <c r="VYW53" s="15"/>
      <c r="VYX53" s="15"/>
      <c r="VYY53" s="15"/>
      <c r="VYZ53" s="15"/>
      <c r="VZA53" s="15"/>
      <c r="VZB53" s="15"/>
      <c r="VZC53" s="15"/>
      <c r="VZD53" s="15"/>
      <c r="VZE53" s="15"/>
      <c r="VZF53" s="15"/>
      <c r="VZG53" s="15"/>
      <c r="VZH53" s="15"/>
      <c r="VZI53" s="15"/>
      <c r="VZJ53" s="15"/>
      <c r="VZK53" s="15"/>
      <c r="VZL53" s="15"/>
      <c r="VZM53" s="15"/>
      <c r="VZN53" s="15"/>
      <c r="VZO53" s="15"/>
      <c r="VZP53" s="15"/>
      <c r="VZQ53" s="15"/>
      <c r="VZR53" s="15"/>
      <c r="VZS53" s="15"/>
      <c r="VZT53" s="15"/>
      <c r="VZU53" s="15"/>
      <c r="VZV53" s="15"/>
      <c r="VZW53" s="15"/>
      <c r="VZX53" s="15"/>
      <c r="VZY53" s="15"/>
      <c r="VZZ53" s="15"/>
      <c r="WAA53" s="15"/>
      <c r="WAB53" s="15"/>
      <c r="WAC53" s="15"/>
      <c r="WAD53" s="15"/>
      <c r="WAE53" s="15"/>
      <c r="WAF53" s="15"/>
      <c r="WAG53" s="15"/>
      <c r="WAH53" s="15"/>
      <c r="WAI53" s="15"/>
      <c r="WAJ53" s="15"/>
      <c r="WAK53" s="15"/>
      <c r="WAL53" s="15"/>
      <c r="WAM53" s="15"/>
      <c r="WAN53" s="15"/>
      <c r="WAO53" s="15"/>
      <c r="WAP53" s="15"/>
      <c r="WAQ53" s="15"/>
      <c r="WAR53" s="15"/>
      <c r="WAS53" s="15"/>
      <c r="WAT53" s="15"/>
      <c r="WAU53" s="15"/>
      <c r="WAV53" s="15"/>
      <c r="WAW53" s="15"/>
      <c r="WAX53" s="15"/>
      <c r="WAY53" s="15"/>
      <c r="WAZ53" s="15"/>
      <c r="WBA53" s="15"/>
      <c r="WBB53" s="15"/>
      <c r="WBC53" s="15"/>
      <c r="WBD53" s="15"/>
      <c r="WBE53" s="15"/>
      <c r="WBF53" s="15"/>
      <c r="WBG53" s="15"/>
      <c r="WBH53" s="15"/>
      <c r="WBI53" s="15"/>
      <c r="WBJ53" s="15"/>
      <c r="WBK53" s="15"/>
      <c r="WBL53" s="15"/>
      <c r="WBM53" s="15"/>
      <c r="WBN53" s="15"/>
      <c r="WBO53" s="15"/>
      <c r="WBP53" s="15"/>
      <c r="WBQ53" s="15"/>
      <c r="WBR53" s="15"/>
      <c r="WBS53" s="15"/>
      <c r="WBT53" s="15"/>
      <c r="WBU53" s="15"/>
      <c r="WBV53" s="15"/>
      <c r="WBW53" s="15"/>
      <c r="WBX53" s="15"/>
      <c r="WBY53" s="15"/>
      <c r="WBZ53" s="15"/>
      <c r="WCA53" s="15"/>
      <c r="WCB53" s="15"/>
      <c r="WCC53" s="15"/>
      <c r="WCD53" s="15"/>
      <c r="WCE53" s="15"/>
      <c r="WCF53" s="15"/>
      <c r="WCG53" s="15"/>
      <c r="WCH53" s="15"/>
      <c r="WCI53" s="15"/>
      <c r="WCJ53" s="15"/>
      <c r="WCK53" s="15"/>
      <c r="WCL53" s="15"/>
      <c r="WCM53" s="15"/>
      <c r="WCN53" s="15"/>
      <c r="WCO53" s="15"/>
      <c r="WCP53" s="15"/>
      <c r="WCQ53" s="15"/>
      <c r="WCR53" s="15"/>
      <c r="WCS53" s="15"/>
      <c r="WCT53" s="15"/>
      <c r="WCU53" s="15"/>
      <c r="WCV53" s="15"/>
      <c r="WCW53" s="15"/>
      <c r="WCX53" s="15"/>
      <c r="WCY53" s="15"/>
      <c r="WCZ53" s="15"/>
      <c r="WDA53" s="15"/>
      <c r="WDB53" s="15"/>
      <c r="WDC53" s="15"/>
      <c r="WDD53" s="15"/>
      <c r="WDE53" s="15"/>
      <c r="WDF53" s="15"/>
      <c r="WDG53" s="15"/>
      <c r="WDH53" s="15"/>
      <c r="WDI53" s="15"/>
      <c r="WDJ53" s="15"/>
      <c r="WDK53" s="15"/>
      <c r="WDL53" s="15"/>
      <c r="WDM53" s="15"/>
      <c r="WDN53" s="15"/>
      <c r="WDO53" s="15"/>
      <c r="WDP53" s="15"/>
      <c r="WDQ53" s="15"/>
      <c r="WDR53" s="15"/>
      <c r="WDS53" s="15"/>
      <c r="WDT53" s="15"/>
      <c r="WDU53" s="15"/>
      <c r="WDV53" s="15"/>
      <c r="WDW53" s="15"/>
      <c r="WDX53" s="15"/>
      <c r="WDY53" s="15"/>
      <c r="WDZ53" s="15"/>
      <c r="WEA53" s="15"/>
      <c r="WEB53" s="15"/>
      <c r="WEC53" s="15"/>
      <c r="WED53" s="15"/>
      <c r="WEE53" s="15"/>
      <c r="WEF53" s="15"/>
      <c r="WEG53" s="15"/>
      <c r="WEH53" s="15"/>
      <c r="WEI53" s="15"/>
      <c r="WEJ53" s="15"/>
      <c r="WEK53" s="15"/>
      <c r="WEL53" s="15"/>
      <c r="WEM53" s="15"/>
      <c r="WEN53" s="15"/>
      <c r="WEO53" s="15"/>
      <c r="WEP53" s="15"/>
      <c r="WEQ53" s="15"/>
      <c r="WER53" s="15"/>
      <c r="WES53" s="15"/>
      <c r="WET53" s="15"/>
      <c r="WEU53" s="15"/>
      <c r="WEV53" s="15"/>
      <c r="WEW53" s="15"/>
      <c r="WEX53" s="15"/>
      <c r="WEY53" s="15"/>
      <c r="WEZ53" s="15"/>
      <c r="WFA53" s="15"/>
      <c r="WFB53" s="15"/>
      <c r="WFC53" s="15"/>
      <c r="WFD53" s="15"/>
      <c r="WFE53" s="15"/>
      <c r="WFF53" s="15"/>
      <c r="WFG53" s="15"/>
      <c r="WFH53" s="15"/>
      <c r="WFI53" s="15"/>
      <c r="WFJ53" s="15"/>
      <c r="WFK53" s="15"/>
      <c r="WFL53" s="15"/>
      <c r="WFM53" s="15"/>
      <c r="WFN53" s="15"/>
      <c r="WFO53" s="15"/>
      <c r="WFP53" s="15"/>
      <c r="WFQ53" s="15"/>
      <c r="WFR53" s="15"/>
      <c r="WFS53" s="15"/>
      <c r="WFT53" s="15"/>
      <c r="WFU53" s="15"/>
      <c r="WFV53" s="15"/>
      <c r="WFW53" s="15"/>
      <c r="WFX53" s="15"/>
      <c r="WFY53" s="15"/>
      <c r="WFZ53" s="15"/>
      <c r="WGA53" s="15"/>
      <c r="WGB53" s="15"/>
      <c r="WGC53" s="15"/>
      <c r="WGD53" s="15"/>
      <c r="WGE53" s="15"/>
      <c r="WGF53" s="15"/>
      <c r="WGG53" s="15"/>
      <c r="WGH53" s="15"/>
      <c r="WGI53" s="15"/>
      <c r="WGJ53" s="15"/>
      <c r="WGK53" s="15"/>
      <c r="WGL53" s="15"/>
      <c r="WGM53" s="15"/>
      <c r="WGN53" s="15"/>
      <c r="WGO53" s="15"/>
      <c r="WGP53" s="15"/>
      <c r="WGQ53" s="15"/>
      <c r="WGR53" s="15"/>
      <c r="WGS53" s="15"/>
      <c r="WGT53" s="15"/>
      <c r="WGU53" s="15"/>
      <c r="WGV53" s="15"/>
      <c r="WGW53" s="15"/>
      <c r="WGX53" s="15"/>
      <c r="WGY53" s="15"/>
      <c r="WGZ53" s="15"/>
      <c r="WHA53" s="15"/>
      <c r="WHB53" s="15"/>
      <c r="WHC53" s="15"/>
      <c r="WHD53" s="15"/>
      <c r="WHE53" s="15"/>
      <c r="WHF53" s="15"/>
      <c r="WHG53" s="15"/>
      <c r="WHH53" s="15"/>
      <c r="WHI53" s="15"/>
      <c r="WHJ53" s="15"/>
      <c r="WHK53" s="15"/>
      <c r="WHL53" s="15"/>
      <c r="WHM53" s="15"/>
      <c r="WHN53" s="15"/>
      <c r="WHO53" s="15"/>
      <c r="WHP53" s="15"/>
      <c r="WHQ53" s="15"/>
      <c r="WHR53" s="15"/>
      <c r="WHS53" s="15"/>
      <c r="WHT53" s="15"/>
      <c r="WHU53" s="15"/>
      <c r="WHV53" s="15"/>
      <c r="WHW53" s="15"/>
      <c r="WHX53" s="15"/>
      <c r="WHY53" s="15"/>
      <c r="WHZ53" s="15"/>
      <c r="WIA53" s="15"/>
      <c r="WIB53" s="15"/>
      <c r="WIC53" s="15"/>
      <c r="WID53" s="15"/>
      <c r="WIE53" s="15"/>
      <c r="WIF53" s="15"/>
      <c r="WIG53" s="15"/>
      <c r="WIH53" s="15"/>
      <c r="WII53" s="15"/>
      <c r="WIJ53" s="15"/>
      <c r="WIK53" s="15"/>
      <c r="WIL53" s="15"/>
      <c r="WIM53" s="15"/>
      <c r="WIN53" s="15"/>
      <c r="WIO53" s="15"/>
      <c r="WIP53" s="15"/>
      <c r="WIQ53" s="15"/>
      <c r="WIR53" s="15"/>
      <c r="WIS53" s="15"/>
      <c r="WIT53" s="15"/>
      <c r="WIU53" s="15"/>
      <c r="WIV53" s="15"/>
      <c r="WIW53" s="15"/>
      <c r="WIX53" s="15"/>
      <c r="WIY53" s="15"/>
      <c r="WIZ53" s="15"/>
      <c r="WJA53" s="15"/>
      <c r="WJB53" s="15"/>
      <c r="WJC53" s="15"/>
      <c r="WJD53" s="15"/>
      <c r="WJE53" s="15"/>
      <c r="WJF53" s="15"/>
      <c r="WJG53" s="15"/>
      <c r="WJH53" s="15"/>
      <c r="WJI53" s="15"/>
      <c r="WJJ53" s="15"/>
      <c r="WJK53" s="15"/>
      <c r="WJL53" s="15"/>
      <c r="WJM53" s="15"/>
      <c r="WJN53" s="15"/>
      <c r="WJO53" s="15"/>
      <c r="WJP53" s="15"/>
      <c r="WJQ53" s="15"/>
      <c r="WJR53" s="15"/>
      <c r="WJS53" s="15"/>
      <c r="WJT53" s="15"/>
      <c r="WJU53" s="15"/>
      <c r="WJV53" s="15"/>
      <c r="WJW53" s="15"/>
      <c r="WJX53" s="15"/>
      <c r="WJY53" s="15"/>
      <c r="WJZ53" s="15"/>
      <c r="WKA53" s="15"/>
      <c r="WKB53" s="15"/>
      <c r="WKC53" s="15"/>
      <c r="WKD53" s="15"/>
      <c r="WKE53" s="15"/>
      <c r="WKF53" s="15"/>
      <c r="WKG53" s="15"/>
      <c r="WKH53" s="15"/>
      <c r="WKI53" s="15"/>
      <c r="WKJ53" s="15"/>
      <c r="WKK53" s="15"/>
      <c r="WKL53" s="15"/>
      <c r="WKM53" s="15"/>
      <c r="WKN53" s="15"/>
      <c r="WKO53" s="15"/>
      <c r="WKP53" s="15"/>
      <c r="WKQ53" s="15"/>
      <c r="WKR53" s="15"/>
      <c r="WKS53" s="15"/>
      <c r="WKT53" s="15"/>
      <c r="WKU53" s="15"/>
      <c r="WKV53" s="15"/>
      <c r="WKW53" s="15"/>
      <c r="WKX53" s="15"/>
      <c r="WKY53" s="15"/>
      <c r="WKZ53" s="15"/>
      <c r="WLA53" s="15"/>
      <c r="WLB53" s="15"/>
      <c r="WLC53" s="15"/>
      <c r="WLD53" s="15"/>
      <c r="WLE53" s="15"/>
      <c r="WLF53" s="15"/>
      <c r="WLG53" s="15"/>
      <c r="WLH53" s="15"/>
      <c r="WLI53" s="15"/>
      <c r="WLJ53" s="15"/>
      <c r="WLK53" s="15"/>
      <c r="WLL53" s="15"/>
      <c r="WLM53" s="15"/>
      <c r="WLN53" s="15"/>
      <c r="WLO53" s="15"/>
      <c r="WLP53" s="15"/>
      <c r="WLQ53" s="15"/>
      <c r="WLR53" s="15"/>
      <c r="WLS53" s="15"/>
      <c r="WLT53" s="15"/>
      <c r="WLU53" s="15"/>
      <c r="WLV53" s="15"/>
      <c r="WLW53" s="15"/>
      <c r="WLX53" s="15"/>
      <c r="WLY53" s="15"/>
      <c r="WLZ53" s="15"/>
      <c r="WMA53" s="15"/>
      <c r="WMB53" s="15"/>
      <c r="WMC53" s="15"/>
      <c r="WMD53" s="15"/>
      <c r="WME53" s="15"/>
      <c r="WMF53" s="15"/>
      <c r="WMG53" s="15"/>
      <c r="WMH53" s="15"/>
      <c r="WMI53" s="15"/>
      <c r="WMJ53" s="15"/>
      <c r="WMK53" s="15"/>
      <c r="WML53" s="15"/>
      <c r="WMM53" s="15"/>
      <c r="WMN53" s="15"/>
      <c r="WMO53" s="15"/>
      <c r="WMP53" s="15"/>
      <c r="WMQ53" s="15"/>
      <c r="WMR53" s="15"/>
      <c r="WMS53" s="15"/>
      <c r="WMT53" s="15"/>
      <c r="WMU53" s="15"/>
      <c r="WMV53" s="15"/>
      <c r="WMW53" s="15"/>
      <c r="WMX53" s="15"/>
      <c r="WMY53" s="15"/>
      <c r="WMZ53" s="15"/>
      <c r="WNA53" s="15"/>
      <c r="WNB53" s="15"/>
      <c r="WNC53" s="15"/>
      <c r="WND53" s="15"/>
      <c r="WNE53" s="15"/>
      <c r="WNF53" s="15"/>
      <c r="WNG53" s="15"/>
      <c r="WNH53" s="15"/>
      <c r="WNI53" s="15"/>
      <c r="WNJ53" s="15"/>
      <c r="WNK53" s="15"/>
      <c r="WNL53" s="15"/>
      <c r="WNM53" s="15"/>
      <c r="WNN53" s="15"/>
      <c r="WNO53" s="15"/>
      <c r="WNP53" s="15"/>
      <c r="WNQ53" s="15"/>
      <c r="WNR53" s="15"/>
      <c r="WNS53" s="15"/>
      <c r="WNT53" s="15"/>
      <c r="WNU53" s="15"/>
      <c r="WNV53" s="15"/>
      <c r="WNW53" s="15"/>
      <c r="WNX53" s="15"/>
      <c r="WNY53" s="15"/>
      <c r="WNZ53" s="15"/>
      <c r="WOA53" s="15"/>
      <c r="WOB53" s="15"/>
      <c r="WOC53" s="15"/>
      <c r="WOD53" s="15"/>
      <c r="WOE53" s="15"/>
      <c r="WOF53" s="15"/>
      <c r="WOG53" s="15"/>
      <c r="WOH53" s="15"/>
      <c r="WOI53" s="15"/>
      <c r="WOJ53" s="15"/>
      <c r="WOK53" s="15"/>
      <c r="WOL53" s="15"/>
      <c r="WOM53" s="15"/>
      <c r="WON53" s="15"/>
      <c r="WOO53" s="15"/>
      <c r="WOP53" s="15"/>
      <c r="WOQ53" s="15"/>
      <c r="WOR53" s="15"/>
      <c r="WOS53" s="15"/>
      <c r="WOT53" s="15"/>
      <c r="WOU53" s="15"/>
      <c r="WOV53" s="15"/>
      <c r="WOW53" s="15"/>
      <c r="WOX53" s="15"/>
      <c r="WOY53" s="15"/>
      <c r="WOZ53" s="15"/>
      <c r="WPA53" s="15"/>
      <c r="WPB53" s="15"/>
      <c r="WPC53" s="15"/>
      <c r="WPD53" s="15"/>
      <c r="WPE53" s="15"/>
      <c r="WPF53" s="15"/>
      <c r="WPG53" s="15"/>
      <c r="WPH53" s="15"/>
      <c r="WPI53" s="15"/>
      <c r="WPJ53" s="15"/>
      <c r="WPK53" s="15"/>
      <c r="WPL53" s="15"/>
      <c r="WPM53" s="15"/>
      <c r="WPN53" s="15"/>
      <c r="WPO53" s="15"/>
      <c r="WPP53" s="15"/>
      <c r="WPQ53" s="15"/>
      <c r="WPR53" s="15"/>
      <c r="WPS53" s="15"/>
      <c r="WPT53" s="15"/>
      <c r="WPU53" s="15"/>
      <c r="WPV53" s="15"/>
      <c r="WPW53" s="15"/>
      <c r="WPX53" s="15"/>
      <c r="WPY53" s="15"/>
      <c r="WPZ53" s="15"/>
      <c r="WQA53" s="15"/>
      <c r="WQB53" s="15"/>
      <c r="WQC53" s="15"/>
      <c r="WQD53" s="15"/>
      <c r="WQE53" s="15"/>
      <c r="WQF53" s="15"/>
      <c r="WQG53" s="15"/>
      <c r="WQH53" s="15"/>
      <c r="WQI53" s="15"/>
      <c r="WQJ53" s="15"/>
      <c r="WQK53" s="15"/>
      <c r="WQL53" s="15"/>
      <c r="WQM53" s="15"/>
      <c r="WQN53" s="15"/>
      <c r="WQO53" s="15"/>
      <c r="WQP53" s="15"/>
      <c r="WQQ53" s="15"/>
      <c r="WQR53" s="15"/>
      <c r="WQS53" s="15"/>
      <c r="WQT53" s="15"/>
      <c r="WQU53" s="15"/>
      <c r="WQV53" s="15"/>
      <c r="WQW53" s="15"/>
      <c r="WQX53" s="15"/>
      <c r="WQY53" s="15"/>
      <c r="WQZ53" s="15"/>
      <c r="WRA53" s="15"/>
      <c r="WRB53" s="15"/>
      <c r="WRC53" s="15"/>
      <c r="WRD53" s="15"/>
      <c r="WRE53" s="15"/>
      <c r="WRF53" s="15"/>
      <c r="WRG53" s="15"/>
      <c r="WRH53" s="15"/>
      <c r="WRI53" s="15"/>
      <c r="WRJ53" s="15"/>
      <c r="WRK53" s="15"/>
      <c r="WRL53" s="15"/>
      <c r="WRM53" s="15"/>
      <c r="WRN53" s="15"/>
      <c r="WRO53" s="15"/>
      <c r="WRP53" s="15"/>
      <c r="WRQ53" s="15"/>
      <c r="WRR53" s="15"/>
      <c r="WRS53" s="15"/>
      <c r="WRT53" s="15"/>
      <c r="WRU53" s="15"/>
      <c r="WRV53" s="15"/>
      <c r="WRW53" s="15"/>
      <c r="WRX53" s="15"/>
      <c r="WRY53" s="15"/>
      <c r="WRZ53" s="15"/>
      <c r="WSA53" s="15"/>
      <c r="WSB53" s="15"/>
      <c r="WSC53" s="15"/>
      <c r="WSD53" s="15"/>
      <c r="WSE53" s="15"/>
      <c r="WSF53" s="15"/>
      <c r="WSG53" s="15"/>
      <c r="WSH53" s="15"/>
      <c r="WSI53" s="15"/>
      <c r="WSJ53" s="15"/>
      <c r="WSK53" s="15"/>
      <c r="WSL53" s="15"/>
      <c r="WSM53" s="15"/>
      <c r="WSN53" s="15"/>
      <c r="WSO53" s="15"/>
      <c r="WSP53" s="15"/>
      <c r="WSQ53" s="15"/>
      <c r="WSR53" s="15"/>
      <c r="WSS53" s="15"/>
      <c r="WST53" s="15"/>
      <c r="WSU53" s="15"/>
      <c r="WSV53" s="15"/>
      <c r="WSW53" s="15"/>
      <c r="WSX53" s="15"/>
      <c r="WSY53" s="15"/>
      <c r="WSZ53" s="15"/>
      <c r="WTA53" s="15"/>
      <c r="WTB53" s="15"/>
      <c r="WTC53" s="15"/>
      <c r="WTD53" s="15"/>
      <c r="WTE53" s="15"/>
      <c r="WTF53" s="15"/>
      <c r="WTG53" s="15"/>
      <c r="WTH53" s="15"/>
      <c r="WTI53" s="15"/>
      <c r="WTJ53" s="15"/>
      <c r="WTK53" s="15"/>
      <c r="WTL53" s="15"/>
      <c r="WTM53" s="15"/>
      <c r="WTN53" s="15"/>
      <c r="WTO53" s="15"/>
      <c r="WTP53" s="15"/>
      <c r="WTQ53" s="15"/>
      <c r="WTR53" s="15"/>
      <c r="WTS53" s="15"/>
      <c r="WTT53" s="15"/>
      <c r="WTU53" s="15"/>
      <c r="WTV53" s="15"/>
      <c r="WTW53" s="15"/>
      <c r="WTX53" s="15"/>
      <c r="WTY53" s="15"/>
      <c r="WTZ53" s="15"/>
      <c r="WUA53" s="15"/>
      <c r="WUB53" s="15"/>
      <c r="WUC53" s="15"/>
      <c r="WUD53" s="15"/>
      <c r="WUE53" s="15"/>
      <c r="WUF53" s="15"/>
      <c r="WUG53" s="15"/>
      <c r="WUH53" s="15"/>
      <c r="WUI53" s="15"/>
      <c r="WUJ53" s="15"/>
      <c r="WUK53" s="15"/>
      <c r="WUL53" s="15"/>
      <c r="WUM53" s="15"/>
      <c r="WUN53" s="15"/>
      <c r="WUO53" s="15"/>
      <c r="WUP53" s="15"/>
      <c r="WUQ53" s="15"/>
      <c r="WUR53" s="15"/>
      <c r="WUS53" s="15"/>
      <c r="WUT53" s="15"/>
      <c r="WUU53" s="15"/>
      <c r="WUV53" s="15"/>
      <c r="WUW53" s="15"/>
      <c r="WUX53" s="15"/>
      <c r="WUY53" s="15"/>
      <c r="WUZ53" s="15"/>
      <c r="WVA53" s="15"/>
      <c r="WVB53" s="15"/>
      <c r="WVC53" s="15"/>
      <c r="WVD53" s="15"/>
      <c r="WVE53" s="15"/>
      <c r="WVF53" s="15"/>
      <c r="WVG53" s="15"/>
      <c r="WVH53" s="15"/>
      <c r="WVI53" s="15"/>
      <c r="WVJ53" s="15"/>
      <c r="WVK53" s="15"/>
      <c r="WVL53" s="15"/>
      <c r="WVM53" s="15"/>
      <c r="WVN53" s="15"/>
      <c r="WVO53" s="15"/>
      <c r="WVP53" s="15"/>
      <c r="WVQ53" s="15"/>
      <c r="WVR53" s="15"/>
      <c r="WVS53" s="15"/>
      <c r="WVT53" s="15"/>
      <c r="WVU53" s="15"/>
      <c r="WVV53" s="15"/>
      <c r="WVW53" s="15"/>
      <c r="WVX53" s="15"/>
      <c r="WVY53" s="15"/>
      <c r="WVZ53" s="15"/>
      <c r="WWA53" s="15"/>
      <c r="WWB53" s="15"/>
      <c r="WWC53" s="15"/>
      <c r="WWD53" s="15"/>
      <c r="WWE53" s="15"/>
      <c r="WWF53" s="15"/>
      <c r="WWG53" s="15"/>
      <c r="WWH53" s="15"/>
      <c r="WWI53" s="15"/>
      <c r="WWJ53" s="15"/>
      <c r="WWK53" s="15"/>
      <c r="WWL53" s="15"/>
      <c r="WWM53" s="15"/>
      <c r="WWN53" s="15"/>
      <c r="WWO53" s="15"/>
      <c r="WWP53" s="15"/>
      <c r="WWQ53" s="15"/>
      <c r="WWR53" s="15"/>
      <c r="WWS53" s="15"/>
      <c r="WWT53" s="15"/>
      <c r="WWU53" s="15"/>
      <c r="WWV53" s="15"/>
      <c r="WWW53" s="15"/>
      <c r="WWX53" s="15"/>
      <c r="WWY53" s="15"/>
      <c r="WWZ53" s="15"/>
      <c r="WXA53" s="15"/>
      <c r="WXB53" s="15"/>
      <c r="WXC53" s="15"/>
      <c r="WXD53" s="15"/>
      <c r="WXE53" s="15"/>
      <c r="WXF53" s="15"/>
      <c r="WXG53" s="15"/>
      <c r="WXH53" s="15"/>
      <c r="WXI53" s="15"/>
      <c r="WXJ53" s="15"/>
      <c r="WXK53" s="15"/>
      <c r="WXL53" s="15"/>
      <c r="WXM53" s="15"/>
      <c r="WXN53" s="15"/>
      <c r="WXO53" s="15"/>
      <c r="WXP53" s="15"/>
      <c r="WXQ53" s="15"/>
      <c r="WXR53" s="15"/>
      <c r="WXS53" s="15"/>
      <c r="WXT53" s="15"/>
      <c r="WXU53" s="15"/>
      <c r="WXV53" s="15"/>
      <c r="WXW53" s="15"/>
      <c r="WXX53" s="15"/>
      <c r="WXY53" s="15"/>
      <c r="WXZ53" s="15"/>
      <c r="WYA53" s="15"/>
      <c r="WYB53" s="15"/>
      <c r="WYC53" s="15"/>
      <c r="WYD53" s="15"/>
      <c r="WYE53" s="15"/>
      <c r="WYF53" s="15"/>
      <c r="WYG53" s="15"/>
      <c r="WYH53" s="15"/>
      <c r="WYI53" s="15"/>
      <c r="WYJ53" s="15"/>
      <c r="WYK53" s="15"/>
      <c r="WYL53" s="15"/>
      <c r="WYM53" s="15"/>
      <c r="WYN53" s="15"/>
      <c r="WYO53" s="15"/>
      <c r="WYP53" s="15"/>
      <c r="WYQ53" s="15"/>
      <c r="WYR53" s="15"/>
      <c r="WYS53" s="15"/>
      <c r="WYT53" s="15"/>
      <c r="WYU53" s="15"/>
      <c r="WYV53" s="15"/>
      <c r="WYW53" s="15"/>
      <c r="WYX53" s="15"/>
      <c r="WYY53" s="15"/>
      <c r="WYZ53" s="15"/>
      <c r="WZA53" s="15"/>
      <c r="WZB53" s="15"/>
      <c r="WZC53" s="15"/>
      <c r="WZD53" s="15"/>
      <c r="WZE53" s="15"/>
      <c r="WZF53" s="15"/>
      <c r="WZG53" s="15"/>
      <c r="WZH53" s="15"/>
      <c r="WZI53" s="15"/>
      <c r="WZJ53" s="15"/>
      <c r="WZK53" s="15"/>
      <c r="WZL53" s="15"/>
      <c r="WZM53" s="15"/>
      <c r="WZN53" s="15"/>
      <c r="WZO53" s="15"/>
      <c r="WZP53" s="15"/>
      <c r="WZQ53" s="15"/>
      <c r="WZR53" s="15"/>
      <c r="WZS53" s="15"/>
      <c r="WZT53" s="15"/>
      <c r="WZU53" s="15"/>
      <c r="WZV53" s="15"/>
      <c r="WZW53" s="15"/>
      <c r="WZX53" s="15"/>
      <c r="WZY53" s="15"/>
      <c r="WZZ53" s="15"/>
      <c r="XAA53" s="15"/>
      <c r="XAB53" s="15"/>
      <c r="XAC53" s="15"/>
      <c r="XAD53" s="15"/>
      <c r="XAE53" s="15"/>
      <c r="XAF53" s="15"/>
      <c r="XAG53" s="15"/>
      <c r="XAH53" s="15"/>
      <c r="XAI53" s="15"/>
      <c r="XAJ53" s="15"/>
      <c r="XAK53" s="15"/>
      <c r="XAL53" s="15"/>
      <c r="XAM53" s="15"/>
      <c r="XAN53" s="15"/>
      <c r="XAO53" s="15"/>
      <c r="XAP53" s="15"/>
      <c r="XAQ53" s="15"/>
      <c r="XAR53" s="15"/>
      <c r="XAS53" s="15"/>
      <c r="XAT53" s="15"/>
      <c r="XAU53" s="15"/>
      <c r="XAV53" s="15"/>
      <c r="XAW53" s="15"/>
      <c r="XAX53" s="15"/>
      <c r="XAY53" s="15"/>
      <c r="XAZ53" s="15"/>
      <c r="XBA53" s="15"/>
      <c r="XBB53" s="15"/>
      <c r="XBC53" s="15"/>
      <c r="XBD53" s="15"/>
      <c r="XBE53" s="15"/>
      <c r="XBF53" s="15"/>
      <c r="XBG53" s="15"/>
      <c r="XBH53" s="15"/>
      <c r="XBI53" s="15"/>
      <c r="XBJ53" s="15"/>
      <c r="XBK53" s="15"/>
      <c r="XBL53" s="15"/>
      <c r="XBM53" s="15"/>
      <c r="XBN53" s="15"/>
      <c r="XBO53" s="15"/>
      <c r="XBP53" s="15"/>
      <c r="XBQ53" s="15"/>
      <c r="XBR53" s="15"/>
      <c r="XBS53" s="15"/>
      <c r="XBT53" s="15"/>
      <c r="XBU53" s="15"/>
      <c r="XBV53" s="15"/>
      <c r="XBW53" s="15"/>
      <c r="XBX53" s="15"/>
      <c r="XBY53" s="15"/>
      <c r="XBZ53" s="15"/>
      <c r="XCA53" s="15"/>
      <c r="XCB53" s="15"/>
      <c r="XCC53" s="15"/>
      <c r="XCD53" s="15"/>
      <c r="XCE53" s="15"/>
      <c r="XCF53" s="15"/>
      <c r="XCG53" s="15"/>
      <c r="XCH53" s="15"/>
      <c r="XCI53" s="15"/>
      <c r="XCJ53" s="15"/>
      <c r="XCK53" s="15"/>
      <c r="XCL53" s="15"/>
      <c r="XCM53" s="15"/>
      <c r="XCN53" s="15"/>
      <c r="XCO53" s="15"/>
      <c r="XCP53" s="15"/>
      <c r="XCQ53" s="15"/>
      <c r="XCR53" s="15"/>
      <c r="XCS53" s="15"/>
      <c r="XCT53" s="15"/>
      <c r="XCU53" s="15"/>
      <c r="XCV53" s="15"/>
      <c r="XCW53" s="15"/>
      <c r="XCX53" s="15"/>
      <c r="XCY53" s="15"/>
      <c r="XCZ53" s="15"/>
      <c r="XDA53" s="15"/>
      <c r="XDB53" s="15"/>
      <c r="XDC53" s="15"/>
      <c r="XDD53" s="15"/>
      <c r="XDE53" s="15"/>
      <c r="XDF53" s="15"/>
      <c r="XDG53" s="15"/>
      <c r="XDH53" s="15"/>
      <c r="XDI53" s="15"/>
      <c r="XDJ53" s="15"/>
      <c r="XDK53" s="15"/>
      <c r="XDL53" s="15"/>
      <c r="XDM53" s="15"/>
      <c r="XDN53" s="15"/>
      <c r="XDO53" s="15"/>
      <c r="XDP53" s="15"/>
      <c r="XDQ53" s="15"/>
      <c r="XDR53" s="15"/>
      <c r="XDS53" s="15"/>
      <c r="XDT53" s="15"/>
      <c r="XDU53" s="15"/>
      <c r="XDV53" s="15"/>
      <c r="XDW53" s="15"/>
      <c r="XDX53" s="15"/>
      <c r="XDY53" s="15"/>
      <c r="XDZ53" s="15"/>
      <c r="XEA53" s="15"/>
      <c r="XEB53" s="15"/>
      <c r="XEC53" s="15"/>
      <c r="XED53" s="15"/>
      <c r="XEE53" s="15"/>
      <c r="XEF53" s="15"/>
      <c r="XEG53" s="15"/>
      <c r="XEH53" s="15"/>
      <c r="XEI53" s="15"/>
      <c r="XEJ53" s="15"/>
      <c r="XEK53" s="15"/>
      <c r="XEL53" s="15"/>
      <c r="XEM53" s="15"/>
      <c r="XEN53" s="15"/>
      <c r="XEO53" s="15"/>
      <c r="XEP53" s="15"/>
      <c r="XEQ53" s="15"/>
      <c r="XER53" s="15"/>
      <c r="XES53" s="15"/>
      <c r="XET53" s="15"/>
      <c r="XEU53" s="15"/>
      <c r="XEV53" s="15"/>
      <c r="XEW53" s="15"/>
      <c r="XEX53" s="15"/>
      <c r="XEY53" s="15"/>
      <c r="XEZ53" s="15"/>
      <c r="XFA53" s="15"/>
      <c r="XFB53" s="15"/>
      <c r="XFC53" s="15"/>
    </row>
    <row r="54" spans="2:16383" s="15" customFormat="1">
      <c r="B54" s="116" t="s">
        <v>27</v>
      </c>
      <c r="D54" s="117" t="str">
        <f t="shared" ref="D54:M54" ca="1" si="4">IFERROR(IF(C53&lt;0,"na",D53/C53-1),"na")</f>
        <v>na</v>
      </c>
      <c r="E54" s="117" t="str">
        <f t="shared" ca="1" si="4"/>
        <v>na</v>
      </c>
      <c r="F54" s="117" t="str">
        <f t="shared" ca="1" si="4"/>
        <v>na</v>
      </c>
      <c r="G54" s="117" t="str">
        <f t="shared" ca="1" si="4"/>
        <v>na</v>
      </c>
      <c r="H54" s="117" t="str">
        <f t="shared" ca="1" si="4"/>
        <v>na</v>
      </c>
      <c r="I54" s="117" t="str">
        <f t="shared" ca="1" si="4"/>
        <v>na</v>
      </c>
      <c r="J54" s="117">
        <f t="shared" ca="1" si="4"/>
        <v>1.395518667890765</v>
      </c>
      <c r="K54" s="117">
        <f t="shared" ca="1" si="4"/>
        <v>0.59134444480540527</v>
      </c>
      <c r="L54" s="117">
        <f t="shared" ca="1" si="4"/>
        <v>0.36236969371950578</v>
      </c>
      <c r="M54" s="117">
        <f t="shared" ca="1" si="4"/>
        <v>4.4999999999999929E-2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  <c r="DM54"/>
      <c r="DN54"/>
      <c r="DO54"/>
      <c r="DP54"/>
      <c r="DQ54"/>
      <c r="DR54"/>
      <c r="DS54"/>
      <c r="DT54"/>
      <c r="DU54"/>
      <c r="DV54"/>
      <c r="DW54"/>
      <c r="DX54"/>
      <c r="DY54"/>
      <c r="DZ54"/>
      <c r="EA54"/>
      <c r="EB54"/>
      <c r="EC54"/>
      <c r="ED54"/>
      <c r="EE54"/>
      <c r="EF54"/>
      <c r="EG54"/>
      <c r="EH54"/>
      <c r="EI54"/>
      <c r="EJ54"/>
      <c r="EK54"/>
      <c r="EL54"/>
      <c r="EM54"/>
      <c r="EN54"/>
      <c r="EO54"/>
      <c r="EP54"/>
      <c r="EQ54"/>
      <c r="ER54"/>
      <c r="ES54"/>
      <c r="ET54"/>
      <c r="EU54"/>
      <c r="EV54"/>
      <c r="EW54"/>
      <c r="EX54"/>
      <c r="EY54"/>
      <c r="EZ54"/>
      <c r="FA54"/>
      <c r="FB54"/>
      <c r="FC54"/>
      <c r="FD54"/>
      <c r="FE54"/>
      <c r="FF54"/>
      <c r="FG54"/>
      <c r="FH54"/>
      <c r="FI54"/>
      <c r="FJ54"/>
      <c r="FK54"/>
      <c r="FL54"/>
      <c r="FM54"/>
      <c r="FN54"/>
      <c r="FO54"/>
      <c r="FP54"/>
      <c r="FQ54"/>
      <c r="FR54"/>
      <c r="FS54"/>
      <c r="FT54"/>
      <c r="FU54"/>
      <c r="FV54"/>
      <c r="FW54"/>
      <c r="FX54"/>
      <c r="FY54"/>
      <c r="FZ54"/>
      <c r="GA54"/>
      <c r="GB54"/>
      <c r="GC54"/>
      <c r="GD54"/>
      <c r="GE54"/>
      <c r="GF54"/>
      <c r="GG54"/>
      <c r="GH54"/>
      <c r="GI54"/>
      <c r="GJ54"/>
      <c r="GK54"/>
      <c r="GL54"/>
      <c r="GM54"/>
      <c r="GN54"/>
      <c r="GO54"/>
      <c r="GP54"/>
      <c r="GQ54"/>
      <c r="GR54"/>
      <c r="GS54"/>
      <c r="GT54"/>
      <c r="GU54"/>
      <c r="GV54"/>
      <c r="GW54"/>
      <c r="GX54"/>
      <c r="GY54"/>
      <c r="GZ54"/>
      <c r="HA54"/>
      <c r="HB54"/>
      <c r="HC54"/>
      <c r="HD54"/>
      <c r="HE54"/>
      <c r="HF54"/>
      <c r="HG54"/>
      <c r="HH54"/>
      <c r="HI54"/>
      <c r="HJ54"/>
      <c r="HK54"/>
      <c r="HL54"/>
      <c r="HM54"/>
      <c r="HN54"/>
      <c r="HO54"/>
      <c r="HP54"/>
      <c r="HQ54"/>
      <c r="HR54"/>
      <c r="HS54"/>
      <c r="HT54"/>
      <c r="HU54"/>
      <c r="HV54"/>
      <c r="HW54"/>
      <c r="HX54"/>
      <c r="HY54"/>
      <c r="HZ54"/>
      <c r="IA54"/>
      <c r="IB54"/>
      <c r="IC54"/>
      <c r="ID54"/>
      <c r="IE54"/>
      <c r="IF54"/>
      <c r="IG54"/>
      <c r="IH54"/>
      <c r="II54"/>
      <c r="IJ54"/>
      <c r="IK54"/>
      <c r="IL54"/>
      <c r="IM54"/>
      <c r="IN54"/>
      <c r="IO54"/>
      <c r="IP54"/>
      <c r="IQ54"/>
      <c r="IR54"/>
      <c r="IS54"/>
      <c r="IT54"/>
      <c r="IU54"/>
      <c r="IV54"/>
      <c r="IW54"/>
      <c r="IX54"/>
      <c r="IY54"/>
      <c r="IZ54"/>
      <c r="JA54"/>
      <c r="JB54"/>
      <c r="JC54"/>
      <c r="JD54"/>
      <c r="JE54"/>
      <c r="JF54"/>
      <c r="JG54"/>
      <c r="JH54"/>
      <c r="JI54"/>
      <c r="JJ54"/>
      <c r="JK54"/>
      <c r="JL54"/>
      <c r="JM54"/>
      <c r="JN54"/>
      <c r="JO54"/>
      <c r="JP54"/>
      <c r="JQ54"/>
      <c r="JR54"/>
      <c r="JS54"/>
      <c r="JT54"/>
      <c r="JU54"/>
      <c r="JV54"/>
      <c r="JW54"/>
      <c r="JX54"/>
      <c r="JY54"/>
      <c r="JZ54"/>
      <c r="KA54"/>
      <c r="KB54"/>
      <c r="KC54"/>
      <c r="KD54"/>
      <c r="KE54"/>
      <c r="KF54"/>
      <c r="KG54"/>
      <c r="KH54"/>
      <c r="KI54"/>
      <c r="KJ54"/>
      <c r="KK54"/>
      <c r="KL54"/>
      <c r="KM54"/>
      <c r="KN54"/>
      <c r="KO54"/>
      <c r="KP54"/>
      <c r="KQ54"/>
      <c r="KR54"/>
      <c r="KS54"/>
      <c r="KT54"/>
      <c r="KU54"/>
      <c r="KV54"/>
      <c r="KW54"/>
      <c r="KX54"/>
      <c r="KY54"/>
      <c r="KZ54"/>
      <c r="LA54"/>
      <c r="LB54"/>
      <c r="LC54"/>
      <c r="LD54"/>
      <c r="LE54"/>
      <c r="LF54"/>
      <c r="LG54"/>
      <c r="LH54"/>
      <c r="LI54"/>
      <c r="LJ54"/>
      <c r="LK54"/>
      <c r="LL54"/>
      <c r="LM54"/>
      <c r="LN54"/>
      <c r="LO54"/>
      <c r="LP54"/>
      <c r="LQ54"/>
      <c r="LR54"/>
      <c r="LS54"/>
      <c r="LT54"/>
      <c r="LU54"/>
      <c r="LV54"/>
      <c r="LW54"/>
      <c r="LX54"/>
      <c r="LY54"/>
      <c r="LZ54"/>
      <c r="MA54"/>
      <c r="MB54"/>
      <c r="MC54"/>
      <c r="MD54"/>
      <c r="ME54"/>
      <c r="MF54"/>
      <c r="MG54"/>
      <c r="MH54"/>
      <c r="MI54"/>
      <c r="MJ54"/>
      <c r="MK54"/>
      <c r="ML54"/>
      <c r="MM54"/>
      <c r="MN54"/>
      <c r="MO54"/>
      <c r="MP54"/>
      <c r="MQ54"/>
      <c r="MR54"/>
      <c r="MS54"/>
      <c r="MT54"/>
      <c r="MU54"/>
      <c r="MV54"/>
      <c r="MW54"/>
      <c r="MX54"/>
      <c r="MY54"/>
      <c r="MZ54"/>
      <c r="NA54"/>
      <c r="NB54"/>
      <c r="NC54"/>
      <c r="ND54"/>
      <c r="NE54"/>
      <c r="NF54"/>
      <c r="NG54"/>
      <c r="NH54"/>
      <c r="NI54"/>
      <c r="NJ54"/>
      <c r="NK54"/>
      <c r="NL54"/>
      <c r="NM54"/>
      <c r="NN54"/>
      <c r="NO54"/>
      <c r="NP54"/>
      <c r="NQ54"/>
      <c r="NR54"/>
      <c r="NS54"/>
      <c r="NT54"/>
      <c r="NU54"/>
      <c r="NV54"/>
      <c r="NW54"/>
      <c r="NX54"/>
      <c r="NY54"/>
      <c r="NZ54"/>
      <c r="OA54"/>
      <c r="OB54"/>
      <c r="OC54"/>
      <c r="OD54"/>
      <c r="OE54"/>
      <c r="OF54"/>
      <c r="OG54"/>
      <c r="OH54"/>
      <c r="OI54"/>
      <c r="OJ54"/>
      <c r="OK54"/>
      <c r="OL54"/>
      <c r="OM54"/>
      <c r="ON54"/>
      <c r="OO54"/>
      <c r="OP54"/>
      <c r="OQ54"/>
      <c r="OR54"/>
      <c r="OS54"/>
      <c r="OT54"/>
      <c r="OU54"/>
      <c r="OV54"/>
      <c r="OW54"/>
      <c r="OX54"/>
      <c r="OY54"/>
      <c r="OZ54"/>
      <c r="PA54"/>
      <c r="PB54"/>
      <c r="PC54"/>
      <c r="PD54"/>
      <c r="PE54"/>
      <c r="PF54"/>
      <c r="PG54"/>
      <c r="PH54"/>
      <c r="PI54"/>
      <c r="PJ54"/>
      <c r="PK54"/>
      <c r="PL54"/>
      <c r="PM54"/>
      <c r="PN54"/>
      <c r="PO54"/>
      <c r="PP54"/>
      <c r="PQ54"/>
      <c r="PR54"/>
      <c r="PS54"/>
      <c r="PT54"/>
      <c r="PU54"/>
      <c r="PV54"/>
      <c r="PW54"/>
      <c r="PX54"/>
      <c r="PY54"/>
      <c r="PZ54"/>
      <c r="QA54"/>
      <c r="QB54"/>
      <c r="QC54"/>
      <c r="QD54"/>
      <c r="QE54"/>
      <c r="QF54"/>
      <c r="QG54"/>
      <c r="QH54"/>
      <c r="QI54"/>
      <c r="QJ54"/>
      <c r="QK54"/>
      <c r="QL54"/>
      <c r="QM54"/>
      <c r="QN54"/>
      <c r="QO54"/>
      <c r="QP54"/>
      <c r="QQ54"/>
      <c r="QR54"/>
      <c r="QS54"/>
      <c r="QT54"/>
      <c r="QU54"/>
      <c r="QV54"/>
      <c r="QW54"/>
      <c r="QX54"/>
      <c r="QY54"/>
      <c r="QZ54"/>
      <c r="RA54"/>
      <c r="RB54"/>
      <c r="RC54"/>
      <c r="RD54"/>
      <c r="RE54"/>
      <c r="RF54"/>
      <c r="RG54"/>
      <c r="RH54"/>
      <c r="RI54"/>
      <c r="RJ54"/>
      <c r="RK54"/>
      <c r="RL54"/>
      <c r="RM54"/>
      <c r="RN54"/>
      <c r="RO54"/>
      <c r="RP54"/>
      <c r="RQ54"/>
      <c r="RR54"/>
      <c r="RS54"/>
      <c r="RT54"/>
      <c r="RU54"/>
      <c r="RV54"/>
      <c r="RW54"/>
      <c r="RX54"/>
      <c r="RY54"/>
      <c r="RZ54"/>
      <c r="SA54"/>
      <c r="SB54"/>
      <c r="SC54"/>
      <c r="SD54"/>
      <c r="SE54"/>
      <c r="SF54"/>
      <c r="SG54"/>
      <c r="SH54"/>
      <c r="SI54"/>
      <c r="SJ54"/>
      <c r="SK54"/>
      <c r="SL54"/>
      <c r="SM54"/>
      <c r="SN54"/>
      <c r="SO54"/>
      <c r="SP54"/>
      <c r="SQ54"/>
      <c r="SR54"/>
      <c r="SS54"/>
      <c r="ST54"/>
      <c r="SU54"/>
      <c r="SV54"/>
      <c r="SW54"/>
      <c r="SX54"/>
      <c r="SY54"/>
      <c r="SZ54"/>
      <c r="TA54"/>
      <c r="TB54"/>
      <c r="TC54"/>
      <c r="TD54"/>
      <c r="TE54"/>
      <c r="TF54"/>
      <c r="TG54"/>
      <c r="TH54"/>
      <c r="TI54"/>
      <c r="TJ54"/>
      <c r="TK54"/>
      <c r="TL54"/>
      <c r="TM54"/>
      <c r="TN54"/>
      <c r="TO54"/>
      <c r="TP54"/>
      <c r="TQ54"/>
      <c r="TR54"/>
      <c r="TS54"/>
      <c r="TT54"/>
      <c r="TU54"/>
      <c r="TV54"/>
      <c r="TW54"/>
      <c r="TX54"/>
      <c r="TY54"/>
      <c r="TZ54"/>
      <c r="UA54"/>
      <c r="UB54"/>
      <c r="UC54"/>
      <c r="UD54"/>
      <c r="UE54"/>
      <c r="UF54"/>
      <c r="UG54"/>
      <c r="UH54"/>
      <c r="UI54"/>
      <c r="UJ54"/>
      <c r="UK54"/>
      <c r="UL54"/>
      <c r="UM54"/>
      <c r="UN54"/>
      <c r="UO54"/>
      <c r="UP54"/>
      <c r="UQ54"/>
      <c r="UR54"/>
      <c r="US54"/>
      <c r="UT54"/>
      <c r="UU54"/>
      <c r="UV54"/>
      <c r="UW54"/>
      <c r="UX54"/>
      <c r="UY54"/>
      <c r="UZ54"/>
      <c r="VA54"/>
      <c r="VB54"/>
      <c r="VC54"/>
      <c r="VD54"/>
      <c r="VE54"/>
      <c r="VF54"/>
      <c r="VG54"/>
      <c r="VH54"/>
      <c r="VI54"/>
      <c r="VJ54"/>
      <c r="VK54"/>
      <c r="VL54"/>
      <c r="VM54"/>
      <c r="VN54"/>
      <c r="VO54"/>
      <c r="VP54"/>
      <c r="VQ54"/>
      <c r="VR54"/>
      <c r="VS54"/>
      <c r="VT54"/>
      <c r="VU54"/>
      <c r="VV54"/>
      <c r="VW54"/>
      <c r="VX54"/>
      <c r="VY54"/>
      <c r="VZ54"/>
      <c r="WA54"/>
      <c r="WB54"/>
      <c r="WC54"/>
      <c r="WD54"/>
      <c r="WE54"/>
      <c r="WF54"/>
      <c r="WG54"/>
      <c r="WH54"/>
      <c r="WI54"/>
      <c r="WJ54"/>
      <c r="WK54"/>
      <c r="WL54"/>
      <c r="WM54"/>
      <c r="WN54"/>
      <c r="WO54"/>
      <c r="WP54"/>
      <c r="WQ54"/>
      <c r="WR54"/>
      <c r="WS54"/>
      <c r="WT54"/>
      <c r="WU54"/>
      <c r="WV54"/>
      <c r="WW54"/>
      <c r="WX54"/>
      <c r="WY54"/>
      <c r="WZ54"/>
      <c r="XA54"/>
      <c r="XB54"/>
      <c r="XC54"/>
      <c r="XD54"/>
      <c r="XE54"/>
      <c r="XF54"/>
      <c r="XG54"/>
      <c r="XH54"/>
      <c r="XI54"/>
      <c r="XJ54"/>
      <c r="XK54"/>
      <c r="XL54"/>
      <c r="XM54"/>
      <c r="XN54"/>
      <c r="XO54"/>
      <c r="XP54"/>
      <c r="XQ54"/>
      <c r="XR54"/>
      <c r="XS54"/>
      <c r="XT54"/>
      <c r="XU54"/>
      <c r="XV54"/>
      <c r="XW54"/>
      <c r="XX54"/>
      <c r="XY54"/>
      <c r="XZ54"/>
      <c r="YA54"/>
      <c r="YB54"/>
      <c r="YC54"/>
      <c r="YD54"/>
      <c r="YE54"/>
      <c r="YF54"/>
      <c r="YG54"/>
      <c r="YH54"/>
      <c r="YI54"/>
      <c r="YJ54"/>
      <c r="YK54"/>
      <c r="YL54"/>
      <c r="YM54"/>
      <c r="YN54"/>
      <c r="YO54"/>
      <c r="YP54"/>
      <c r="YQ54"/>
      <c r="YR54"/>
      <c r="YS54"/>
      <c r="YT54"/>
      <c r="YU54"/>
      <c r="YV54"/>
      <c r="YW54"/>
      <c r="YX54"/>
      <c r="YY54"/>
      <c r="YZ54"/>
      <c r="ZA54"/>
      <c r="ZB54"/>
      <c r="ZC54"/>
      <c r="ZD54"/>
      <c r="ZE54"/>
      <c r="ZF54"/>
      <c r="ZG54"/>
      <c r="ZH54"/>
      <c r="ZI54"/>
      <c r="ZJ54"/>
      <c r="ZK54"/>
      <c r="ZL54"/>
      <c r="ZM54"/>
      <c r="ZN54"/>
      <c r="ZO54"/>
      <c r="ZP54"/>
      <c r="ZQ54"/>
      <c r="ZR54"/>
      <c r="ZS54"/>
      <c r="ZT54"/>
      <c r="ZU54"/>
      <c r="ZV54"/>
      <c r="ZW54"/>
      <c r="ZX54"/>
      <c r="ZY54"/>
      <c r="ZZ54"/>
      <c r="AAA54"/>
      <c r="AAB54"/>
      <c r="AAC54"/>
      <c r="AAD54"/>
      <c r="AAE54"/>
      <c r="AAF54"/>
      <c r="AAG54"/>
      <c r="AAH54"/>
      <c r="AAI54"/>
      <c r="AAJ54"/>
      <c r="AAK54"/>
      <c r="AAL54"/>
      <c r="AAM54"/>
      <c r="AAN54"/>
      <c r="AAO54"/>
      <c r="AAP54"/>
      <c r="AAQ54"/>
      <c r="AAR54"/>
      <c r="AAS54"/>
      <c r="AAT54"/>
      <c r="AAU54"/>
      <c r="AAV54"/>
      <c r="AAW54"/>
      <c r="AAX54"/>
      <c r="AAY54"/>
      <c r="AAZ54"/>
      <c r="ABA54"/>
      <c r="ABB54"/>
      <c r="ABC54"/>
      <c r="ABD54"/>
      <c r="ABE54"/>
      <c r="ABF54"/>
      <c r="ABG54"/>
      <c r="ABH54"/>
      <c r="ABI54"/>
      <c r="ABJ54"/>
      <c r="ABK54"/>
      <c r="ABL54"/>
      <c r="ABM54"/>
      <c r="ABN54"/>
      <c r="ABO54"/>
      <c r="ABP54"/>
      <c r="ABQ54"/>
      <c r="ABR54"/>
      <c r="ABS54"/>
      <c r="ABT54"/>
      <c r="ABU54"/>
      <c r="ABV54"/>
      <c r="ABW54"/>
      <c r="ABX54"/>
      <c r="ABY54"/>
      <c r="ABZ54"/>
      <c r="ACA54"/>
      <c r="ACB54"/>
      <c r="ACC54"/>
      <c r="ACD54"/>
      <c r="ACE54"/>
      <c r="ACF54"/>
      <c r="ACG54"/>
      <c r="ACH54"/>
      <c r="ACI54"/>
      <c r="ACJ54"/>
      <c r="ACK54"/>
      <c r="ACL54"/>
      <c r="ACM54"/>
      <c r="ACN54"/>
      <c r="ACO54"/>
      <c r="ACP54"/>
      <c r="ACQ54"/>
      <c r="ACR54"/>
      <c r="ACS54"/>
      <c r="ACT54"/>
      <c r="ACU54"/>
      <c r="ACV54"/>
      <c r="ACW54"/>
      <c r="ACX54"/>
      <c r="ACY54"/>
      <c r="ACZ54"/>
      <c r="ADA54"/>
      <c r="ADB54"/>
      <c r="ADC54"/>
      <c r="ADD54"/>
      <c r="ADE54"/>
      <c r="ADF54"/>
      <c r="ADG54"/>
      <c r="ADH54"/>
      <c r="ADI54"/>
      <c r="ADJ54"/>
      <c r="ADK54"/>
      <c r="ADL54"/>
      <c r="ADM54"/>
      <c r="ADN54"/>
      <c r="ADO54"/>
      <c r="ADP54"/>
      <c r="ADQ54"/>
      <c r="ADR54"/>
      <c r="ADS54"/>
      <c r="ADT54"/>
      <c r="ADU54"/>
      <c r="ADV54"/>
      <c r="ADW54"/>
      <c r="ADX54"/>
      <c r="ADY54"/>
      <c r="ADZ54"/>
      <c r="AEA54"/>
      <c r="AEB54"/>
      <c r="AEC54"/>
      <c r="AED54"/>
      <c r="AEE54"/>
      <c r="AEF54"/>
      <c r="AEG54"/>
      <c r="AEH54"/>
      <c r="AEI54"/>
      <c r="AEJ54"/>
      <c r="AEK54"/>
      <c r="AEL54"/>
      <c r="AEM54"/>
      <c r="AEN54"/>
      <c r="AEO54"/>
      <c r="AEP54"/>
      <c r="AEQ54"/>
      <c r="AER54"/>
      <c r="AES54"/>
      <c r="AET54"/>
      <c r="AEU54"/>
      <c r="AEV54"/>
      <c r="AEW54"/>
      <c r="AEX54"/>
      <c r="AEY54"/>
      <c r="AEZ54"/>
      <c r="AFA54"/>
      <c r="AFB54"/>
      <c r="AFC54"/>
      <c r="AFD54"/>
      <c r="AFE54"/>
      <c r="AFF54"/>
      <c r="AFG54"/>
      <c r="AFH54"/>
      <c r="AFI54"/>
      <c r="AFJ54"/>
      <c r="AFK54"/>
      <c r="AFL54"/>
      <c r="AFM54"/>
      <c r="AFN54"/>
      <c r="AFO54"/>
      <c r="AFP54"/>
      <c r="AFQ54"/>
      <c r="AFR54"/>
      <c r="AFS54"/>
      <c r="AFT54"/>
      <c r="AFU54"/>
      <c r="AFV54"/>
      <c r="AFW54"/>
      <c r="AFX54"/>
      <c r="AFY54"/>
      <c r="AFZ54"/>
      <c r="AGA54"/>
      <c r="AGB54"/>
      <c r="AGC54"/>
      <c r="AGD54"/>
      <c r="AGE54"/>
      <c r="AGF54"/>
      <c r="AGG54"/>
      <c r="AGH54"/>
      <c r="AGI54"/>
      <c r="AGJ54"/>
      <c r="AGK54"/>
      <c r="AGL54"/>
      <c r="AGM54"/>
      <c r="AGN54"/>
      <c r="AGO54"/>
      <c r="AGP54"/>
      <c r="AGQ54"/>
      <c r="AGR54"/>
      <c r="AGS54"/>
      <c r="AGT54"/>
      <c r="AGU54"/>
      <c r="AGV54"/>
      <c r="AGW54"/>
      <c r="AGX54"/>
      <c r="AGY54"/>
      <c r="AGZ54"/>
      <c r="AHA54"/>
      <c r="AHB54"/>
      <c r="AHC54"/>
      <c r="AHD54"/>
      <c r="AHE54"/>
      <c r="AHF54"/>
      <c r="AHG54"/>
      <c r="AHH54"/>
      <c r="AHI54"/>
      <c r="AHJ54"/>
      <c r="AHK54"/>
      <c r="AHL54"/>
      <c r="AHM54"/>
      <c r="AHN54"/>
      <c r="AHO54"/>
      <c r="AHP54"/>
      <c r="AHQ54"/>
      <c r="AHR54"/>
      <c r="AHS54"/>
      <c r="AHT54"/>
      <c r="AHU54"/>
      <c r="AHV54"/>
      <c r="AHW54"/>
      <c r="AHX54"/>
      <c r="AHY54"/>
      <c r="AHZ54"/>
      <c r="AIA54"/>
      <c r="AIB54"/>
      <c r="AIC54"/>
      <c r="AID54"/>
      <c r="AIE54"/>
      <c r="AIF54"/>
      <c r="AIG54"/>
      <c r="AIH54"/>
      <c r="AII54"/>
      <c r="AIJ54"/>
      <c r="AIK54"/>
      <c r="AIL54"/>
      <c r="AIM54"/>
      <c r="AIN54"/>
      <c r="AIO54"/>
      <c r="AIP54"/>
      <c r="AIQ54"/>
      <c r="AIR54"/>
      <c r="AIS54"/>
      <c r="AIT54"/>
      <c r="AIU54"/>
      <c r="AIV54"/>
      <c r="AIW54"/>
      <c r="AIX54"/>
      <c r="AIY54"/>
      <c r="AIZ54"/>
      <c r="AJA54"/>
      <c r="AJB54"/>
      <c r="AJC54"/>
      <c r="AJD54"/>
      <c r="AJE54"/>
      <c r="AJF54"/>
      <c r="AJG54"/>
      <c r="AJH54"/>
      <c r="AJI54"/>
      <c r="AJJ54"/>
      <c r="AJK54"/>
      <c r="AJL54"/>
      <c r="AJM54"/>
      <c r="AJN54"/>
      <c r="AJO54"/>
      <c r="AJP54"/>
      <c r="AJQ54"/>
      <c r="AJR54"/>
      <c r="AJS54"/>
      <c r="AJT54"/>
      <c r="AJU54"/>
      <c r="AJV54"/>
      <c r="AJW54"/>
      <c r="AJX54"/>
      <c r="AJY54"/>
      <c r="AJZ54"/>
      <c r="AKA54"/>
      <c r="AKB54"/>
      <c r="AKC54"/>
      <c r="AKD54"/>
      <c r="AKE54"/>
      <c r="AKF54"/>
      <c r="AKG54"/>
      <c r="AKH54"/>
      <c r="AKI54"/>
      <c r="AKJ54"/>
      <c r="AKK54"/>
      <c r="AKL54"/>
      <c r="AKM54"/>
      <c r="AKN54"/>
      <c r="AKO54"/>
      <c r="AKP54"/>
      <c r="AKQ54"/>
      <c r="AKR54"/>
      <c r="AKS54"/>
      <c r="AKT54"/>
      <c r="AKU54"/>
      <c r="AKV54"/>
      <c r="AKW54"/>
      <c r="AKX54"/>
      <c r="AKY54"/>
      <c r="AKZ54"/>
      <c r="ALA54"/>
      <c r="ALB54"/>
      <c r="ALC54"/>
      <c r="ALD54"/>
      <c r="ALE54"/>
      <c r="ALF54"/>
      <c r="ALG54"/>
      <c r="ALH54"/>
      <c r="ALI54"/>
      <c r="ALJ54"/>
      <c r="ALK54"/>
      <c r="ALL54"/>
      <c r="ALM54"/>
      <c r="ALN54"/>
      <c r="ALO54"/>
      <c r="ALP54"/>
      <c r="ALQ54"/>
      <c r="ALR54"/>
      <c r="ALS54"/>
      <c r="ALT54"/>
      <c r="ALU54"/>
      <c r="ALV54"/>
      <c r="ALW54"/>
      <c r="ALX54"/>
      <c r="ALY54"/>
      <c r="ALZ54"/>
      <c r="AMA54"/>
      <c r="AMB54"/>
      <c r="AMC54"/>
      <c r="AMD54"/>
      <c r="AME54"/>
      <c r="AMF54"/>
      <c r="AMG54"/>
      <c r="AMH54"/>
      <c r="AMI54"/>
      <c r="AMJ54"/>
      <c r="AMK54"/>
      <c r="AML54"/>
      <c r="AMM54"/>
      <c r="AMN54"/>
      <c r="AMO54"/>
      <c r="AMP54"/>
      <c r="AMQ54"/>
      <c r="AMR54"/>
      <c r="AMS54"/>
      <c r="AMT54"/>
      <c r="AMU54"/>
      <c r="AMV54"/>
      <c r="AMW54"/>
      <c r="AMX54"/>
      <c r="AMY54"/>
      <c r="AMZ54"/>
      <c r="ANA54"/>
      <c r="ANB54"/>
      <c r="ANC54"/>
      <c r="AND54"/>
      <c r="ANE54"/>
      <c r="ANF54"/>
      <c r="ANG54"/>
      <c r="ANH54"/>
      <c r="ANI54"/>
      <c r="ANJ54"/>
      <c r="ANK54"/>
      <c r="ANL54"/>
      <c r="ANM54"/>
      <c r="ANN54"/>
      <c r="ANO54"/>
      <c r="ANP54"/>
      <c r="ANQ54"/>
      <c r="ANR54"/>
      <c r="ANS54"/>
      <c r="ANT54"/>
      <c r="ANU54"/>
      <c r="ANV54"/>
      <c r="ANW54"/>
      <c r="ANX54"/>
      <c r="ANY54"/>
      <c r="ANZ54"/>
      <c r="AOA54"/>
      <c r="AOB54"/>
      <c r="AOC54"/>
      <c r="AOD54"/>
      <c r="AOE54"/>
      <c r="AOF54"/>
      <c r="AOG54"/>
      <c r="AOH54"/>
      <c r="AOI54"/>
      <c r="AOJ54"/>
      <c r="AOK54"/>
      <c r="AOL54"/>
      <c r="AOM54"/>
      <c r="AON54"/>
      <c r="AOO54"/>
      <c r="AOP54"/>
      <c r="AOQ54"/>
      <c r="AOR54"/>
      <c r="AOS54"/>
      <c r="AOT54"/>
      <c r="AOU54"/>
      <c r="AOV54"/>
      <c r="AOW54"/>
      <c r="AOX54"/>
      <c r="AOY54"/>
      <c r="AOZ54"/>
      <c r="APA54"/>
      <c r="APB54"/>
      <c r="APC54"/>
      <c r="APD54"/>
      <c r="APE54"/>
      <c r="APF54"/>
      <c r="APG54"/>
      <c r="APH54"/>
      <c r="API54"/>
      <c r="APJ54"/>
      <c r="APK54"/>
      <c r="APL54"/>
      <c r="APM54"/>
      <c r="APN54"/>
      <c r="APO54"/>
      <c r="APP54"/>
      <c r="APQ54"/>
      <c r="APR54"/>
      <c r="APS54"/>
      <c r="APT54"/>
      <c r="APU54"/>
      <c r="APV54"/>
      <c r="APW54"/>
      <c r="APX54"/>
      <c r="APY54"/>
      <c r="APZ54"/>
      <c r="AQA54"/>
      <c r="AQB54"/>
      <c r="AQC54"/>
      <c r="AQD54"/>
      <c r="AQE54"/>
      <c r="AQF54"/>
      <c r="AQG54"/>
      <c r="AQH54"/>
      <c r="AQI54"/>
      <c r="AQJ54"/>
      <c r="AQK54"/>
      <c r="AQL54"/>
      <c r="AQM54"/>
      <c r="AQN54"/>
      <c r="AQO54"/>
      <c r="AQP54"/>
      <c r="AQQ54"/>
      <c r="AQR54"/>
      <c r="AQS54"/>
      <c r="AQT54"/>
      <c r="AQU54"/>
      <c r="AQV54"/>
      <c r="AQW54"/>
      <c r="AQX54"/>
      <c r="AQY54"/>
      <c r="AQZ54"/>
      <c r="ARA54"/>
      <c r="ARB54"/>
      <c r="ARC54"/>
      <c r="ARD54"/>
      <c r="ARE54"/>
      <c r="ARF54"/>
      <c r="ARG54"/>
      <c r="ARH54"/>
      <c r="ARI54"/>
      <c r="ARJ54"/>
      <c r="ARK54"/>
      <c r="ARL54"/>
      <c r="ARM54"/>
      <c r="ARN54"/>
      <c r="ARO54"/>
      <c r="ARP54"/>
      <c r="ARQ54"/>
      <c r="ARR54"/>
      <c r="ARS54"/>
      <c r="ART54"/>
      <c r="ARU54"/>
      <c r="ARV54"/>
      <c r="ARW54"/>
      <c r="ARX54"/>
      <c r="ARY54"/>
      <c r="ARZ54"/>
      <c r="ASA54"/>
      <c r="ASB54"/>
      <c r="ASC54"/>
      <c r="ASD54"/>
      <c r="ASE54"/>
      <c r="ASF54"/>
      <c r="ASG54"/>
      <c r="ASH54"/>
      <c r="ASI54"/>
      <c r="ASJ54"/>
      <c r="ASK54"/>
      <c r="ASL54"/>
      <c r="ASM54"/>
      <c r="ASN54"/>
      <c r="ASO54"/>
      <c r="ASP54"/>
      <c r="ASQ54"/>
      <c r="ASR54"/>
      <c r="ASS54"/>
      <c r="AST54"/>
      <c r="ASU54"/>
      <c r="ASV54"/>
      <c r="ASW54"/>
      <c r="ASX54"/>
      <c r="ASY54"/>
      <c r="ASZ54"/>
      <c r="ATA54"/>
      <c r="ATB54"/>
      <c r="ATC54"/>
      <c r="ATD54"/>
      <c r="ATE54"/>
      <c r="ATF54"/>
      <c r="ATG54"/>
      <c r="ATH54"/>
      <c r="ATI54"/>
      <c r="ATJ54"/>
      <c r="ATK54"/>
      <c r="ATL54"/>
      <c r="ATM54"/>
      <c r="ATN54"/>
      <c r="ATO54"/>
      <c r="ATP54"/>
      <c r="ATQ54"/>
      <c r="ATR54"/>
      <c r="ATS54"/>
      <c r="ATT54"/>
      <c r="ATU54"/>
      <c r="ATV54"/>
      <c r="ATW54"/>
      <c r="ATX54"/>
      <c r="ATY54"/>
      <c r="ATZ54"/>
      <c r="AUA54"/>
      <c r="AUB54"/>
      <c r="AUC54"/>
      <c r="AUD54"/>
      <c r="AUE54"/>
      <c r="AUF54"/>
      <c r="AUG54"/>
      <c r="AUH54"/>
      <c r="AUI54"/>
      <c r="AUJ54"/>
      <c r="AUK54"/>
      <c r="AUL54"/>
      <c r="AUM54"/>
      <c r="AUN54"/>
      <c r="AUO54"/>
      <c r="AUP54"/>
      <c r="AUQ54"/>
      <c r="AUR54"/>
      <c r="AUS54"/>
      <c r="AUT54"/>
      <c r="AUU54"/>
      <c r="AUV54"/>
      <c r="AUW54"/>
      <c r="AUX54"/>
      <c r="AUY54"/>
      <c r="AUZ54"/>
      <c r="AVA54"/>
      <c r="AVB54"/>
      <c r="AVC54"/>
      <c r="AVD54"/>
      <c r="AVE54"/>
      <c r="AVF54"/>
      <c r="AVG54"/>
      <c r="AVH54"/>
      <c r="AVI54"/>
      <c r="AVJ54"/>
      <c r="AVK54"/>
      <c r="AVL54"/>
      <c r="AVM54"/>
      <c r="AVN54"/>
      <c r="AVO54"/>
      <c r="AVP54"/>
      <c r="AVQ54"/>
      <c r="AVR54"/>
      <c r="AVS54"/>
      <c r="AVT54"/>
      <c r="AVU54"/>
      <c r="AVV54"/>
      <c r="AVW54"/>
      <c r="AVX54"/>
      <c r="AVY54"/>
      <c r="AVZ54"/>
      <c r="AWA54"/>
      <c r="AWB54"/>
      <c r="AWC54"/>
      <c r="AWD54"/>
      <c r="AWE54"/>
      <c r="AWF54"/>
      <c r="AWG54"/>
      <c r="AWH54"/>
      <c r="AWI54"/>
      <c r="AWJ54"/>
      <c r="AWK54"/>
      <c r="AWL54"/>
      <c r="AWM54"/>
      <c r="AWN54"/>
      <c r="AWO54"/>
      <c r="AWP54"/>
      <c r="AWQ54"/>
      <c r="AWR54"/>
      <c r="AWS54"/>
      <c r="AWT54"/>
      <c r="AWU54"/>
      <c r="AWV54"/>
      <c r="AWW54"/>
      <c r="AWX54"/>
      <c r="AWY54"/>
      <c r="AWZ54"/>
      <c r="AXA54"/>
      <c r="AXB54"/>
      <c r="AXC54"/>
      <c r="AXD54"/>
      <c r="AXE54"/>
      <c r="AXF54"/>
      <c r="AXG54"/>
      <c r="AXH54"/>
      <c r="AXI54"/>
      <c r="AXJ54"/>
      <c r="AXK54"/>
      <c r="AXL54"/>
      <c r="AXM54"/>
      <c r="AXN54"/>
      <c r="AXO54"/>
      <c r="AXP54"/>
      <c r="AXQ54"/>
      <c r="AXR54"/>
      <c r="AXS54"/>
      <c r="AXT54"/>
      <c r="AXU54"/>
      <c r="AXV54"/>
      <c r="AXW54"/>
      <c r="AXX54"/>
      <c r="AXY54"/>
      <c r="AXZ54"/>
      <c r="AYA54"/>
      <c r="AYB54"/>
      <c r="AYC54"/>
      <c r="AYD54"/>
      <c r="AYE54"/>
      <c r="AYF54"/>
      <c r="AYG54"/>
      <c r="AYH54"/>
      <c r="AYI54"/>
      <c r="AYJ54"/>
      <c r="AYK54"/>
      <c r="AYL54"/>
      <c r="AYM54"/>
      <c r="AYN54"/>
      <c r="AYO54"/>
      <c r="AYP54"/>
      <c r="AYQ54"/>
      <c r="AYR54"/>
      <c r="AYS54"/>
      <c r="AYT54"/>
      <c r="AYU54"/>
      <c r="AYV54"/>
      <c r="AYW54"/>
      <c r="AYX54"/>
      <c r="AYY54"/>
      <c r="AYZ54"/>
      <c r="AZA54"/>
      <c r="AZB54"/>
      <c r="AZC54"/>
      <c r="AZD54"/>
      <c r="AZE54"/>
      <c r="AZF54"/>
      <c r="AZG54"/>
      <c r="AZH54"/>
      <c r="AZI54"/>
      <c r="AZJ54"/>
      <c r="AZK54"/>
      <c r="AZL54"/>
      <c r="AZM54"/>
      <c r="AZN54"/>
      <c r="AZO54"/>
      <c r="AZP54"/>
      <c r="AZQ54"/>
      <c r="AZR54"/>
      <c r="AZS54"/>
      <c r="AZT54"/>
      <c r="AZU54"/>
      <c r="AZV54"/>
      <c r="AZW54"/>
      <c r="AZX54"/>
      <c r="AZY54"/>
      <c r="AZZ54"/>
      <c r="BAA54"/>
      <c r="BAB54"/>
      <c r="BAC54"/>
      <c r="BAD54"/>
      <c r="BAE54"/>
      <c r="BAF54"/>
      <c r="BAG54"/>
      <c r="BAH54"/>
      <c r="BAI54"/>
      <c r="BAJ54"/>
      <c r="BAK54"/>
      <c r="BAL54"/>
      <c r="BAM54"/>
      <c r="BAN54"/>
      <c r="BAO54"/>
      <c r="BAP54"/>
      <c r="BAQ54"/>
      <c r="BAR54"/>
      <c r="BAS54"/>
      <c r="BAT54"/>
      <c r="BAU54"/>
      <c r="BAV54"/>
      <c r="BAW54"/>
      <c r="BAX54"/>
      <c r="BAY54"/>
      <c r="BAZ54"/>
      <c r="BBA54"/>
      <c r="BBB54"/>
      <c r="BBC54"/>
      <c r="BBD54"/>
      <c r="BBE54"/>
      <c r="BBF54"/>
      <c r="BBG54"/>
      <c r="BBH54"/>
      <c r="BBI54"/>
      <c r="BBJ54"/>
      <c r="BBK54"/>
      <c r="BBL54"/>
      <c r="BBM54"/>
      <c r="BBN54"/>
      <c r="BBO54"/>
      <c r="BBP54"/>
      <c r="BBQ54"/>
      <c r="BBR54"/>
      <c r="BBS54"/>
      <c r="BBT54"/>
      <c r="BBU54"/>
      <c r="BBV54"/>
      <c r="BBW54"/>
      <c r="BBX54"/>
      <c r="BBY54"/>
      <c r="BBZ54"/>
      <c r="BCA54"/>
      <c r="BCB54"/>
      <c r="BCC54"/>
      <c r="BCD54"/>
      <c r="BCE54"/>
      <c r="BCF54"/>
      <c r="BCG54"/>
      <c r="BCH54"/>
      <c r="BCI54"/>
      <c r="BCJ54"/>
      <c r="BCK54"/>
      <c r="BCL54"/>
      <c r="BCM54"/>
      <c r="BCN54"/>
      <c r="BCO54"/>
      <c r="BCP54"/>
      <c r="BCQ54"/>
      <c r="BCR54"/>
      <c r="BCS54"/>
      <c r="BCT54"/>
      <c r="BCU54"/>
      <c r="BCV54"/>
      <c r="BCW54"/>
      <c r="BCX54"/>
      <c r="BCY54"/>
      <c r="BCZ54"/>
      <c r="BDA54"/>
      <c r="BDB54"/>
      <c r="BDC54"/>
      <c r="BDD54"/>
      <c r="BDE54"/>
      <c r="BDF54"/>
      <c r="BDG54"/>
      <c r="BDH54"/>
      <c r="BDI54"/>
      <c r="BDJ54"/>
      <c r="BDK54"/>
      <c r="BDL54"/>
      <c r="BDM54"/>
      <c r="BDN54"/>
      <c r="BDO54"/>
      <c r="BDP54"/>
      <c r="BDQ54"/>
      <c r="BDR54"/>
      <c r="BDS54"/>
      <c r="BDT54"/>
      <c r="BDU54"/>
      <c r="BDV54"/>
      <c r="BDW54"/>
      <c r="BDX54"/>
      <c r="BDY54"/>
      <c r="BDZ54"/>
      <c r="BEA54"/>
      <c r="BEB54"/>
      <c r="BEC54"/>
      <c r="BED54"/>
      <c r="BEE54"/>
      <c r="BEF54"/>
      <c r="BEG54"/>
      <c r="BEH54"/>
      <c r="BEI54"/>
      <c r="BEJ54"/>
      <c r="BEK54"/>
      <c r="BEL54"/>
      <c r="BEM54"/>
      <c r="BEN54"/>
      <c r="BEO54"/>
      <c r="BEP54"/>
      <c r="BEQ54"/>
      <c r="BER54"/>
      <c r="BES54"/>
      <c r="BET54"/>
      <c r="BEU54"/>
      <c r="BEV54"/>
      <c r="BEW54"/>
      <c r="BEX54"/>
      <c r="BEY54"/>
      <c r="BEZ54"/>
      <c r="BFA54"/>
      <c r="BFB54"/>
      <c r="BFC54"/>
      <c r="BFD54"/>
      <c r="BFE54"/>
      <c r="BFF54"/>
      <c r="BFG54"/>
      <c r="BFH54"/>
      <c r="BFI54"/>
      <c r="BFJ54"/>
      <c r="BFK54"/>
      <c r="BFL54"/>
      <c r="BFM54"/>
      <c r="BFN54"/>
      <c r="BFO54"/>
      <c r="BFP54"/>
      <c r="BFQ54"/>
      <c r="BFR54"/>
      <c r="BFS54"/>
      <c r="BFT54"/>
      <c r="BFU54"/>
      <c r="BFV54"/>
      <c r="BFW54"/>
      <c r="BFX54"/>
      <c r="BFY54"/>
      <c r="BFZ54"/>
      <c r="BGA54"/>
      <c r="BGB54"/>
      <c r="BGC54"/>
      <c r="BGD54"/>
      <c r="BGE54"/>
      <c r="BGF54"/>
      <c r="BGG54"/>
      <c r="BGH54"/>
      <c r="BGI54"/>
      <c r="BGJ54"/>
      <c r="BGK54"/>
      <c r="BGL54"/>
      <c r="BGM54"/>
      <c r="BGN54"/>
      <c r="BGO54"/>
      <c r="BGP54"/>
      <c r="BGQ54"/>
      <c r="BGR54"/>
      <c r="BGS54"/>
      <c r="BGT54"/>
      <c r="BGU54"/>
      <c r="BGV54"/>
      <c r="BGW54"/>
      <c r="BGX54"/>
      <c r="BGY54"/>
      <c r="BGZ54"/>
      <c r="BHA54"/>
      <c r="BHB54"/>
      <c r="BHC54"/>
      <c r="BHD54"/>
      <c r="BHE54"/>
      <c r="BHF54"/>
      <c r="BHG54"/>
      <c r="BHH54"/>
      <c r="BHI54"/>
      <c r="BHJ54"/>
      <c r="BHK54"/>
      <c r="BHL54"/>
      <c r="BHM54"/>
      <c r="BHN54"/>
      <c r="BHO54"/>
      <c r="BHP54"/>
      <c r="BHQ54"/>
      <c r="BHR54"/>
      <c r="BHS54"/>
      <c r="BHT54"/>
      <c r="BHU54"/>
      <c r="BHV54"/>
      <c r="BHW54"/>
      <c r="BHX54"/>
      <c r="BHY54"/>
      <c r="BHZ54"/>
      <c r="BIA54"/>
      <c r="BIB54"/>
      <c r="BIC54"/>
      <c r="BID54"/>
      <c r="BIE54"/>
      <c r="BIF54"/>
      <c r="BIG54"/>
      <c r="BIH54"/>
      <c r="BII54"/>
      <c r="BIJ54"/>
      <c r="BIK54"/>
      <c r="BIL54"/>
      <c r="BIM54"/>
      <c r="BIN54"/>
      <c r="BIO54"/>
      <c r="BIP54"/>
      <c r="BIQ54"/>
      <c r="BIR54"/>
      <c r="BIS54"/>
      <c r="BIT54"/>
      <c r="BIU54"/>
      <c r="BIV54"/>
      <c r="BIW54"/>
      <c r="BIX54"/>
      <c r="BIY54"/>
      <c r="BIZ54"/>
      <c r="BJA54"/>
      <c r="BJB54"/>
      <c r="BJC54"/>
      <c r="BJD54"/>
      <c r="BJE54"/>
      <c r="BJF54"/>
      <c r="BJG54"/>
      <c r="BJH54"/>
      <c r="BJI54"/>
      <c r="BJJ54"/>
      <c r="BJK54"/>
      <c r="BJL54"/>
      <c r="BJM54"/>
      <c r="BJN54"/>
      <c r="BJO54"/>
      <c r="BJP54"/>
      <c r="BJQ54"/>
      <c r="BJR54"/>
      <c r="BJS54"/>
      <c r="BJT54"/>
      <c r="BJU54"/>
      <c r="BJV54"/>
      <c r="BJW54"/>
      <c r="BJX54"/>
      <c r="BJY54"/>
      <c r="BJZ54"/>
      <c r="BKA54"/>
      <c r="BKB54"/>
      <c r="BKC54"/>
      <c r="BKD54"/>
      <c r="BKE54"/>
      <c r="BKF54"/>
      <c r="BKG54"/>
      <c r="BKH54"/>
      <c r="BKI54"/>
      <c r="BKJ54"/>
      <c r="BKK54"/>
      <c r="BKL54"/>
      <c r="BKM54"/>
      <c r="BKN54"/>
      <c r="BKO54"/>
      <c r="BKP54"/>
      <c r="BKQ54"/>
      <c r="BKR54"/>
      <c r="BKS54"/>
      <c r="BKT54"/>
      <c r="BKU54"/>
      <c r="BKV54"/>
      <c r="BKW54"/>
      <c r="BKX54"/>
      <c r="BKY54"/>
      <c r="BKZ54"/>
      <c r="BLA54"/>
      <c r="BLB54"/>
      <c r="BLC54"/>
      <c r="BLD54"/>
      <c r="BLE54"/>
      <c r="BLF54"/>
      <c r="BLG54"/>
      <c r="BLH54"/>
      <c r="BLI54"/>
      <c r="BLJ54"/>
      <c r="BLK54"/>
      <c r="BLL54"/>
      <c r="BLM54"/>
      <c r="BLN54"/>
      <c r="BLO54"/>
      <c r="BLP54"/>
      <c r="BLQ54"/>
      <c r="BLR54"/>
      <c r="BLS54"/>
      <c r="BLT54"/>
      <c r="BLU54"/>
      <c r="BLV54"/>
      <c r="BLW54"/>
      <c r="BLX54"/>
      <c r="BLY54"/>
      <c r="BLZ54"/>
      <c r="BMA54"/>
      <c r="BMB54"/>
      <c r="BMC54"/>
      <c r="BMD54"/>
      <c r="BME54"/>
      <c r="BMF54"/>
      <c r="BMG54"/>
      <c r="BMH54"/>
      <c r="BMI54"/>
      <c r="BMJ54"/>
      <c r="BMK54"/>
      <c r="BML54"/>
      <c r="BMM54"/>
      <c r="BMN54"/>
      <c r="BMO54"/>
      <c r="BMP54"/>
      <c r="BMQ54"/>
      <c r="BMR54"/>
      <c r="BMS54"/>
      <c r="BMT54"/>
      <c r="BMU54"/>
      <c r="BMV54"/>
      <c r="BMW54"/>
      <c r="BMX54"/>
      <c r="BMY54"/>
      <c r="BMZ54"/>
      <c r="BNA54"/>
      <c r="BNB54"/>
      <c r="BNC54"/>
      <c r="BND54"/>
      <c r="BNE54"/>
      <c r="BNF54"/>
      <c r="BNG54"/>
      <c r="BNH54"/>
      <c r="BNI54"/>
      <c r="BNJ54"/>
      <c r="BNK54"/>
      <c r="BNL54"/>
      <c r="BNM54"/>
      <c r="BNN54"/>
      <c r="BNO54"/>
      <c r="BNP54"/>
      <c r="BNQ54"/>
      <c r="BNR54"/>
      <c r="BNS54"/>
      <c r="BNT54"/>
      <c r="BNU54"/>
      <c r="BNV54"/>
      <c r="BNW54"/>
      <c r="BNX54"/>
      <c r="BNY54"/>
      <c r="BNZ54"/>
      <c r="BOA54"/>
      <c r="BOB54"/>
      <c r="BOC54"/>
      <c r="BOD54"/>
      <c r="BOE54"/>
      <c r="BOF54"/>
      <c r="BOG54"/>
      <c r="BOH54"/>
      <c r="BOI54"/>
      <c r="BOJ54"/>
      <c r="BOK54"/>
      <c r="BOL54"/>
      <c r="BOM54"/>
      <c r="BON54"/>
      <c r="BOO54"/>
      <c r="BOP54"/>
      <c r="BOQ54"/>
      <c r="BOR54"/>
      <c r="BOS54"/>
      <c r="BOT54"/>
      <c r="BOU54"/>
      <c r="BOV54"/>
      <c r="BOW54"/>
      <c r="BOX54"/>
      <c r="BOY54"/>
      <c r="BOZ54"/>
      <c r="BPA54"/>
      <c r="BPB54"/>
      <c r="BPC54"/>
      <c r="BPD54"/>
      <c r="BPE54"/>
      <c r="BPF54"/>
      <c r="BPG54"/>
      <c r="BPH54"/>
      <c r="BPI54"/>
      <c r="BPJ54"/>
      <c r="BPK54"/>
      <c r="BPL54"/>
      <c r="BPM54"/>
      <c r="BPN54"/>
      <c r="BPO54"/>
      <c r="BPP54"/>
      <c r="BPQ54"/>
      <c r="BPR54"/>
      <c r="BPS54"/>
      <c r="BPT54"/>
      <c r="BPU54"/>
      <c r="BPV54"/>
      <c r="BPW54"/>
      <c r="BPX54"/>
      <c r="BPY54"/>
      <c r="BPZ54"/>
      <c r="BQA54"/>
      <c r="BQB54"/>
      <c r="BQC54"/>
      <c r="BQD54"/>
      <c r="BQE54"/>
      <c r="BQF54"/>
      <c r="BQG54"/>
      <c r="BQH54"/>
      <c r="BQI54"/>
      <c r="BQJ54"/>
      <c r="BQK54"/>
      <c r="BQL54"/>
      <c r="BQM54"/>
      <c r="BQN54"/>
      <c r="BQO54"/>
      <c r="BQP54"/>
      <c r="BQQ54"/>
      <c r="BQR54"/>
      <c r="BQS54"/>
      <c r="BQT54"/>
      <c r="BQU54"/>
      <c r="BQV54"/>
      <c r="BQW54"/>
      <c r="BQX54"/>
      <c r="BQY54"/>
      <c r="BQZ54"/>
      <c r="BRA54"/>
      <c r="BRB54"/>
      <c r="BRC54"/>
      <c r="BRD54"/>
      <c r="BRE54"/>
      <c r="BRF54"/>
      <c r="BRG54"/>
      <c r="BRH54"/>
      <c r="BRI54"/>
      <c r="BRJ54"/>
      <c r="BRK54"/>
      <c r="BRL54"/>
      <c r="BRM54"/>
      <c r="BRN54"/>
      <c r="BRO54"/>
      <c r="BRP54"/>
      <c r="BRQ54"/>
      <c r="BRR54"/>
      <c r="BRS54"/>
      <c r="BRT54"/>
      <c r="BRU54"/>
      <c r="BRV54"/>
      <c r="BRW54"/>
      <c r="BRX54"/>
      <c r="BRY54"/>
      <c r="BRZ54"/>
      <c r="BSA54"/>
      <c r="BSB54"/>
      <c r="BSC54"/>
      <c r="BSD54"/>
      <c r="BSE54"/>
      <c r="BSF54"/>
      <c r="BSG54"/>
      <c r="BSH54"/>
      <c r="BSI54"/>
      <c r="BSJ54"/>
      <c r="BSK54"/>
      <c r="BSL54"/>
      <c r="BSM54"/>
      <c r="BSN54"/>
      <c r="BSO54"/>
      <c r="BSP54"/>
      <c r="BSQ54"/>
      <c r="BSR54"/>
      <c r="BSS54"/>
      <c r="BST54"/>
      <c r="BSU54"/>
      <c r="BSV54"/>
      <c r="BSW54"/>
      <c r="BSX54"/>
      <c r="BSY54"/>
      <c r="BSZ54"/>
      <c r="BTA54"/>
      <c r="BTB54"/>
      <c r="BTC54"/>
      <c r="BTD54"/>
      <c r="BTE54"/>
      <c r="BTF54"/>
      <c r="BTG54"/>
      <c r="BTH54"/>
      <c r="BTI54"/>
      <c r="BTJ54"/>
      <c r="BTK54"/>
      <c r="BTL54"/>
      <c r="BTM54"/>
      <c r="BTN54"/>
      <c r="BTO54"/>
      <c r="BTP54"/>
      <c r="BTQ54"/>
      <c r="BTR54"/>
      <c r="BTS54"/>
      <c r="BTT54"/>
      <c r="BTU54"/>
      <c r="BTV54"/>
      <c r="BTW54"/>
      <c r="BTX54"/>
      <c r="BTY54"/>
      <c r="BTZ54"/>
      <c r="BUA54"/>
      <c r="BUB54"/>
      <c r="BUC54"/>
      <c r="BUD54"/>
      <c r="BUE54"/>
      <c r="BUF54"/>
      <c r="BUG54"/>
      <c r="BUH54"/>
      <c r="BUI54"/>
      <c r="BUJ54"/>
      <c r="BUK54"/>
      <c r="BUL54"/>
      <c r="BUM54"/>
      <c r="BUN54"/>
      <c r="BUO54"/>
      <c r="BUP54"/>
      <c r="BUQ54"/>
      <c r="BUR54"/>
      <c r="BUS54"/>
      <c r="BUT54"/>
      <c r="BUU54"/>
      <c r="BUV54"/>
      <c r="BUW54"/>
      <c r="BUX54"/>
      <c r="BUY54"/>
      <c r="BUZ54"/>
      <c r="BVA54"/>
      <c r="BVB54"/>
      <c r="BVC54"/>
      <c r="BVD54"/>
      <c r="BVE54"/>
      <c r="BVF54"/>
      <c r="BVG54"/>
      <c r="BVH54"/>
      <c r="BVI54"/>
      <c r="BVJ54"/>
      <c r="BVK54"/>
      <c r="BVL54"/>
      <c r="BVM54"/>
      <c r="BVN54"/>
      <c r="BVO54"/>
      <c r="BVP54"/>
      <c r="BVQ54"/>
      <c r="BVR54"/>
      <c r="BVS54"/>
      <c r="BVT54"/>
      <c r="BVU54"/>
      <c r="BVV54"/>
      <c r="BVW54"/>
      <c r="BVX54"/>
      <c r="BVY54"/>
      <c r="BVZ54"/>
      <c r="BWA54"/>
      <c r="BWB54"/>
      <c r="BWC54"/>
      <c r="BWD54"/>
      <c r="BWE54"/>
      <c r="BWF54"/>
      <c r="BWG54"/>
      <c r="BWH54"/>
      <c r="BWI54"/>
      <c r="BWJ54"/>
      <c r="BWK54"/>
      <c r="BWL54"/>
      <c r="BWM54"/>
      <c r="BWN54"/>
      <c r="BWO54"/>
      <c r="BWP54"/>
      <c r="BWQ54"/>
      <c r="BWR54"/>
      <c r="BWS54"/>
      <c r="BWT54"/>
      <c r="BWU54"/>
      <c r="BWV54"/>
      <c r="BWW54"/>
      <c r="BWX54"/>
      <c r="BWY54"/>
      <c r="BWZ54"/>
      <c r="BXA54"/>
      <c r="BXB54"/>
      <c r="BXC54"/>
      <c r="BXD54"/>
      <c r="BXE54"/>
      <c r="BXF54"/>
      <c r="BXG54"/>
      <c r="BXH54"/>
      <c r="BXI54"/>
      <c r="BXJ54"/>
      <c r="BXK54"/>
      <c r="BXL54"/>
      <c r="BXM54"/>
      <c r="BXN54"/>
      <c r="BXO54"/>
      <c r="BXP54"/>
      <c r="BXQ54"/>
      <c r="BXR54"/>
      <c r="BXS54"/>
      <c r="BXT54"/>
      <c r="BXU54"/>
      <c r="BXV54"/>
      <c r="BXW54"/>
      <c r="BXX54"/>
      <c r="BXY54"/>
      <c r="BXZ54"/>
      <c r="BYA54"/>
      <c r="BYB54"/>
      <c r="BYC54"/>
      <c r="BYD54"/>
      <c r="BYE54"/>
      <c r="BYF54"/>
      <c r="BYG54"/>
      <c r="BYH54"/>
      <c r="BYI54"/>
      <c r="BYJ54"/>
      <c r="BYK54"/>
      <c r="BYL54"/>
      <c r="BYM54"/>
      <c r="BYN54"/>
      <c r="BYO54"/>
      <c r="BYP54"/>
      <c r="BYQ54"/>
      <c r="BYR54"/>
      <c r="BYS54"/>
      <c r="BYT54"/>
      <c r="BYU54"/>
      <c r="BYV54"/>
      <c r="BYW54"/>
      <c r="BYX54"/>
      <c r="BYY54"/>
      <c r="BYZ54"/>
      <c r="BZA54"/>
      <c r="BZB54"/>
      <c r="BZC54"/>
      <c r="BZD54"/>
      <c r="BZE54"/>
      <c r="BZF54"/>
      <c r="BZG54"/>
      <c r="BZH54"/>
      <c r="BZI54"/>
      <c r="BZJ54"/>
      <c r="BZK54"/>
      <c r="BZL54"/>
      <c r="BZM54"/>
      <c r="BZN54"/>
      <c r="BZO54"/>
      <c r="BZP54"/>
      <c r="BZQ54"/>
      <c r="BZR54"/>
      <c r="BZS54"/>
      <c r="BZT54"/>
      <c r="BZU54"/>
      <c r="BZV54"/>
      <c r="BZW54"/>
      <c r="BZX54"/>
      <c r="BZY54"/>
      <c r="BZZ54"/>
      <c r="CAA54"/>
      <c r="CAB54"/>
      <c r="CAC54"/>
      <c r="CAD54"/>
      <c r="CAE54"/>
      <c r="CAF54"/>
      <c r="CAG54"/>
      <c r="CAH54"/>
      <c r="CAI54"/>
      <c r="CAJ54"/>
      <c r="CAK54"/>
      <c r="CAL54"/>
      <c r="CAM54"/>
      <c r="CAN54"/>
      <c r="CAO54"/>
      <c r="CAP54"/>
      <c r="CAQ54"/>
      <c r="CAR54"/>
      <c r="CAS54"/>
      <c r="CAT54"/>
      <c r="CAU54"/>
      <c r="CAV54"/>
      <c r="CAW54"/>
      <c r="CAX54"/>
      <c r="CAY54"/>
      <c r="CAZ54"/>
      <c r="CBA54"/>
      <c r="CBB54"/>
      <c r="CBC54"/>
      <c r="CBD54"/>
      <c r="CBE54"/>
      <c r="CBF54"/>
      <c r="CBG54"/>
      <c r="CBH54"/>
      <c r="CBI54"/>
      <c r="CBJ54"/>
      <c r="CBK54"/>
      <c r="CBL54"/>
      <c r="CBM54"/>
      <c r="CBN54"/>
      <c r="CBO54"/>
      <c r="CBP54"/>
      <c r="CBQ54"/>
      <c r="CBR54"/>
      <c r="CBS54"/>
      <c r="CBT54"/>
      <c r="CBU54"/>
      <c r="CBV54"/>
      <c r="CBW54"/>
      <c r="CBX54"/>
      <c r="CBY54"/>
      <c r="CBZ54"/>
      <c r="CCA54"/>
      <c r="CCB54"/>
      <c r="CCC54"/>
      <c r="CCD54"/>
      <c r="CCE54"/>
      <c r="CCF54"/>
      <c r="CCG54"/>
      <c r="CCH54"/>
      <c r="CCI54"/>
      <c r="CCJ54"/>
      <c r="CCK54"/>
      <c r="CCL54"/>
      <c r="CCM54"/>
      <c r="CCN54"/>
      <c r="CCO54"/>
      <c r="CCP54"/>
      <c r="CCQ54"/>
      <c r="CCR54"/>
      <c r="CCS54"/>
      <c r="CCT54"/>
      <c r="CCU54"/>
      <c r="CCV54"/>
      <c r="CCW54"/>
      <c r="CCX54"/>
      <c r="CCY54"/>
      <c r="CCZ54"/>
      <c r="CDA54"/>
      <c r="CDB54"/>
      <c r="CDC54"/>
      <c r="CDD54"/>
      <c r="CDE54"/>
      <c r="CDF54"/>
      <c r="CDG54"/>
      <c r="CDH54"/>
      <c r="CDI54"/>
      <c r="CDJ54"/>
      <c r="CDK54"/>
      <c r="CDL54"/>
      <c r="CDM54"/>
      <c r="CDN54"/>
      <c r="CDO54"/>
      <c r="CDP54"/>
      <c r="CDQ54"/>
      <c r="CDR54"/>
      <c r="CDS54"/>
      <c r="CDT54"/>
      <c r="CDU54"/>
      <c r="CDV54"/>
      <c r="CDW54"/>
      <c r="CDX54"/>
      <c r="CDY54"/>
      <c r="CDZ54"/>
      <c r="CEA54"/>
      <c r="CEB54"/>
      <c r="CEC54"/>
      <c r="CED54"/>
      <c r="CEE54"/>
      <c r="CEF54"/>
      <c r="CEG54"/>
      <c r="CEH54"/>
      <c r="CEI54"/>
      <c r="CEJ54"/>
      <c r="CEK54"/>
      <c r="CEL54"/>
      <c r="CEM54"/>
      <c r="CEN54"/>
      <c r="CEO54"/>
      <c r="CEP54"/>
      <c r="CEQ54"/>
      <c r="CER54"/>
      <c r="CES54"/>
      <c r="CET54"/>
      <c r="CEU54"/>
      <c r="CEV54"/>
      <c r="CEW54"/>
      <c r="CEX54"/>
      <c r="CEY54"/>
      <c r="CEZ54"/>
      <c r="CFA54"/>
      <c r="CFB54"/>
      <c r="CFC54"/>
      <c r="CFD54"/>
      <c r="CFE54"/>
      <c r="CFF54"/>
      <c r="CFG54"/>
      <c r="CFH54"/>
      <c r="CFI54"/>
      <c r="CFJ54"/>
      <c r="CFK54"/>
      <c r="CFL54"/>
      <c r="CFM54"/>
      <c r="CFN54"/>
      <c r="CFO54"/>
      <c r="CFP54"/>
      <c r="CFQ54"/>
      <c r="CFR54"/>
      <c r="CFS54"/>
      <c r="CFT54"/>
      <c r="CFU54"/>
      <c r="CFV54"/>
      <c r="CFW54"/>
      <c r="CFX54"/>
      <c r="CFY54"/>
      <c r="CFZ54"/>
      <c r="CGA54"/>
      <c r="CGB54"/>
      <c r="CGC54"/>
      <c r="CGD54"/>
      <c r="CGE54"/>
      <c r="CGF54"/>
      <c r="CGG54"/>
      <c r="CGH54"/>
      <c r="CGI54"/>
      <c r="CGJ54"/>
      <c r="CGK54"/>
      <c r="CGL54"/>
      <c r="CGM54"/>
      <c r="CGN54"/>
      <c r="CGO54"/>
      <c r="CGP54"/>
      <c r="CGQ54"/>
      <c r="CGR54"/>
      <c r="CGS54"/>
      <c r="CGT54"/>
      <c r="CGU54"/>
      <c r="CGV54"/>
      <c r="CGW54"/>
      <c r="CGX54"/>
      <c r="CGY54"/>
      <c r="CGZ54"/>
      <c r="CHA54"/>
      <c r="CHB54"/>
      <c r="CHC54"/>
      <c r="CHD54"/>
      <c r="CHE54"/>
      <c r="CHF54"/>
      <c r="CHG54"/>
      <c r="CHH54"/>
      <c r="CHI54"/>
      <c r="CHJ54"/>
      <c r="CHK54"/>
      <c r="CHL54"/>
      <c r="CHM54"/>
      <c r="CHN54"/>
      <c r="CHO54"/>
      <c r="CHP54"/>
      <c r="CHQ54"/>
      <c r="CHR54"/>
      <c r="CHS54"/>
      <c r="CHT54"/>
      <c r="CHU54"/>
      <c r="CHV54"/>
      <c r="CHW54"/>
      <c r="CHX54"/>
      <c r="CHY54"/>
      <c r="CHZ54"/>
      <c r="CIA54"/>
      <c r="CIB54"/>
      <c r="CIC54"/>
      <c r="CID54"/>
      <c r="CIE54"/>
      <c r="CIF54"/>
      <c r="CIG54"/>
      <c r="CIH54"/>
      <c r="CII54"/>
      <c r="CIJ54"/>
      <c r="CIK54"/>
      <c r="CIL54"/>
      <c r="CIM54"/>
      <c r="CIN54"/>
      <c r="CIO54"/>
      <c r="CIP54"/>
      <c r="CIQ54"/>
      <c r="CIR54"/>
      <c r="CIS54"/>
      <c r="CIT54"/>
      <c r="CIU54"/>
      <c r="CIV54"/>
      <c r="CIW54"/>
      <c r="CIX54"/>
      <c r="CIY54"/>
      <c r="CIZ54"/>
      <c r="CJA54"/>
      <c r="CJB54"/>
      <c r="CJC54"/>
      <c r="CJD54"/>
      <c r="CJE54"/>
      <c r="CJF54"/>
      <c r="CJG54"/>
      <c r="CJH54"/>
      <c r="CJI54"/>
      <c r="CJJ54"/>
      <c r="CJK54"/>
      <c r="CJL54"/>
      <c r="CJM54"/>
      <c r="CJN54"/>
      <c r="CJO54"/>
      <c r="CJP54"/>
      <c r="CJQ54"/>
      <c r="CJR54"/>
      <c r="CJS54"/>
      <c r="CJT54"/>
      <c r="CJU54"/>
      <c r="CJV54"/>
      <c r="CJW54"/>
      <c r="CJX54"/>
      <c r="CJY54"/>
      <c r="CJZ54"/>
      <c r="CKA54"/>
      <c r="CKB54"/>
      <c r="CKC54"/>
      <c r="CKD54"/>
      <c r="CKE54"/>
      <c r="CKF54"/>
      <c r="CKG54"/>
      <c r="CKH54"/>
      <c r="CKI54"/>
      <c r="CKJ54"/>
      <c r="CKK54"/>
      <c r="CKL54"/>
      <c r="CKM54"/>
      <c r="CKN54"/>
      <c r="CKO54"/>
      <c r="CKP54"/>
      <c r="CKQ54"/>
      <c r="CKR54"/>
      <c r="CKS54"/>
      <c r="CKT54"/>
      <c r="CKU54"/>
      <c r="CKV54"/>
      <c r="CKW54"/>
      <c r="CKX54"/>
      <c r="CKY54"/>
      <c r="CKZ54"/>
      <c r="CLA54"/>
      <c r="CLB54"/>
      <c r="CLC54"/>
      <c r="CLD54"/>
      <c r="CLE54"/>
      <c r="CLF54"/>
      <c r="CLG54"/>
      <c r="CLH54"/>
      <c r="CLI54"/>
      <c r="CLJ54"/>
      <c r="CLK54"/>
      <c r="CLL54"/>
      <c r="CLM54"/>
      <c r="CLN54"/>
      <c r="CLO54"/>
      <c r="CLP54"/>
      <c r="CLQ54"/>
      <c r="CLR54"/>
      <c r="CLS54"/>
      <c r="CLT54"/>
      <c r="CLU54"/>
      <c r="CLV54"/>
      <c r="CLW54"/>
      <c r="CLX54"/>
      <c r="CLY54"/>
      <c r="CLZ54"/>
      <c r="CMA54"/>
      <c r="CMB54"/>
      <c r="CMC54"/>
      <c r="CMD54"/>
      <c r="CME54"/>
      <c r="CMF54"/>
      <c r="CMG54"/>
      <c r="CMH54"/>
      <c r="CMI54"/>
      <c r="CMJ54"/>
      <c r="CMK54"/>
      <c r="CML54"/>
      <c r="CMM54"/>
      <c r="CMN54"/>
      <c r="CMO54"/>
      <c r="CMP54"/>
      <c r="CMQ54"/>
      <c r="CMR54"/>
      <c r="CMS54"/>
      <c r="CMT54"/>
      <c r="CMU54"/>
      <c r="CMV54"/>
      <c r="CMW54"/>
      <c r="CMX54"/>
      <c r="CMY54"/>
      <c r="CMZ54"/>
      <c r="CNA54"/>
      <c r="CNB54"/>
      <c r="CNC54"/>
      <c r="CND54"/>
      <c r="CNE54"/>
      <c r="CNF54"/>
      <c r="CNG54"/>
      <c r="CNH54"/>
      <c r="CNI54"/>
      <c r="CNJ54"/>
      <c r="CNK54"/>
      <c r="CNL54"/>
      <c r="CNM54"/>
      <c r="CNN54"/>
      <c r="CNO54"/>
      <c r="CNP54"/>
      <c r="CNQ54"/>
      <c r="CNR54"/>
      <c r="CNS54"/>
      <c r="CNT54"/>
      <c r="CNU54"/>
      <c r="CNV54"/>
      <c r="CNW54"/>
      <c r="CNX54"/>
      <c r="CNY54"/>
      <c r="CNZ54"/>
      <c r="COA54"/>
      <c r="COB54"/>
      <c r="COC54"/>
      <c r="COD54"/>
      <c r="COE54"/>
      <c r="COF54"/>
      <c r="COG54"/>
      <c r="COH54"/>
      <c r="COI54"/>
      <c r="COJ54"/>
      <c r="COK54"/>
      <c r="COL54"/>
      <c r="COM54"/>
      <c r="CON54"/>
      <c r="COO54"/>
      <c r="COP54"/>
      <c r="COQ54"/>
      <c r="COR54"/>
      <c r="COS54"/>
      <c r="COT54"/>
      <c r="COU54"/>
      <c r="COV54"/>
      <c r="COW54"/>
      <c r="COX54"/>
      <c r="COY54"/>
      <c r="COZ54"/>
      <c r="CPA54"/>
      <c r="CPB54"/>
      <c r="CPC54"/>
      <c r="CPD54"/>
      <c r="CPE54"/>
      <c r="CPF54"/>
      <c r="CPG54"/>
      <c r="CPH54"/>
      <c r="CPI54"/>
      <c r="CPJ54"/>
      <c r="CPK54"/>
      <c r="CPL54"/>
      <c r="CPM54"/>
      <c r="CPN54"/>
      <c r="CPO54"/>
      <c r="CPP54"/>
      <c r="CPQ54"/>
      <c r="CPR54"/>
      <c r="CPS54"/>
      <c r="CPT54"/>
      <c r="CPU54"/>
      <c r="CPV54"/>
      <c r="CPW54"/>
      <c r="CPX54"/>
      <c r="CPY54"/>
      <c r="CPZ54"/>
      <c r="CQA54"/>
      <c r="CQB54"/>
      <c r="CQC54"/>
      <c r="CQD54"/>
      <c r="CQE54"/>
      <c r="CQF54"/>
      <c r="CQG54"/>
      <c r="CQH54"/>
      <c r="CQI54"/>
      <c r="CQJ54"/>
      <c r="CQK54"/>
      <c r="CQL54"/>
      <c r="CQM54"/>
      <c r="CQN54"/>
      <c r="CQO54"/>
      <c r="CQP54"/>
      <c r="CQQ54"/>
      <c r="CQR54"/>
      <c r="CQS54"/>
      <c r="CQT54"/>
      <c r="CQU54"/>
      <c r="CQV54"/>
      <c r="CQW54"/>
      <c r="CQX54"/>
      <c r="CQY54"/>
      <c r="CQZ54"/>
      <c r="CRA54"/>
      <c r="CRB54"/>
      <c r="CRC54"/>
      <c r="CRD54"/>
      <c r="CRE54"/>
      <c r="CRF54"/>
      <c r="CRG54"/>
      <c r="CRH54"/>
      <c r="CRI54"/>
      <c r="CRJ54"/>
      <c r="CRK54"/>
      <c r="CRL54"/>
      <c r="CRM54"/>
      <c r="CRN54"/>
      <c r="CRO54"/>
      <c r="CRP54"/>
      <c r="CRQ54"/>
      <c r="CRR54"/>
      <c r="CRS54"/>
      <c r="CRT54"/>
      <c r="CRU54"/>
      <c r="CRV54"/>
      <c r="CRW54"/>
      <c r="CRX54"/>
      <c r="CRY54"/>
      <c r="CRZ54"/>
      <c r="CSA54"/>
      <c r="CSB54"/>
      <c r="CSC54"/>
      <c r="CSD54"/>
      <c r="CSE54"/>
      <c r="CSF54"/>
      <c r="CSG54"/>
      <c r="CSH54"/>
      <c r="CSI54"/>
      <c r="CSJ54"/>
      <c r="CSK54"/>
      <c r="CSL54"/>
      <c r="CSM54"/>
      <c r="CSN54"/>
      <c r="CSO54"/>
      <c r="CSP54"/>
      <c r="CSQ54"/>
      <c r="CSR54"/>
      <c r="CSS54"/>
      <c r="CST54"/>
      <c r="CSU54"/>
      <c r="CSV54"/>
      <c r="CSW54"/>
      <c r="CSX54"/>
      <c r="CSY54"/>
      <c r="CSZ54"/>
      <c r="CTA54"/>
      <c r="CTB54"/>
      <c r="CTC54"/>
      <c r="CTD54"/>
      <c r="CTE54"/>
      <c r="CTF54"/>
      <c r="CTG54"/>
      <c r="CTH54"/>
      <c r="CTI54"/>
      <c r="CTJ54"/>
      <c r="CTK54"/>
      <c r="CTL54"/>
      <c r="CTM54"/>
      <c r="CTN54"/>
      <c r="CTO54"/>
      <c r="CTP54"/>
      <c r="CTQ54"/>
      <c r="CTR54"/>
      <c r="CTS54"/>
      <c r="CTT54"/>
      <c r="CTU54"/>
      <c r="CTV54"/>
      <c r="CTW54"/>
      <c r="CTX54"/>
      <c r="CTY54"/>
      <c r="CTZ54"/>
      <c r="CUA54"/>
      <c r="CUB54"/>
      <c r="CUC54"/>
      <c r="CUD54"/>
      <c r="CUE54"/>
      <c r="CUF54"/>
      <c r="CUG54"/>
      <c r="CUH54"/>
      <c r="CUI54"/>
      <c r="CUJ54"/>
      <c r="CUK54"/>
      <c r="CUL54"/>
      <c r="CUM54"/>
      <c r="CUN54"/>
      <c r="CUO54"/>
      <c r="CUP54"/>
      <c r="CUQ54"/>
      <c r="CUR54"/>
      <c r="CUS54"/>
      <c r="CUT54"/>
      <c r="CUU54"/>
      <c r="CUV54"/>
      <c r="CUW54"/>
      <c r="CUX54"/>
      <c r="CUY54"/>
      <c r="CUZ54"/>
      <c r="CVA54"/>
      <c r="CVB54"/>
      <c r="CVC54"/>
      <c r="CVD54"/>
      <c r="CVE54"/>
      <c r="CVF54"/>
      <c r="CVG54"/>
      <c r="CVH54"/>
      <c r="CVI54"/>
      <c r="CVJ54"/>
      <c r="CVK54"/>
      <c r="CVL54"/>
      <c r="CVM54"/>
      <c r="CVN54"/>
      <c r="CVO54"/>
      <c r="CVP54"/>
      <c r="CVQ54"/>
      <c r="CVR54"/>
      <c r="CVS54"/>
      <c r="CVT54"/>
      <c r="CVU54"/>
      <c r="CVV54"/>
      <c r="CVW54"/>
      <c r="CVX54"/>
      <c r="CVY54"/>
      <c r="CVZ54"/>
      <c r="CWA54"/>
      <c r="CWB54"/>
      <c r="CWC54"/>
      <c r="CWD54"/>
      <c r="CWE54"/>
      <c r="CWF54"/>
      <c r="CWG54"/>
      <c r="CWH54"/>
      <c r="CWI54"/>
      <c r="CWJ54"/>
      <c r="CWK54"/>
      <c r="CWL54"/>
      <c r="CWM54"/>
      <c r="CWN54"/>
      <c r="CWO54"/>
      <c r="CWP54"/>
      <c r="CWQ54"/>
      <c r="CWR54"/>
      <c r="CWS54"/>
      <c r="CWT54"/>
      <c r="CWU54"/>
      <c r="CWV54"/>
      <c r="CWW54"/>
      <c r="CWX54"/>
      <c r="CWY54"/>
      <c r="CWZ54"/>
      <c r="CXA54"/>
      <c r="CXB54"/>
      <c r="CXC54"/>
      <c r="CXD54"/>
      <c r="CXE54"/>
      <c r="CXF54"/>
      <c r="CXG54"/>
      <c r="CXH54"/>
      <c r="CXI54"/>
      <c r="CXJ54"/>
      <c r="CXK54"/>
      <c r="CXL54"/>
      <c r="CXM54"/>
      <c r="CXN54"/>
      <c r="CXO54"/>
      <c r="CXP54"/>
      <c r="CXQ54"/>
      <c r="CXR54"/>
      <c r="CXS54"/>
      <c r="CXT54"/>
      <c r="CXU54"/>
      <c r="CXV54"/>
      <c r="CXW54"/>
      <c r="CXX54"/>
      <c r="CXY54"/>
      <c r="CXZ54"/>
      <c r="CYA54"/>
      <c r="CYB54"/>
      <c r="CYC54"/>
      <c r="CYD54"/>
      <c r="CYE54"/>
      <c r="CYF54"/>
      <c r="CYG54"/>
      <c r="CYH54"/>
      <c r="CYI54"/>
      <c r="CYJ54"/>
      <c r="CYK54"/>
      <c r="CYL54"/>
      <c r="CYM54"/>
      <c r="CYN54"/>
      <c r="CYO54"/>
      <c r="CYP54"/>
      <c r="CYQ54"/>
      <c r="CYR54"/>
      <c r="CYS54"/>
      <c r="CYT54"/>
      <c r="CYU54"/>
      <c r="CYV54"/>
      <c r="CYW54"/>
      <c r="CYX54"/>
      <c r="CYY54"/>
      <c r="CYZ54"/>
      <c r="CZA54"/>
      <c r="CZB54"/>
      <c r="CZC54"/>
      <c r="CZD54"/>
      <c r="CZE54"/>
      <c r="CZF54"/>
      <c r="CZG54"/>
      <c r="CZH54"/>
      <c r="CZI54"/>
      <c r="CZJ54"/>
      <c r="CZK54"/>
      <c r="CZL54"/>
      <c r="CZM54"/>
      <c r="CZN54"/>
      <c r="CZO54"/>
      <c r="CZP54"/>
      <c r="CZQ54"/>
      <c r="CZR54"/>
      <c r="CZS54"/>
      <c r="CZT54"/>
      <c r="CZU54"/>
      <c r="CZV54"/>
      <c r="CZW54"/>
      <c r="CZX54"/>
      <c r="CZY54"/>
      <c r="CZZ54"/>
      <c r="DAA54"/>
      <c r="DAB54"/>
      <c r="DAC54"/>
      <c r="DAD54"/>
      <c r="DAE54"/>
      <c r="DAF54"/>
      <c r="DAG54"/>
      <c r="DAH54"/>
      <c r="DAI54"/>
      <c r="DAJ54"/>
      <c r="DAK54"/>
      <c r="DAL54"/>
      <c r="DAM54"/>
      <c r="DAN54"/>
      <c r="DAO54"/>
      <c r="DAP54"/>
      <c r="DAQ54"/>
      <c r="DAR54"/>
      <c r="DAS54"/>
      <c r="DAT54"/>
      <c r="DAU54"/>
      <c r="DAV54"/>
      <c r="DAW54"/>
      <c r="DAX54"/>
      <c r="DAY54"/>
      <c r="DAZ54"/>
      <c r="DBA54"/>
      <c r="DBB54"/>
      <c r="DBC54"/>
      <c r="DBD54"/>
      <c r="DBE54"/>
      <c r="DBF54"/>
      <c r="DBG54"/>
      <c r="DBH54"/>
      <c r="DBI54"/>
      <c r="DBJ54"/>
      <c r="DBK54"/>
      <c r="DBL54"/>
      <c r="DBM54"/>
      <c r="DBN54"/>
      <c r="DBO54"/>
      <c r="DBP54"/>
      <c r="DBQ54"/>
      <c r="DBR54"/>
      <c r="DBS54"/>
      <c r="DBT54"/>
      <c r="DBU54"/>
      <c r="DBV54"/>
      <c r="DBW54"/>
      <c r="DBX54"/>
      <c r="DBY54"/>
      <c r="DBZ54"/>
      <c r="DCA54"/>
      <c r="DCB54"/>
      <c r="DCC54"/>
      <c r="DCD54"/>
      <c r="DCE54"/>
      <c r="DCF54"/>
      <c r="DCG54"/>
      <c r="DCH54"/>
      <c r="DCI54"/>
      <c r="DCJ54"/>
      <c r="DCK54"/>
      <c r="DCL54"/>
      <c r="DCM54"/>
      <c r="DCN54"/>
      <c r="DCO54"/>
      <c r="DCP54"/>
      <c r="DCQ54"/>
      <c r="DCR54"/>
      <c r="DCS54"/>
      <c r="DCT54"/>
      <c r="DCU54"/>
      <c r="DCV54"/>
      <c r="DCW54"/>
      <c r="DCX54"/>
      <c r="DCY54"/>
      <c r="DCZ54"/>
      <c r="DDA54"/>
      <c r="DDB54"/>
      <c r="DDC54"/>
      <c r="DDD54"/>
      <c r="DDE54"/>
      <c r="DDF54"/>
      <c r="DDG54"/>
      <c r="DDH54"/>
      <c r="DDI54"/>
      <c r="DDJ54"/>
      <c r="DDK54"/>
      <c r="DDL54"/>
      <c r="DDM54"/>
      <c r="DDN54"/>
      <c r="DDO54"/>
      <c r="DDP54"/>
      <c r="DDQ54"/>
      <c r="DDR54"/>
      <c r="DDS54"/>
      <c r="DDT54"/>
      <c r="DDU54"/>
      <c r="DDV54"/>
      <c r="DDW54"/>
      <c r="DDX54"/>
      <c r="DDY54"/>
      <c r="DDZ54"/>
      <c r="DEA54"/>
      <c r="DEB54"/>
      <c r="DEC54"/>
      <c r="DED54"/>
      <c r="DEE54"/>
      <c r="DEF54"/>
      <c r="DEG54"/>
      <c r="DEH54"/>
      <c r="DEI54"/>
      <c r="DEJ54"/>
      <c r="DEK54"/>
      <c r="DEL54"/>
      <c r="DEM54"/>
      <c r="DEN54"/>
      <c r="DEO54"/>
      <c r="DEP54"/>
      <c r="DEQ54"/>
      <c r="DER54"/>
      <c r="DES54"/>
      <c r="DET54"/>
      <c r="DEU54"/>
      <c r="DEV54"/>
      <c r="DEW54"/>
      <c r="DEX54"/>
      <c r="DEY54"/>
      <c r="DEZ54"/>
      <c r="DFA54"/>
      <c r="DFB54"/>
      <c r="DFC54"/>
      <c r="DFD54"/>
      <c r="DFE54"/>
      <c r="DFF54"/>
      <c r="DFG54"/>
      <c r="DFH54"/>
      <c r="DFI54"/>
      <c r="DFJ54"/>
      <c r="DFK54"/>
      <c r="DFL54"/>
      <c r="DFM54"/>
      <c r="DFN54"/>
      <c r="DFO54"/>
      <c r="DFP54"/>
      <c r="DFQ54"/>
      <c r="DFR54"/>
      <c r="DFS54"/>
      <c r="DFT54"/>
      <c r="DFU54"/>
      <c r="DFV54"/>
      <c r="DFW54"/>
      <c r="DFX54"/>
      <c r="DFY54"/>
      <c r="DFZ54"/>
      <c r="DGA54"/>
      <c r="DGB54"/>
      <c r="DGC54"/>
      <c r="DGD54"/>
      <c r="DGE54"/>
      <c r="DGF54"/>
      <c r="DGG54"/>
      <c r="DGH54"/>
      <c r="DGI54"/>
      <c r="DGJ54"/>
      <c r="DGK54"/>
      <c r="DGL54"/>
      <c r="DGM54"/>
      <c r="DGN54"/>
      <c r="DGO54"/>
      <c r="DGP54"/>
      <c r="DGQ54"/>
      <c r="DGR54"/>
      <c r="DGS54"/>
      <c r="DGT54"/>
      <c r="DGU54"/>
      <c r="DGV54"/>
      <c r="DGW54"/>
      <c r="DGX54"/>
      <c r="DGY54"/>
      <c r="DGZ54"/>
      <c r="DHA54"/>
      <c r="DHB54"/>
      <c r="DHC54"/>
      <c r="DHD54"/>
      <c r="DHE54"/>
      <c r="DHF54"/>
      <c r="DHG54"/>
      <c r="DHH54"/>
      <c r="DHI54"/>
      <c r="DHJ54"/>
      <c r="DHK54"/>
      <c r="DHL54"/>
      <c r="DHM54"/>
      <c r="DHN54"/>
      <c r="DHO54"/>
      <c r="DHP54"/>
      <c r="DHQ54"/>
      <c r="DHR54"/>
      <c r="DHS54"/>
      <c r="DHT54"/>
      <c r="DHU54"/>
      <c r="DHV54"/>
      <c r="DHW54"/>
      <c r="DHX54"/>
      <c r="DHY54"/>
      <c r="DHZ54"/>
      <c r="DIA54"/>
      <c r="DIB54"/>
      <c r="DIC54"/>
      <c r="DID54"/>
      <c r="DIE54"/>
      <c r="DIF54"/>
      <c r="DIG54"/>
      <c r="DIH54"/>
      <c r="DII54"/>
      <c r="DIJ54"/>
      <c r="DIK54"/>
      <c r="DIL54"/>
      <c r="DIM54"/>
      <c r="DIN54"/>
      <c r="DIO54"/>
      <c r="DIP54"/>
      <c r="DIQ54"/>
      <c r="DIR54"/>
      <c r="DIS54"/>
      <c r="DIT54"/>
      <c r="DIU54"/>
      <c r="DIV54"/>
      <c r="DIW54"/>
      <c r="DIX54"/>
      <c r="DIY54"/>
      <c r="DIZ54"/>
      <c r="DJA54"/>
      <c r="DJB54"/>
      <c r="DJC54"/>
      <c r="DJD54"/>
      <c r="DJE54"/>
      <c r="DJF54"/>
      <c r="DJG54"/>
      <c r="DJH54"/>
      <c r="DJI54"/>
      <c r="DJJ54"/>
      <c r="DJK54"/>
      <c r="DJL54"/>
      <c r="DJM54"/>
      <c r="DJN54"/>
      <c r="DJO54"/>
      <c r="DJP54"/>
      <c r="DJQ54"/>
      <c r="DJR54"/>
      <c r="DJS54"/>
      <c r="DJT54"/>
      <c r="DJU54"/>
      <c r="DJV54"/>
      <c r="DJW54"/>
      <c r="DJX54"/>
      <c r="DJY54"/>
      <c r="DJZ54"/>
      <c r="DKA54"/>
      <c r="DKB54"/>
      <c r="DKC54"/>
      <c r="DKD54"/>
      <c r="DKE54"/>
      <c r="DKF54"/>
      <c r="DKG54"/>
      <c r="DKH54"/>
      <c r="DKI54"/>
      <c r="DKJ54"/>
      <c r="DKK54"/>
      <c r="DKL54"/>
      <c r="DKM54"/>
      <c r="DKN54"/>
      <c r="DKO54"/>
      <c r="DKP54"/>
      <c r="DKQ54"/>
      <c r="DKR54"/>
      <c r="DKS54"/>
      <c r="DKT54"/>
      <c r="DKU54"/>
      <c r="DKV54"/>
      <c r="DKW54"/>
      <c r="DKX54"/>
      <c r="DKY54"/>
      <c r="DKZ54"/>
      <c r="DLA54"/>
      <c r="DLB54"/>
      <c r="DLC54"/>
      <c r="DLD54"/>
      <c r="DLE54"/>
      <c r="DLF54"/>
      <c r="DLG54"/>
      <c r="DLH54"/>
      <c r="DLI54"/>
      <c r="DLJ54"/>
      <c r="DLK54"/>
      <c r="DLL54"/>
      <c r="DLM54"/>
      <c r="DLN54"/>
      <c r="DLO54"/>
      <c r="DLP54"/>
      <c r="DLQ54"/>
      <c r="DLR54"/>
      <c r="DLS54"/>
      <c r="DLT54"/>
      <c r="DLU54"/>
      <c r="DLV54"/>
      <c r="DLW54"/>
      <c r="DLX54"/>
      <c r="DLY54"/>
      <c r="DLZ54"/>
      <c r="DMA54"/>
      <c r="DMB54"/>
      <c r="DMC54"/>
      <c r="DMD54"/>
      <c r="DME54"/>
      <c r="DMF54"/>
      <c r="DMG54"/>
      <c r="DMH54"/>
      <c r="DMI54"/>
      <c r="DMJ54"/>
      <c r="DMK54"/>
      <c r="DML54"/>
      <c r="DMM54"/>
      <c r="DMN54"/>
      <c r="DMO54"/>
      <c r="DMP54"/>
      <c r="DMQ54"/>
      <c r="DMR54"/>
      <c r="DMS54"/>
      <c r="DMT54"/>
      <c r="DMU54"/>
      <c r="DMV54"/>
      <c r="DMW54"/>
      <c r="DMX54"/>
      <c r="DMY54"/>
      <c r="DMZ54"/>
      <c r="DNA54"/>
      <c r="DNB54"/>
      <c r="DNC54"/>
      <c r="DND54"/>
      <c r="DNE54"/>
      <c r="DNF54"/>
      <c r="DNG54"/>
      <c r="DNH54"/>
      <c r="DNI54"/>
      <c r="DNJ54"/>
      <c r="DNK54"/>
      <c r="DNL54"/>
      <c r="DNM54"/>
      <c r="DNN54"/>
      <c r="DNO54"/>
      <c r="DNP54"/>
      <c r="DNQ54"/>
      <c r="DNR54"/>
      <c r="DNS54"/>
      <c r="DNT54"/>
      <c r="DNU54"/>
      <c r="DNV54"/>
      <c r="DNW54"/>
      <c r="DNX54"/>
      <c r="DNY54"/>
      <c r="DNZ54"/>
      <c r="DOA54"/>
      <c r="DOB54"/>
      <c r="DOC54"/>
      <c r="DOD54"/>
      <c r="DOE54"/>
      <c r="DOF54"/>
      <c r="DOG54"/>
      <c r="DOH54"/>
      <c r="DOI54"/>
      <c r="DOJ54"/>
      <c r="DOK54"/>
      <c r="DOL54"/>
      <c r="DOM54"/>
      <c r="DON54"/>
      <c r="DOO54"/>
      <c r="DOP54"/>
      <c r="DOQ54"/>
      <c r="DOR54"/>
      <c r="DOS54"/>
      <c r="DOT54"/>
      <c r="DOU54"/>
      <c r="DOV54"/>
      <c r="DOW54"/>
      <c r="DOX54"/>
      <c r="DOY54"/>
      <c r="DOZ54"/>
      <c r="DPA54"/>
      <c r="DPB54"/>
      <c r="DPC54"/>
      <c r="DPD54"/>
      <c r="DPE54"/>
      <c r="DPF54"/>
      <c r="DPG54"/>
      <c r="DPH54"/>
      <c r="DPI54"/>
      <c r="DPJ54"/>
      <c r="DPK54"/>
      <c r="DPL54"/>
      <c r="DPM54"/>
      <c r="DPN54"/>
      <c r="DPO54"/>
      <c r="DPP54"/>
      <c r="DPQ54"/>
      <c r="DPR54"/>
      <c r="DPS54"/>
      <c r="DPT54"/>
      <c r="DPU54"/>
      <c r="DPV54"/>
      <c r="DPW54"/>
      <c r="DPX54"/>
      <c r="DPY54"/>
      <c r="DPZ54"/>
      <c r="DQA54"/>
      <c r="DQB54"/>
      <c r="DQC54"/>
      <c r="DQD54"/>
      <c r="DQE54"/>
      <c r="DQF54"/>
      <c r="DQG54"/>
      <c r="DQH54"/>
      <c r="DQI54"/>
      <c r="DQJ54"/>
      <c r="DQK54"/>
      <c r="DQL54"/>
      <c r="DQM54"/>
      <c r="DQN54"/>
      <c r="DQO54"/>
      <c r="DQP54"/>
      <c r="DQQ54"/>
      <c r="DQR54"/>
      <c r="DQS54"/>
      <c r="DQT54"/>
      <c r="DQU54"/>
      <c r="DQV54"/>
      <c r="DQW54"/>
      <c r="DQX54"/>
      <c r="DQY54"/>
      <c r="DQZ54"/>
      <c r="DRA54"/>
      <c r="DRB54"/>
      <c r="DRC54"/>
      <c r="DRD54"/>
      <c r="DRE54"/>
      <c r="DRF54"/>
      <c r="DRG54"/>
      <c r="DRH54"/>
      <c r="DRI54"/>
      <c r="DRJ54"/>
      <c r="DRK54"/>
      <c r="DRL54"/>
      <c r="DRM54"/>
      <c r="DRN54"/>
      <c r="DRO54"/>
      <c r="DRP54"/>
      <c r="DRQ54"/>
      <c r="DRR54"/>
      <c r="DRS54"/>
      <c r="DRT54"/>
      <c r="DRU54"/>
      <c r="DRV54"/>
      <c r="DRW54"/>
      <c r="DRX54"/>
      <c r="DRY54"/>
      <c r="DRZ54"/>
      <c r="DSA54"/>
      <c r="DSB54"/>
      <c r="DSC54"/>
      <c r="DSD54"/>
      <c r="DSE54"/>
      <c r="DSF54"/>
      <c r="DSG54"/>
      <c r="DSH54"/>
      <c r="DSI54"/>
      <c r="DSJ54"/>
      <c r="DSK54"/>
      <c r="DSL54"/>
      <c r="DSM54"/>
      <c r="DSN54"/>
      <c r="DSO54"/>
      <c r="DSP54"/>
      <c r="DSQ54"/>
      <c r="DSR54"/>
      <c r="DSS54"/>
      <c r="DST54"/>
      <c r="DSU54"/>
      <c r="DSV54"/>
      <c r="DSW54"/>
      <c r="DSX54"/>
      <c r="DSY54"/>
      <c r="DSZ54"/>
      <c r="DTA54"/>
      <c r="DTB54"/>
      <c r="DTC54"/>
      <c r="DTD54"/>
      <c r="DTE54"/>
      <c r="DTF54"/>
      <c r="DTG54"/>
      <c r="DTH54"/>
      <c r="DTI54"/>
      <c r="DTJ54"/>
      <c r="DTK54"/>
      <c r="DTL54"/>
      <c r="DTM54"/>
      <c r="DTN54"/>
      <c r="DTO54"/>
      <c r="DTP54"/>
      <c r="DTQ54"/>
      <c r="DTR54"/>
      <c r="DTS54"/>
      <c r="DTT54"/>
      <c r="DTU54"/>
      <c r="DTV54"/>
      <c r="DTW54"/>
      <c r="DTX54"/>
      <c r="DTY54"/>
      <c r="DTZ54"/>
      <c r="DUA54"/>
      <c r="DUB54"/>
      <c r="DUC54"/>
      <c r="DUD54"/>
      <c r="DUE54"/>
      <c r="DUF54"/>
      <c r="DUG54"/>
      <c r="DUH54"/>
      <c r="DUI54"/>
      <c r="DUJ54"/>
      <c r="DUK54"/>
      <c r="DUL54"/>
      <c r="DUM54"/>
      <c r="DUN54"/>
      <c r="DUO54"/>
      <c r="DUP54"/>
      <c r="DUQ54"/>
      <c r="DUR54"/>
      <c r="DUS54"/>
      <c r="DUT54"/>
      <c r="DUU54"/>
      <c r="DUV54"/>
      <c r="DUW54"/>
      <c r="DUX54"/>
      <c r="DUY54"/>
      <c r="DUZ54"/>
      <c r="DVA54"/>
      <c r="DVB54"/>
      <c r="DVC54"/>
      <c r="DVD54"/>
      <c r="DVE54"/>
      <c r="DVF54"/>
      <c r="DVG54"/>
      <c r="DVH54"/>
      <c r="DVI54"/>
      <c r="DVJ54"/>
      <c r="DVK54"/>
      <c r="DVL54"/>
      <c r="DVM54"/>
      <c r="DVN54"/>
      <c r="DVO54"/>
      <c r="DVP54"/>
      <c r="DVQ54"/>
      <c r="DVR54"/>
      <c r="DVS54"/>
      <c r="DVT54"/>
      <c r="DVU54"/>
      <c r="DVV54"/>
      <c r="DVW54"/>
      <c r="DVX54"/>
      <c r="DVY54"/>
      <c r="DVZ54"/>
      <c r="DWA54"/>
      <c r="DWB54"/>
      <c r="DWC54"/>
      <c r="DWD54"/>
      <c r="DWE54"/>
      <c r="DWF54"/>
      <c r="DWG54"/>
      <c r="DWH54"/>
      <c r="DWI54"/>
      <c r="DWJ54"/>
      <c r="DWK54"/>
      <c r="DWL54"/>
      <c r="DWM54"/>
      <c r="DWN54"/>
      <c r="DWO54"/>
      <c r="DWP54"/>
      <c r="DWQ54"/>
      <c r="DWR54"/>
      <c r="DWS54"/>
      <c r="DWT54"/>
      <c r="DWU54"/>
      <c r="DWV54"/>
      <c r="DWW54"/>
      <c r="DWX54"/>
      <c r="DWY54"/>
      <c r="DWZ54"/>
      <c r="DXA54"/>
      <c r="DXB54"/>
      <c r="DXC54"/>
      <c r="DXD54"/>
      <c r="DXE54"/>
      <c r="DXF54"/>
      <c r="DXG54"/>
      <c r="DXH54"/>
      <c r="DXI54"/>
      <c r="DXJ54"/>
      <c r="DXK54"/>
      <c r="DXL54"/>
      <c r="DXM54"/>
      <c r="DXN54"/>
      <c r="DXO54"/>
      <c r="DXP54"/>
      <c r="DXQ54"/>
      <c r="DXR54"/>
      <c r="DXS54"/>
      <c r="DXT54"/>
      <c r="DXU54"/>
      <c r="DXV54"/>
      <c r="DXW54"/>
      <c r="DXX54"/>
      <c r="DXY54"/>
      <c r="DXZ54"/>
      <c r="DYA54"/>
      <c r="DYB54"/>
      <c r="DYC54"/>
      <c r="DYD54"/>
      <c r="DYE54"/>
      <c r="DYF54"/>
      <c r="DYG54"/>
      <c r="DYH54"/>
      <c r="DYI54"/>
      <c r="DYJ54"/>
      <c r="DYK54"/>
      <c r="DYL54"/>
      <c r="DYM54"/>
      <c r="DYN54"/>
      <c r="DYO54"/>
      <c r="DYP54"/>
      <c r="DYQ54"/>
      <c r="DYR54"/>
      <c r="DYS54"/>
      <c r="DYT54"/>
      <c r="DYU54"/>
      <c r="DYV54"/>
      <c r="DYW54"/>
      <c r="DYX54"/>
      <c r="DYY54"/>
      <c r="DYZ54"/>
      <c r="DZA54"/>
      <c r="DZB54"/>
      <c r="DZC54"/>
      <c r="DZD54"/>
      <c r="DZE54"/>
      <c r="DZF54"/>
      <c r="DZG54"/>
      <c r="DZH54"/>
      <c r="DZI54"/>
      <c r="DZJ54"/>
      <c r="DZK54"/>
      <c r="DZL54"/>
      <c r="DZM54"/>
      <c r="DZN54"/>
      <c r="DZO54"/>
      <c r="DZP54"/>
      <c r="DZQ54"/>
      <c r="DZR54"/>
      <c r="DZS54"/>
      <c r="DZT54"/>
      <c r="DZU54"/>
      <c r="DZV54"/>
      <c r="DZW54"/>
      <c r="DZX54"/>
      <c r="DZY54"/>
      <c r="DZZ54"/>
      <c r="EAA54"/>
      <c r="EAB54"/>
      <c r="EAC54"/>
      <c r="EAD54"/>
      <c r="EAE54"/>
      <c r="EAF54"/>
      <c r="EAG54"/>
      <c r="EAH54"/>
      <c r="EAI54"/>
      <c r="EAJ54"/>
      <c r="EAK54"/>
      <c r="EAL54"/>
      <c r="EAM54"/>
      <c r="EAN54"/>
      <c r="EAO54"/>
      <c r="EAP54"/>
      <c r="EAQ54"/>
      <c r="EAR54"/>
      <c r="EAS54"/>
      <c r="EAT54"/>
      <c r="EAU54"/>
      <c r="EAV54"/>
      <c r="EAW54"/>
      <c r="EAX54"/>
      <c r="EAY54"/>
      <c r="EAZ54"/>
      <c r="EBA54"/>
      <c r="EBB54"/>
      <c r="EBC54"/>
      <c r="EBD54"/>
      <c r="EBE54"/>
      <c r="EBF54"/>
      <c r="EBG54"/>
      <c r="EBH54"/>
      <c r="EBI54"/>
      <c r="EBJ54"/>
      <c r="EBK54"/>
      <c r="EBL54"/>
      <c r="EBM54"/>
      <c r="EBN54"/>
      <c r="EBO54"/>
      <c r="EBP54"/>
      <c r="EBQ54"/>
      <c r="EBR54"/>
      <c r="EBS54"/>
      <c r="EBT54"/>
      <c r="EBU54"/>
      <c r="EBV54"/>
      <c r="EBW54"/>
      <c r="EBX54"/>
      <c r="EBY54"/>
      <c r="EBZ54"/>
      <c r="ECA54"/>
      <c r="ECB54"/>
      <c r="ECC54"/>
      <c r="ECD54"/>
      <c r="ECE54"/>
      <c r="ECF54"/>
      <c r="ECG54"/>
      <c r="ECH54"/>
      <c r="ECI54"/>
      <c r="ECJ54"/>
      <c r="ECK54"/>
      <c r="ECL54"/>
      <c r="ECM54"/>
      <c r="ECN54"/>
      <c r="ECO54"/>
      <c r="ECP54"/>
      <c r="ECQ54"/>
      <c r="ECR54"/>
      <c r="ECS54"/>
      <c r="ECT54"/>
      <c r="ECU54"/>
      <c r="ECV54"/>
      <c r="ECW54"/>
      <c r="ECX54"/>
      <c r="ECY54"/>
      <c r="ECZ54"/>
      <c r="EDA54"/>
      <c r="EDB54"/>
      <c r="EDC54"/>
      <c r="EDD54"/>
      <c r="EDE54"/>
      <c r="EDF54"/>
      <c r="EDG54"/>
      <c r="EDH54"/>
      <c r="EDI54"/>
      <c r="EDJ54"/>
      <c r="EDK54"/>
      <c r="EDL54"/>
      <c r="EDM54"/>
      <c r="EDN54"/>
      <c r="EDO54"/>
      <c r="EDP54"/>
      <c r="EDQ54"/>
      <c r="EDR54"/>
      <c r="EDS54"/>
      <c r="EDT54"/>
      <c r="EDU54"/>
      <c r="EDV54"/>
      <c r="EDW54"/>
      <c r="EDX54"/>
      <c r="EDY54"/>
      <c r="EDZ54"/>
      <c r="EEA54"/>
      <c r="EEB54"/>
      <c r="EEC54"/>
      <c r="EED54"/>
      <c r="EEE54"/>
      <c r="EEF54"/>
      <c r="EEG54"/>
      <c r="EEH54"/>
      <c r="EEI54"/>
      <c r="EEJ54"/>
      <c r="EEK54"/>
      <c r="EEL54"/>
      <c r="EEM54"/>
      <c r="EEN54"/>
      <c r="EEO54"/>
      <c r="EEP54"/>
      <c r="EEQ54"/>
      <c r="EER54"/>
      <c r="EES54"/>
      <c r="EET54"/>
      <c r="EEU54"/>
      <c r="EEV54"/>
      <c r="EEW54"/>
      <c r="EEX54"/>
      <c r="EEY54"/>
      <c r="EEZ54"/>
      <c r="EFA54"/>
      <c r="EFB54"/>
      <c r="EFC54"/>
      <c r="EFD54"/>
      <c r="EFE54"/>
      <c r="EFF54"/>
      <c r="EFG54"/>
      <c r="EFH54"/>
      <c r="EFI54"/>
      <c r="EFJ54"/>
      <c r="EFK54"/>
      <c r="EFL54"/>
      <c r="EFM54"/>
      <c r="EFN54"/>
      <c r="EFO54"/>
      <c r="EFP54"/>
      <c r="EFQ54"/>
      <c r="EFR54"/>
      <c r="EFS54"/>
      <c r="EFT54"/>
      <c r="EFU54"/>
      <c r="EFV54"/>
      <c r="EFW54"/>
      <c r="EFX54"/>
      <c r="EFY54"/>
      <c r="EFZ54"/>
      <c r="EGA54"/>
      <c r="EGB54"/>
      <c r="EGC54"/>
      <c r="EGD54"/>
      <c r="EGE54"/>
      <c r="EGF54"/>
      <c r="EGG54"/>
      <c r="EGH54"/>
      <c r="EGI54"/>
      <c r="EGJ54"/>
      <c r="EGK54"/>
      <c r="EGL54"/>
      <c r="EGM54"/>
      <c r="EGN54"/>
      <c r="EGO54"/>
      <c r="EGP54"/>
      <c r="EGQ54"/>
      <c r="EGR54"/>
      <c r="EGS54"/>
      <c r="EGT54"/>
      <c r="EGU54"/>
      <c r="EGV54"/>
      <c r="EGW54"/>
      <c r="EGX54"/>
      <c r="EGY54"/>
      <c r="EGZ54"/>
      <c r="EHA54"/>
      <c r="EHB54"/>
      <c r="EHC54"/>
      <c r="EHD54"/>
      <c r="EHE54"/>
      <c r="EHF54"/>
      <c r="EHG54"/>
      <c r="EHH54"/>
      <c r="EHI54"/>
      <c r="EHJ54"/>
      <c r="EHK54"/>
      <c r="EHL54"/>
      <c r="EHM54"/>
      <c r="EHN54"/>
      <c r="EHO54"/>
      <c r="EHP54"/>
      <c r="EHQ54"/>
      <c r="EHR54"/>
      <c r="EHS54"/>
      <c r="EHT54"/>
      <c r="EHU54"/>
      <c r="EHV54"/>
      <c r="EHW54"/>
      <c r="EHX54"/>
      <c r="EHY54"/>
      <c r="EHZ54"/>
      <c r="EIA54"/>
      <c r="EIB54"/>
      <c r="EIC54"/>
      <c r="EID54"/>
      <c r="EIE54"/>
      <c r="EIF54"/>
      <c r="EIG54"/>
      <c r="EIH54"/>
      <c r="EII54"/>
      <c r="EIJ54"/>
      <c r="EIK54"/>
      <c r="EIL54"/>
      <c r="EIM54"/>
      <c r="EIN54"/>
      <c r="EIO54"/>
      <c r="EIP54"/>
      <c r="EIQ54"/>
      <c r="EIR54"/>
      <c r="EIS54"/>
      <c r="EIT54"/>
      <c r="EIU54"/>
      <c r="EIV54"/>
      <c r="EIW54"/>
      <c r="EIX54"/>
      <c r="EIY54"/>
      <c r="EIZ54"/>
      <c r="EJA54"/>
      <c r="EJB54"/>
      <c r="EJC54"/>
      <c r="EJD54"/>
      <c r="EJE54"/>
      <c r="EJF54"/>
      <c r="EJG54"/>
      <c r="EJH54"/>
      <c r="EJI54"/>
      <c r="EJJ54"/>
      <c r="EJK54"/>
      <c r="EJL54"/>
      <c r="EJM54"/>
      <c r="EJN54"/>
      <c r="EJO54"/>
      <c r="EJP54"/>
      <c r="EJQ54"/>
      <c r="EJR54"/>
      <c r="EJS54"/>
      <c r="EJT54"/>
      <c r="EJU54"/>
      <c r="EJV54"/>
      <c r="EJW54"/>
      <c r="EJX54"/>
      <c r="EJY54"/>
      <c r="EJZ54"/>
      <c r="EKA54"/>
      <c r="EKB54"/>
      <c r="EKC54"/>
      <c r="EKD54"/>
      <c r="EKE54"/>
      <c r="EKF54"/>
      <c r="EKG54"/>
      <c r="EKH54"/>
      <c r="EKI54"/>
      <c r="EKJ54"/>
      <c r="EKK54"/>
      <c r="EKL54"/>
      <c r="EKM54"/>
      <c r="EKN54"/>
      <c r="EKO54"/>
      <c r="EKP54"/>
      <c r="EKQ54"/>
      <c r="EKR54"/>
      <c r="EKS54"/>
      <c r="EKT54"/>
      <c r="EKU54"/>
      <c r="EKV54"/>
      <c r="EKW54"/>
      <c r="EKX54"/>
      <c r="EKY54"/>
      <c r="EKZ54"/>
      <c r="ELA54"/>
      <c r="ELB54"/>
      <c r="ELC54"/>
      <c r="ELD54"/>
      <c r="ELE54"/>
      <c r="ELF54"/>
      <c r="ELG54"/>
      <c r="ELH54"/>
      <c r="ELI54"/>
      <c r="ELJ54"/>
      <c r="ELK54"/>
      <c r="ELL54"/>
      <c r="ELM54"/>
      <c r="ELN54"/>
      <c r="ELO54"/>
      <c r="ELP54"/>
      <c r="ELQ54"/>
      <c r="ELR54"/>
      <c r="ELS54"/>
      <c r="ELT54"/>
      <c r="ELU54"/>
      <c r="ELV54"/>
      <c r="ELW54"/>
      <c r="ELX54"/>
      <c r="ELY54"/>
      <c r="ELZ54"/>
      <c r="EMA54"/>
      <c r="EMB54"/>
      <c r="EMC54"/>
      <c r="EMD54"/>
      <c r="EME54"/>
      <c r="EMF54"/>
      <c r="EMG54"/>
      <c r="EMH54"/>
      <c r="EMI54"/>
      <c r="EMJ54"/>
      <c r="EMK54"/>
      <c r="EML54"/>
      <c r="EMM54"/>
      <c r="EMN54"/>
      <c r="EMO54"/>
      <c r="EMP54"/>
      <c r="EMQ54"/>
      <c r="EMR54"/>
      <c r="EMS54"/>
      <c r="EMT54"/>
      <c r="EMU54"/>
      <c r="EMV54"/>
      <c r="EMW54"/>
      <c r="EMX54"/>
      <c r="EMY54"/>
      <c r="EMZ54"/>
      <c r="ENA54"/>
      <c r="ENB54"/>
      <c r="ENC54"/>
      <c r="END54"/>
      <c r="ENE54"/>
      <c r="ENF54"/>
      <c r="ENG54"/>
      <c r="ENH54"/>
      <c r="ENI54"/>
      <c r="ENJ54"/>
      <c r="ENK54"/>
      <c r="ENL54"/>
      <c r="ENM54"/>
      <c r="ENN54"/>
      <c r="ENO54"/>
      <c r="ENP54"/>
      <c r="ENQ54"/>
      <c r="ENR54"/>
      <c r="ENS54"/>
      <c r="ENT54"/>
      <c r="ENU54"/>
      <c r="ENV54"/>
      <c r="ENW54"/>
      <c r="ENX54"/>
      <c r="ENY54"/>
      <c r="ENZ54"/>
      <c r="EOA54"/>
      <c r="EOB54"/>
      <c r="EOC54"/>
      <c r="EOD54"/>
      <c r="EOE54"/>
      <c r="EOF54"/>
      <c r="EOG54"/>
      <c r="EOH54"/>
      <c r="EOI54"/>
      <c r="EOJ54"/>
      <c r="EOK54"/>
      <c r="EOL54"/>
      <c r="EOM54"/>
      <c r="EON54"/>
      <c r="EOO54"/>
      <c r="EOP54"/>
      <c r="EOQ54"/>
      <c r="EOR54"/>
      <c r="EOS54"/>
      <c r="EOT54"/>
      <c r="EOU54"/>
      <c r="EOV54"/>
      <c r="EOW54"/>
      <c r="EOX54"/>
      <c r="EOY54"/>
      <c r="EOZ54"/>
      <c r="EPA54"/>
      <c r="EPB54"/>
      <c r="EPC54"/>
      <c r="EPD54"/>
      <c r="EPE54"/>
      <c r="EPF54"/>
      <c r="EPG54"/>
      <c r="EPH54"/>
      <c r="EPI54"/>
      <c r="EPJ54"/>
      <c r="EPK54"/>
      <c r="EPL54"/>
      <c r="EPM54"/>
      <c r="EPN54"/>
      <c r="EPO54"/>
      <c r="EPP54"/>
      <c r="EPQ54"/>
      <c r="EPR54"/>
      <c r="EPS54"/>
      <c r="EPT54"/>
      <c r="EPU54"/>
      <c r="EPV54"/>
      <c r="EPW54"/>
      <c r="EPX54"/>
      <c r="EPY54"/>
      <c r="EPZ54"/>
      <c r="EQA54"/>
      <c r="EQB54"/>
      <c r="EQC54"/>
      <c r="EQD54"/>
      <c r="EQE54"/>
      <c r="EQF54"/>
      <c r="EQG54"/>
      <c r="EQH54"/>
      <c r="EQI54"/>
      <c r="EQJ54"/>
      <c r="EQK54"/>
      <c r="EQL54"/>
      <c r="EQM54"/>
      <c r="EQN54"/>
      <c r="EQO54"/>
      <c r="EQP54"/>
      <c r="EQQ54"/>
      <c r="EQR54"/>
      <c r="EQS54"/>
      <c r="EQT54"/>
      <c r="EQU54"/>
      <c r="EQV54"/>
      <c r="EQW54"/>
      <c r="EQX54"/>
      <c r="EQY54"/>
      <c r="EQZ54"/>
      <c r="ERA54"/>
      <c r="ERB54"/>
      <c r="ERC54"/>
      <c r="ERD54"/>
      <c r="ERE54"/>
      <c r="ERF54"/>
      <c r="ERG54"/>
      <c r="ERH54"/>
      <c r="ERI54"/>
      <c r="ERJ54"/>
      <c r="ERK54"/>
      <c r="ERL54"/>
      <c r="ERM54"/>
      <c r="ERN54"/>
      <c r="ERO54"/>
      <c r="ERP54"/>
      <c r="ERQ54"/>
      <c r="ERR54"/>
      <c r="ERS54"/>
      <c r="ERT54"/>
      <c r="ERU54"/>
      <c r="ERV54"/>
      <c r="ERW54"/>
      <c r="ERX54"/>
      <c r="ERY54"/>
      <c r="ERZ54"/>
      <c r="ESA54"/>
      <c r="ESB54"/>
      <c r="ESC54"/>
      <c r="ESD54"/>
      <c r="ESE54"/>
      <c r="ESF54"/>
      <c r="ESG54"/>
      <c r="ESH54"/>
      <c r="ESI54"/>
      <c r="ESJ54"/>
      <c r="ESK54"/>
      <c r="ESL54"/>
      <c r="ESM54"/>
      <c r="ESN54"/>
      <c r="ESO54"/>
      <c r="ESP54"/>
      <c r="ESQ54"/>
      <c r="ESR54"/>
      <c r="ESS54"/>
      <c r="EST54"/>
      <c r="ESU54"/>
      <c r="ESV54"/>
      <c r="ESW54"/>
      <c r="ESX54"/>
      <c r="ESY54"/>
      <c r="ESZ54"/>
      <c r="ETA54"/>
      <c r="ETB54"/>
      <c r="ETC54"/>
      <c r="ETD54"/>
      <c r="ETE54"/>
      <c r="ETF54"/>
      <c r="ETG54"/>
      <c r="ETH54"/>
      <c r="ETI54"/>
      <c r="ETJ54"/>
      <c r="ETK54"/>
      <c r="ETL54"/>
      <c r="ETM54"/>
      <c r="ETN54"/>
      <c r="ETO54"/>
      <c r="ETP54"/>
      <c r="ETQ54"/>
      <c r="ETR54"/>
      <c r="ETS54"/>
      <c r="ETT54"/>
      <c r="ETU54"/>
      <c r="ETV54"/>
      <c r="ETW54"/>
      <c r="ETX54"/>
      <c r="ETY54"/>
      <c r="ETZ54"/>
      <c r="EUA54"/>
      <c r="EUB54"/>
      <c r="EUC54"/>
      <c r="EUD54"/>
      <c r="EUE54"/>
      <c r="EUF54"/>
      <c r="EUG54"/>
      <c r="EUH54"/>
      <c r="EUI54"/>
      <c r="EUJ54"/>
      <c r="EUK54"/>
      <c r="EUL54"/>
      <c r="EUM54"/>
      <c r="EUN54"/>
      <c r="EUO54"/>
      <c r="EUP54"/>
      <c r="EUQ54"/>
      <c r="EUR54"/>
      <c r="EUS54"/>
      <c r="EUT54"/>
      <c r="EUU54"/>
      <c r="EUV54"/>
      <c r="EUW54"/>
      <c r="EUX54"/>
      <c r="EUY54"/>
      <c r="EUZ54"/>
      <c r="EVA54"/>
      <c r="EVB54"/>
      <c r="EVC54"/>
      <c r="EVD54"/>
      <c r="EVE54"/>
      <c r="EVF54"/>
      <c r="EVG54"/>
      <c r="EVH54"/>
      <c r="EVI54"/>
      <c r="EVJ54"/>
      <c r="EVK54"/>
      <c r="EVL54"/>
      <c r="EVM54"/>
      <c r="EVN54"/>
      <c r="EVO54"/>
      <c r="EVP54"/>
      <c r="EVQ54"/>
      <c r="EVR54"/>
      <c r="EVS54"/>
      <c r="EVT54"/>
      <c r="EVU54"/>
      <c r="EVV54"/>
      <c r="EVW54"/>
      <c r="EVX54"/>
      <c r="EVY54"/>
      <c r="EVZ54"/>
      <c r="EWA54"/>
      <c r="EWB54"/>
      <c r="EWC54"/>
      <c r="EWD54"/>
      <c r="EWE54"/>
      <c r="EWF54"/>
      <c r="EWG54"/>
      <c r="EWH54"/>
      <c r="EWI54"/>
      <c r="EWJ54"/>
      <c r="EWK54"/>
      <c r="EWL54"/>
      <c r="EWM54"/>
      <c r="EWN54"/>
      <c r="EWO54"/>
      <c r="EWP54"/>
      <c r="EWQ54"/>
      <c r="EWR54"/>
      <c r="EWS54"/>
      <c r="EWT54"/>
      <c r="EWU54"/>
      <c r="EWV54"/>
      <c r="EWW54"/>
      <c r="EWX54"/>
      <c r="EWY54"/>
      <c r="EWZ54"/>
      <c r="EXA54"/>
      <c r="EXB54"/>
      <c r="EXC54"/>
      <c r="EXD54"/>
      <c r="EXE54"/>
      <c r="EXF54"/>
      <c r="EXG54"/>
      <c r="EXH54"/>
      <c r="EXI54"/>
      <c r="EXJ54"/>
      <c r="EXK54"/>
      <c r="EXL54"/>
      <c r="EXM54"/>
      <c r="EXN54"/>
      <c r="EXO54"/>
      <c r="EXP54"/>
      <c r="EXQ54"/>
      <c r="EXR54"/>
      <c r="EXS54"/>
      <c r="EXT54"/>
      <c r="EXU54"/>
      <c r="EXV54"/>
      <c r="EXW54"/>
      <c r="EXX54"/>
      <c r="EXY54"/>
      <c r="EXZ54"/>
      <c r="EYA54"/>
      <c r="EYB54"/>
      <c r="EYC54"/>
      <c r="EYD54"/>
      <c r="EYE54"/>
      <c r="EYF54"/>
      <c r="EYG54"/>
      <c r="EYH54"/>
      <c r="EYI54"/>
      <c r="EYJ54"/>
      <c r="EYK54"/>
      <c r="EYL54"/>
      <c r="EYM54"/>
      <c r="EYN54"/>
      <c r="EYO54"/>
      <c r="EYP54"/>
      <c r="EYQ54"/>
      <c r="EYR54"/>
      <c r="EYS54"/>
      <c r="EYT54"/>
      <c r="EYU54"/>
      <c r="EYV54"/>
      <c r="EYW54"/>
      <c r="EYX54"/>
      <c r="EYY54"/>
      <c r="EYZ54"/>
      <c r="EZA54"/>
      <c r="EZB54"/>
      <c r="EZC54"/>
      <c r="EZD54"/>
      <c r="EZE54"/>
      <c r="EZF54"/>
      <c r="EZG54"/>
      <c r="EZH54"/>
      <c r="EZI54"/>
      <c r="EZJ54"/>
      <c r="EZK54"/>
      <c r="EZL54"/>
      <c r="EZM54"/>
      <c r="EZN54"/>
      <c r="EZO54"/>
      <c r="EZP54"/>
      <c r="EZQ54"/>
      <c r="EZR54"/>
      <c r="EZS54"/>
      <c r="EZT54"/>
      <c r="EZU54"/>
      <c r="EZV54"/>
      <c r="EZW54"/>
      <c r="EZX54"/>
      <c r="EZY54"/>
      <c r="EZZ54"/>
      <c r="FAA54"/>
      <c r="FAB54"/>
      <c r="FAC54"/>
      <c r="FAD54"/>
      <c r="FAE54"/>
      <c r="FAF54"/>
      <c r="FAG54"/>
      <c r="FAH54"/>
      <c r="FAI54"/>
      <c r="FAJ54"/>
      <c r="FAK54"/>
      <c r="FAL54"/>
      <c r="FAM54"/>
      <c r="FAN54"/>
      <c r="FAO54"/>
      <c r="FAP54"/>
      <c r="FAQ54"/>
      <c r="FAR54"/>
      <c r="FAS54"/>
      <c r="FAT54"/>
      <c r="FAU54"/>
      <c r="FAV54"/>
      <c r="FAW54"/>
      <c r="FAX54"/>
      <c r="FAY54"/>
      <c r="FAZ54"/>
      <c r="FBA54"/>
      <c r="FBB54"/>
      <c r="FBC54"/>
      <c r="FBD54"/>
      <c r="FBE54"/>
      <c r="FBF54"/>
      <c r="FBG54"/>
      <c r="FBH54"/>
      <c r="FBI54"/>
      <c r="FBJ54"/>
      <c r="FBK54"/>
      <c r="FBL54"/>
      <c r="FBM54"/>
      <c r="FBN54"/>
      <c r="FBO54"/>
      <c r="FBP54"/>
      <c r="FBQ54"/>
      <c r="FBR54"/>
      <c r="FBS54"/>
      <c r="FBT54"/>
      <c r="FBU54"/>
      <c r="FBV54"/>
      <c r="FBW54"/>
      <c r="FBX54"/>
      <c r="FBY54"/>
      <c r="FBZ54"/>
      <c r="FCA54"/>
      <c r="FCB54"/>
      <c r="FCC54"/>
      <c r="FCD54"/>
      <c r="FCE54"/>
      <c r="FCF54"/>
      <c r="FCG54"/>
      <c r="FCH54"/>
      <c r="FCI54"/>
      <c r="FCJ54"/>
      <c r="FCK54"/>
      <c r="FCL54"/>
      <c r="FCM54"/>
      <c r="FCN54"/>
      <c r="FCO54"/>
      <c r="FCP54"/>
      <c r="FCQ54"/>
      <c r="FCR54"/>
      <c r="FCS54"/>
      <c r="FCT54"/>
      <c r="FCU54"/>
      <c r="FCV54"/>
      <c r="FCW54"/>
      <c r="FCX54"/>
      <c r="FCY54"/>
      <c r="FCZ54"/>
      <c r="FDA54"/>
      <c r="FDB54"/>
      <c r="FDC54"/>
      <c r="FDD54"/>
      <c r="FDE54"/>
      <c r="FDF54"/>
      <c r="FDG54"/>
      <c r="FDH54"/>
      <c r="FDI54"/>
      <c r="FDJ54"/>
      <c r="FDK54"/>
      <c r="FDL54"/>
      <c r="FDM54"/>
      <c r="FDN54"/>
      <c r="FDO54"/>
      <c r="FDP54"/>
      <c r="FDQ54"/>
      <c r="FDR54"/>
      <c r="FDS54"/>
      <c r="FDT54"/>
      <c r="FDU54"/>
      <c r="FDV54"/>
      <c r="FDW54"/>
      <c r="FDX54"/>
      <c r="FDY54"/>
      <c r="FDZ54"/>
      <c r="FEA54"/>
      <c r="FEB54"/>
      <c r="FEC54"/>
      <c r="FED54"/>
      <c r="FEE54"/>
      <c r="FEF54"/>
      <c r="FEG54"/>
      <c r="FEH54"/>
      <c r="FEI54"/>
      <c r="FEJ54"/>
      <c r="FEK54"/>
      <c r="FEL54"/>
      <c r="FEM54"/>
      <c r="FEN54"/>
      <c r="FEO54"/>
      <c r="FEP54"/>
      <c r="FEQ54"/>
      <c r="FER54"/>
      <c r="FES54"/>
      <c r="FET54"/>
      <c r="FEU54"/>
      <c r="FEV54"/>
      <c r="FEW54"/>
      <c r="FEX54"/>
      <c r="FEY54"/>
      <c r="FEZ54"/>
      <c r="FFA54"/>
      <c r="FFB54"/>
      <c r="FFC54"/>
      <c r="FFD54"/>
      <c r="FFE54"/>
      <c r="FFF54"/>
      <c r="FFG54"/>
      <c r="FFH54"/>
      <c r="FFI54"/>
      <c r="FFJ54"/>
      <c r="FFK54"/>
      <c r="FFL54"/>
      <c r="FFM54"/>
      <c r="FFN54"/>
      <c r="FFO54"/>
      <c r="FFP54"/>
      <c r="FFQ54"/>
      <c r="FFR54"/>
      <c r="FFS54"/>
      <c r="FFT54"/>
      <c r="FFU54"/>
      <c r="FFV54"/>
      <c r="FFW54"/>
      <c r="FFX54"/>
      <c r="FFY54"/>
      <c r="FFZ54"/>
      <c r="FGA54"/>
      <c r="FGB54"/>
      <c r="FGC54"/>
      <c r="FGD54"/>
      <c r="FGE54"/>
      <c r="FGF54"/>
      <c r="FGG54"/>
      <c r="FGH54"/>
      <c r="FGI54"/>
      <c r="FGJ54"/>
      <c r="FGK54"/>
      <c r="FGL54"/>
      <c r="FGM54"/>
      <c r="FGN54"/>
      <c r="FGO54"/>
      <c r="FGP54"/>
      <c r="FGQ54"/>
      <c r="FGR54"/>
      <c r="FGS54"/>
      <c r="FGT54"/>
      <c r="FGU54"/>
      <c r="FGV54"/>
      <c r="FGW54"/>
      <c r="FGX54"/>
      <c r="FGY54"/>
      <c r="FGZ54"/>
      <c r="FHA54"/>
      <c r="FHB54"/>
      <c r="FHC54"/>
      <c r="FHD54"/>
      <c r="FHE54"/>
      <c r="FHF54"/>
      <c r="FHG54"/>
      <c r="FHH54"/>
      <c r="FHI54"/>
      <c r="FHJ54"/>
      <c r="FHK54"/>
      <c r="FHL54"/>
      <c r="FHM54"/>
      <c r="FHN54"/>
      <c r="FHO54"/>
      <c r="FHP54"/>
      <c r="FHQ54"/>
      <c r="FHR54"/>
      <c r="FHS54"/>
      <c r="FHT54"/>
      <c r="FHU54"/>
      <c r="FHV54"/>
      <c r="FHW54"/>
      <c r="FHX54"/>
      <c r="FHY54"/>
      <c r="FHZ54"/>
      <c r="FIA54"/>
      <c r="FIB54"/>
      <c r="FIC54"/>
      <c r="FID54"/>
      <c r="FIE54"/>
      <c r="FIF54"/>
      <c r="FIG54"/>
      <c r="FIH54"/>
      <c r="FII54"/>
      <c r="FIJ54"/>
      <c r="FIK54"/>
      <c r="FIL54"/>
      <c r="FIM54"/>
      <c r="FIN54"/>
      <c r="FIO54"/>
      <c r="FIP54"/>
      <c r="FIQ54"/>
      <c r="FIR54"/>
      <c r="FIS54"/>
      <c r="FIT54"/>
      <c r="FIU54"/>
      <c r="FIV54"/>
      <c r="FIW54"/>
      <c r="FIX54"/>
      <c r="FIY54"/>
      <c r="FIZ54"/>
      <c r="FJA54"/>
      <c r="FJB54"/>
      <c r="FJC54"/>
      <c r="FJD54"/>
      <c r="FJE54"/>
      <c r="FJF54"/>
      <c r="FJG54"/>
      <c r="FJH54"/>
      <c r="FJI54"/>
      <c r="FJJ54"/>
      <c r="FJK54"/>
      <c r="FJL54"/>
      <c r="FJM54"/>
      <c r="FJN54"/>
      <c r="FJO54"/>
      <c r="FJP54"/>
      <c r="FJQ54"/>
      <c r="FJR54"/>
      <c r="FJS54"/>
      <c r="FJT54"/>
      <c r="FJU54"/>
      <c r="FJV54"/>
      <c r="FJW54"/>
      <c r="FJX54"/>
      <c r="FJY54"/>
      <c r="FJZ54"/>
      <c r="FKA54"/>
      <c r="FKB54"/>
      <c r="FKC54"/>
      <c r="FKD54"/>
      <c r="FKE54"/>
      <c r="FKF54"/>
      <c r="FKG54"/>
      <c r="FKH54"/>
      <c r="FKI54"/>
      <c r="FKJ54"/>
      <c r="FKK54"/>
      <c r="FKL54"/>
      <c r="FKM54"/>
      <c r="FKN54"/>
      <c r="FKO54"/>
      <c r="FKP54"/>
      <c r="FKQ54"/>
      <c r="FKR54"/>
      <c r="FKS54"/>
      <c r="FKT54"/>
      <c r="FKU54"/>
      <c r="FKV54"/>
      <c r="FKW54"/>
      <c r="FKX54"/>
      <c r="FKY54"/>
      <c r="FKZ54"/>
      <c r="FLA54"/>
      <c r="FLB54"/>
      <c r="FLC54"/>
      <c r="FLD54"/>
      <c r="FLE54"/>
      <c r="FLF54"/>
      <c r="FLG54"/>
      <c r="FLH54"/>
      <c r="FLI54"/>
      <c r="FLJ54"/>
      <c r="FLK54"/>
      <c r="FLL54"/>
      <c r="FLM54"/>
      <c r="FLN54"/>
      <c r="FLO54"/>
      <c r="FLP54"/>
      <c r="FLQ54"/>
      <c r="FLR54"/>
      <c r="FLS54"/>
      <c r="FLT54"/>
      <c r="FLU54"/>
      <c r="FLV54"/>
      <c r="FLW54"/>
      <c r="FLX54"/>
      <c r="FLY54"/>
      <c r="FLZ54"/>
      <c r="FMA54"/>
      <c r="FMB54"/>
      <c r="FMC54"/>
      <c r="FMD54"/>
      <c r="FME54"/>
      <c r="FMF54"/>
      <c r="FMG54"/>
      <c r="FMH54"/>
      <c r="FMI54"/>
      <c r="FMJ54"/>
      <c r="FMK54"/>
      <c r="FML54"/>
      <c r="FMM54"/>
      <c r="FMN54"/>
      <c r="FMO54"/>
      <c r="FMP54"/>
      <c r="FMQ54"/>
      <c r="FMR54"/>
      <c r="FMS54"/>
      <c r="FMT54"/>
      <c r="FMU54"/>
      <c r="FMV54"/>
      <c r="FMW54"/>
      <c r="FMX54"/>
      <c r="FMY54"/>
      <c r="FMZ54"/>
      <c r="FNA54"/>
      <c r="FNB54"/>
      <c r="FNC54"/>
      <c r="FND54"/>
      <c r="FNE54"/>
      <c r="FNF54"/>
      <c r="FNG54"/>
      <c r="FNH54"/>
      <c r="FNI54"/>
      <c r="FNJ54"/>
      <c r="FNK54"/>
      <c r="FNL54"/>
      <c r="FNM54"/>
      <c r="FNN54"/>
      <c r="FNO54"/>
      <c r="FNP54"/>
      <c r="FNQ54"/>
      <c r="FNR54"/>
      <c r="FNS54"/>
      <c r="FNT54"/>
      <c r="FNU54"/>
      <c r="FNV54"/>
      <c r="FNW54"/>
      <c r="FNX54"/>
      <c r="FNY54"/>
      <c r="FNZ54"/>
      <c r="FOA54"/>
      <c r="FOB54"/>
      <c r="FOC54"/>
      <c r="FOD54"/>
      <c r="FOE54"/>
      <c r="FOF54"/>
      <c r="FOG54"/>
      <c r="FOH54"/>
      <c r="FOI54"/>
      <c r="FOJ54"/>
      <c r="FOK54"/>
      <c r="FOL54"/>
      <c r="FOM54"/>
      <c r="FON54"/>
      <c r="FOO54"/>
      <c r="FOP54"/>
      <c r="FOQ54"/>
      <c r="FOR54"/>
      <c r="FOS54"/>
      <c r="FOT54"/>
      <c r="FOU54"/>
      <c r="FOV54"/>
      <c r="FOW54"/>
      <c r="FOX54"/>
      <c r="FOY54"/>
      <c r="FOZ54"/>
      <c r="FPA54"/>
      <c r="FPB54"/>
      <c r="FPC54"/>
      <c r="FPD54"/>
      <c r="FPE54"/>
      <c r="FPF54"/>
      <c r="FPG54"/>
      <c r="FPH54"/>
      <c r="FPI54"/>
      <c r="FPJ54"/>
      <c r="FPK54"/>
      <c r="FPL54"/>
      <c r="FPM54"/>
      <c r="FPN54"/>
      <c r="FPO54"/>
      <c r="FPP54"/>
      <c r="FPQ54"/>
      <c r="FPR54"/>
      <c r="FPS54"/>
      <c r="FPT54"/>
      <c r="FPU54"/>
      <c r="FPV54"/>
      <c r="FPW54"/>
      <c r="FPX54"/>
      <c r="FPY54"/>
      <c r="FPZ54"/>
      <c r="FQA54"/>
      <c r="FQB54"/>
      <c r="FQC54"/>
      <c r="FQD54"/>
      <c r="FQE54"/>
      <c r="FQF54"/>
      <c r="FQG54"/>
      <c r="FQH54"/>
      <c r="FQI54"/>
      <c r="FQJ54"/>
      <c r="FQK54"/>
      <c r="FQL54"/>
      <c r="FQM54"/>
      <c r="FQN54"/>
      <c r="FQO54"/>
      <c r="FQP54"/>
      <c r="FQQ54"/>
      <c r="FQR54"/>
      <c r="FQS54"/>
      <c r="FQT54"/>
      <c r="FQU54"/>
      <c r="FQV54"/>
      <c r="FQW54"/>
      <c r="FQX54"/>
      <c r="FQY54"/>
      <c r="FQZ54"/>
      <c r="FRA54"/>
      <c r="FRB54"/>
      <c r="FRC54"/>
      <c r="FRD54"/>
      <c r="FRE54"/>
      <c r="FRF54"/>
      <c r="FRG54"/>
      <c r="FRH54"/>
      <c r="FRI54"/>
      <c r="FRJ54"/>
      <c r="FRK54"/>
      <c r="FRL54"/>
      <c r="FRM54"/>
      <c r="FRN54"/>
      <c r="FRO54"/>
      <c r="FRP54"/>
      <c r="FRQ54"/>
      <c r="FRR54"/>
      <c r="FRS54"/>
      <c r="FRT54"/>
      <c r="FRU54"/>
      <c r="FRV54"/>
      <c r="FRW54"/>
      <c r="FRX54"/>
      <c r="FRY54"/>
      <c r="FRZ54"/>
      <c r="FSA54"/>
      <c r="FSB54"/>
      <c r="FSC54"/>
      <c r="FSD54"/>
      <c r="FSE54"/>
      <c r="FSF54"/>
      <c r="FSG54"/>
      <c r="FSH54"/>
      <c r="FSI54"/>
      <c r="FSJ54"/>
      <c r="FSK54"/>
      <c r="FSL54"/>
      <c r="FSM54"/>
      <c r="FSN54"/>
      <c r="FSO54"/>
      <c r="FSP54"/>
      <c r="FSQ54"/>
      <c r="FSR54"/>
      <c r="FSS54"/>
      <c r="FST54"/>
      <c r="FSU54"/>
      <c r="FSV54"/>
      <c r="FSW54"/>
      <c r="FSX54"/>
      <c r="FSY54"/>
      <c r="FSZ54"/>
      <c r="FTA54"/>
      <c r="FTB54"/>
      <c r="FTC54"/>
      <c r="FTD54"/>
      <c r="FTE54"/>
      <c r="FTF54"/>
      <c r="FTG54"/>
      <c r="FTH54"/>
      <c r="FTI54"/>
      <c r="FTJ54"/>
      <c r="FTK54"/>
      <c r="FTL54"/>
      <c r="FTM54"/>
      <c r="FTN54"/>
      <c r="FTO54"/>
      <c r="FTP54"/>
      <c r="FTQ54"/>
      <c r="FTR54"/>
      <c r="FTS54"/>
      <c r="FTT54"/>
      <c r="FTU54"/>
      <c r="FTV54"/>
      <c r="FTW54"/>
      <c r="FTX54"/>
      <c r="FTY54"/>
      <c r="FTZ54"/>
      <c r="FUA54"/>
      <c r="FUB54"/>
      <c r="FUC54"/>
      <c r="FUD54"/>
      <c r="FUE54"/>
      <c r="FUF54"/>
      <c r="FUG54"/>
      <c r="FUH54"/>
      <c r="FUI54"/>
      <c r="FUJ54"/>
      <c r="FUK54"/>
      <c r="FUL54"/>
      <c r="FUM54"/>
      <c r="FUN54"/>
      <c r="FUO54"/>
      <c r="FUP54"/>
      <c r="FUQ54"/>
      <c r="FUR54"/>
      <c r="FUS54"/>
      <c r="FUT54"/>
      <c r="FUU54"/>
      <c r="FUV54"/>
      <c r="FUW54"/>
      <c r="FUX54"/>
      <c r="FUY54"/>
      <c r="FUZ54"/>
      <c r="FVA54"/>
      <c r="FVB54"/>
      <c r="FVC54"/>
      <c r="FVD54"/>
      <c r="FVE54"/>
      <c r="FVF54"/>
      <c r="FVG54"/>
      <c r="FVH54"/>
      <c r="FVI54"/>
      <c r="FVJ54"/>
      <c r="FVK54"/>
      <c r="FVL54"/>
      <c r="FVM54"/>
      <c r="FVN54"/>
      <c r="FVO54"/>
      <c r="FVP54"/>
      <c r="FVQ54"/>
      <c r="FVR54"/>
      <c r="FVS54"/>
      <c r="FVT54"/>
      <c r="FVU54"/>
      <c r="FVV54"/>
      <c r="FVW54"/>
      <c r="FVX54"/>
      <c r="FVY54"/>
      <c r="FVZ54"/>
      <c r="FWA54"/>
      <c r="FWB54"/>
      <c r="FWC54"/>
      <c r="FWD54"/>
      <c r="FWE54"/>
      <c r="FWF54"/>
      <c r="FWG54"/>
      <c r="FWH54"/>
      <c r="FWI54"/>
      <c r="FWJ54"/>
      <c r="FWK54"/>
      <c r="FWL54"/>
      <c r="FWM54"/>
      <c r="FWN54"/>
      <c r="FWO54"/>
      <c r="FWP54"/>
      <c r="FWQ54"/>
      <c r="FWR54"/>
      <c r="FWS54"/>
      <c r="FWT54"/>
      <c r="FWU54"/>
      <c r="FWV54"/>
      <c r="FWW54"/>
      <c r="FWX54"/>
      <c r="FWY54"/>
      <c r="FWZ54"/>
      <c r="FXA54"/>
      <c r="FXB54"/>
      <c r="FXC54"/>
      <c r="FXD54"/>
      <c r="FXE54"/>
      <c r="FXF54"/>
      <c r="FXG54"/>
      <c r="FXH54"/>
      <c r="FXI54"/>
      <c r="FXJ54"/>
      <c r="FXK54"/>
      <c r="FXL54"/>
      <c r="FXM54"/>
      <c r="FXN54"/>
      <c r="FXO54"/>
      <c r="FXP54"/>
      <c r="FXQ54"/>
      <c r="FXR54"/>
      <c r="FXS54"/>
      <c r="FXT54"/>
      <c r="FXU54"/>
      <c r="FXV54"/>
      <c r="FXW54"/>
      <c r="FXX54"/>
      <c r="FXY54"/>
      <c r="FXZ54"/>
      <c r="FYA54"/>
      <c r="FYB54"/>
      <c r="FYC54"/>
      <c r="FYD54"/>
      <c r="FYE54"/>
      <c r="FYF54"/>
      <c r="FYG54"/>
      <c r="FYH54"/>
      <c r="FYI54"/>
      <c r="FYJ54"/>
      <c r="FYK54"/>
      <c r="FYL54"/>
      <c r="FYM54"/>
      <c r="FYN54"/>
      <c r="FYO54"/>
      <c r="FYP54"/>
      <c r="FYQ54"/>
      <c r="FYR54"/>
      <c r="FYS54"/>
      <c r="FYT54"/>
      <c r="FYU54"/>
      <c r="FYV54"/>
      <c r="FYW54"/>
      <c r="FYX54"/>
      <c r="FYY54"/>
      <c r="FYZ54"/>
      <c r="FZA54"/>
      <c r="FZB54"/>
      <c r="FZC54"/>
      <c r="FZD54"/>
      <c r="FZE54"/>
      <c r="FZF54"/>
      <c r="FZG54"/>
      <c r="FZH54"/>
      <c r="FZI54"/>
      <c r="FZJ54"/>
      <c r="FZK54"/>
      <c r="FZL54"/>
      <c r="FZM54"/>
      <c r="FZN54"/>
      <c r="FZO54"/>
      <c r="FZP54"/>
      <c r="FZQ54"/>
      <c r="FZR54"/>
      <c r="FZS54"/>
      <c r="FZT54"/>
      <c r="FZU54"/>
      <c r="FZV54"/>
      <c r="FZW54"/>
      <c r="FZX54"/>
      <c r="FZY54"/>
      <c r="FZZ54"/>
      <c r="GAA54"/>
      <c r="GAB54"/>
      <c r="GAC54"/>
      <c r="GAD54"/>
      <c r="GAE54"/>
      <c r="GAF54"/>
      <c r="GAG54"/>
      <c r="GAH54"/>
      <c r="GAI54"/>
      <c r="GAJ54"/>
      <c r="GAK54"/>
      <c r="GAL54"/>
      <c r="GAM54"/>
      <c r="GAN54"/>
      <c r="GAO54"/>
      <c r="GAP54"/>
      <c r="GAQ54"/>
      <c r="GAR54"/>
      <c r="GAS54"/>
      <c r="GAT54"/>
      <c r="GAU54"/>
      <c r="GAV54"/>
      <c r="GAW54"/>
      <c r="GAX54"/>
      <c r="GAY54"/>
      <c r="GAZ54"/>
      <c r="GBA54"/>
      <c r="GBB54"/>
      <c r="GBC54"/>
      <c r="GBD54"/>
      <c r="GBE54"/>
      <c r="GBF54"/>
      <c r="GBG54"/>
      <c r="GBH54"/>
      <c r="GBI54"/>
      <c r="GBJ54"/>
      <c r="GBK54"/>
      <c r="GBL54"/>
      <c r="GBM54"/>
      <c r="GBN54"/>
      <c r="GBO54"/>
      <c r="GBP54"/>
      <c r="GBQ54"/>
      <c r="GBR54"/>
      <c r="GBS54"/>
      <c r="GBT54"/>
      <c r="GBU54"/>
      <c r="GBV54"/>
      <c r="GBW54"/>
      <c r="GBX54"/>
      <c r="GBY54"/>
      <c r="GBZ54"/>
      <c r="GCA54"/>
      <c r="GCB54"/>
      <c r="GCC54"/>
      <c r="GCD54"/>
      <c r="GCE54"/>
      <c r="GCF54"/>
      <c r="GCG54"/>
      <c r="GCH54"/>
      <c r="GCI54"/>
      <c r="GCJ54"/>
      <c r="GCK54"/>
      <c r="GCL54"/>
      <c r="GCM54"/>
      <c r="GCN54"/>
      <c r="GCO54"/>
      <c r="GCP54"/>
      <c r="GCQ54"/>
      <c r="GCR54"/>
      <c r="GCS54"/>
      <c r="GCT54"/>
      <c r="GCU54"/>
      <c r="GCV54"/>
      <c r="GCW54"/>
      <c r="GCX54"/>
      <c r="GCY54"/>
      <c r="GCZ54"/>
      <c r="GDA54"/>
      <c r="GDB54"/>
      <c r="GDC54"/>
      <c r="GDD54"/>
      <c r="GDE54"/>
      <c r="GDF54"/>
      <c r="GDG54"/>
      <c r="GDH54"/>
      <c r="GDI54"/>
      <c r="GDJ54"/>
      <c r="GDK54"/>
      <c r="GDL54"/>
      <c r="GDM54"/>
      <c r="GDN54"/>
      <c r="GDO54"/>
      <c r="GDP54"/>
      <c r="GDQ54"/>
      <c r="GDR54"/>
      <c r="GDS54"/>
      <c r="GDT54"/>
      <c r="GDU54"/>
      <c r="GDV54"/>
      <c r="GDW54"/>
      <c r="GDX54"/>
      <c r="GDY54"/>
      <c r="GDZ54"/>
      <c r="GEA54"/>
      <c r="GEB54"/>
      <c r="GEC54"/>
      <c r="GED54"/>
      <c r="GEE54"/>
      <c r="GEF54"/>
      <c r="GEG54"/>
      <c r="GEH54"/>
      <c r="GEI54"/>
      <c r="GEJ54"/>
      <c r="GEK54"/>
      <c r="GEL54"/>
      <c r="GEM54"/>
      <c r="GEN54"/>
      <c r="GEO54"/>
      <c r="GEP54"/>
      <c r="GEQ54"/>
      <c r="GER54"/>
      <c r="GES54"/>
      <c r="GET54"/>
      <c r="GEU54"/>
      <c r="GEV54"/>
      <c r="GEW54"/>
      <c r="GEX54"/>
      <c r="GEY54"/>
      <c r="GEZ54"/>
      <c r="GFA54"/>
      <c r="GFB54"/>
      <c r="GFC54"/>
      <c r="GFD54"/>
      <c r="GFE54"/>
      <c r="GFF54"/>
      <c r="GFG54"/>
      <c r="GFH54"/>
      <c r="GFI54"/>
      <c r="GFJ54"/>
      <c r="GFK54"/>
      <c r="GFL54"/>
      <c r="GFM54"/>
      <c r="GFN54"/>
      <c r="GFO54"/>
      <c r="GFP54"/>
      <c r="GFQ54"/>
      <c r="GFR54"/>
      <c r="GFS54"/>
      <c r="GFT54"/>
      <c r="GFU54"/>
      <c r="GFV54"/>
      <c r="GFW54"/>
      <c r="GFX54"/>
      <c r="GFY54"/>
      <c r="GFZ54"/>
      <c r="GGA54"/>
      <c r="GGB54"/>
      <c r="GGC54"/>
      <c r="GGD54"/>
      <c r="GGE54"/>
      <c r="GGF54"/>
      <c r="GGG54"/>
      <c r="GGH54"/>
      <c r="GGI54"/>
      <c r="GGJ54"/>
      <c r="GGK54"/>
      <c r="GGL54"/>
      <c r="GGM54"/>
      <c r="GGN54"/>
      <c r="GGO54"/>
      <c r="GGP54"/>
      <c r="GGQ54"/>
      <c r="GGR54"/>
      <c r="GGS54"/>
      <c r="GGT54"/>
      <c r="GGU54"/>
      <c r="GGV54"/>
      <c r="GGW54"/>
      <c r="GGX54"/>
      <c r="GGY54"/>
      <c r="GGZ54"/>
      <c r="GHA54"/>
      <c r="GHB54"/>
      <c r="GHC54"/>
      <c r="GHD54"/>
      <c r="GHE54"/>
      <c r="GHF54"/>
      <c r="GHG54"/>
      <c r="GHH54"/>
      <c r="GHI54"/>
      <c r="GHJ54"/>
      <c r="GHK54"/>
      <c r="GHL54"/>
      <c r="GHM54"/>
      <c r="GHN54"/>
      <c r="GHO54"/>
      <c r="GHP54"/>
      <c r="GHQ54"/>
      <c r="GHR54"/>
      <c r="GHS54"/>
      <c r="GHT54"/>
      <c r="GHU54"/>
      <c r="GHV54"/>
      <c r="GHW54"/>
      <c r="GHX54"/>
      <c r="GHY54"/>
      <c r="GHZ54"/>
      <c r="GIA54"/>
      <c r="GIB54"/>
      <c r="GIC54"/>
      <c r="GID54"/>
      <c r="GIE54"/>
      <c r="GIF54"/>
      <c r="GIG54"/>
      <c r="GIH54"/>
      <c r="GII54"/>
      <c r="GIJ54"/>
      <c r="GIK54"/>
      <c r="GIL54"/>
      <c r="GIM54"/>
      <c r="GIN54"/>
      <c r="GIO54"/>
      <c r="GIP54"/>
      <c r="GIQ54"/>
      <c r="GIR54"/>
      <c r="GIS54"/>
      <c r="GIT54"/>
      <c r="GIU54"/>
      <c r="GIV54"/>
      <c r="GIW54"/>
      <c r="GIX54"/>
      <c r="GIY54"/>
      <c r="GIZ54"/>
      <c r="GJA54"/>
      <c r="GJB54"/>
      <c r="GJC54"/>
      <c r="GJD54"/>
      <c r="GJE54"/>
      <c r="GJF54"/>
      <c r="GJG54"/>
      <c r="GJH54"/>
      <c r="GJI54"/>
      <c r="GJJ54"/>
      <c r="GJK54"/>
      <c r="GJL54"/>
      <c r="GJM54"/>
      <c r="GJN54"/>
      <c r="GJO54"/>
      <c r="GJP54"/>
      <c r="GJQ54"/>
      <c r="GJR54"/>
      <c r="GJS54"/>
      <c r="GJT54"/>
      <c r="GJU54"/>
      <c r="GJV54"/>
      <c r="GJW54"/>
      <c r="GJX54"/>
      <c r="GJY54"/>
      <c r="GJZ54"/>
      <c r="GKA54"/>
      <c r="GKB54"/>
      <c r="GKC54"/>
      <c r="GKD54"/>
      <c r="GKE54"/>
      <c r="GKF54"/>
      <c r="GKG54"/>
      <c r="GKH54"/>
      <c r="GKI54"/>
      <c r="GKJ54"/>
      <c r="GKK54"/>
      <c r="GKL54"/>
      <c r="GKM54"/>
      <c r="GKN54"/>
      <c r="GKO54"/>
      <c r="GKP54"/>
      <c r="GKQ54"/>
      <c r="GKR54"/>
      <c r="GKS54"/>
      <c r="GKT54"/>
      <c r="GKU54"/>
      <c r="GKV54"/>
      <c r="GKW54"/>
      <c r="GKX54"/>
      <c r="GKY54"/>
      <c r="GKZ54"/>
      <c r="GLA54"/>
      <c r="GLB54"/>
      <c r="GLC54"/>
      <c r="GLD54"/>
      <c r="GLE54"/>
      <c r="GLF54"/>
      <c r="GLG54"/>
      <c r="GLH54"/>
      <c r="GLI54"/>
      <c r="GLJ54"/>
      <c r="GLK54"/>
      <c r="GLL54"/>
      <c r="GLM54"/>
      <c r="GLN54"/>
      <c r="GLO54"/>
      <c r="GLP54"/>
      <c r="GLQ54"/>
      <c r="GLR54"/>
      <c r="GLS54"/>
      <c r="GLT54"/>
      <c r="GLU54"/>
      <c r="GLV54"/>
      <c r="GLW54"/>
      <c r="GLX54"/>
      <c r="GLY54"/>
      <c r="GLZ54"/>
      <c r="GMA54"/>
      <c r="GMB54"/>
      <c r="GMC54"/>
      <c r="GMD54"/>
      <c r="GME54"/>
      <c r="GMF54"/>
      <c r="GMG54"/>
      <c r="GMH54"/>
      <c r="GMI54"/>
      <c r="GMJ54"/>
      <c r="GMK54"/>
      <c r="GML54"/>
      <c r="GMM54"/>
      <c r="GMN54"/>
      <c r="GMO54"/>
      <c r="GMP54"/>
      <c r="GMQ54"/>
      <c r="GMR54"/>
      <c r="GMS54"/>
      <c r="GMT54"/>
      <c r="GMU54"/>
      <c r="GMV54"/>
      <c r="GMW54"/>
      <c r="GMX54"/>
      <c r="GMY54"/>
      <c r="GMZ54"/>
      <c r="GNA54"/>
      <c r="GNB54"/>
      <c r="GNC54"/>
      <c r="GND54"/>
      <c r="GNE54"/>
      <c r="GNF54"/>
      <c r="GNG54"/>
      <c r="GNH54"/>
      <c r="GNI54"/>
      <c r="GNJ54"/>
      <c r="GNK54"/>
      <c r="GNL54"/>
      <c r="GNM54"/>
      <c r="GNN54"/>
      <c r="GNO54"/>
      <c r="GNP54"/>
      <c r="GNQ54"/>
      <c r="GNR54"/>
      <c r="GNS54"/>
      <c r="GNT54"/>
      <c r="GNU54"/>
      <c r="GNV54"/>
      <c r="GNW54"/>
      <c r="GNX54"/>
      <c r="GNY54"/>
      <c r="GNZ54"/>
      <c r="GOA54"/>
      <c r="GOB54"/>
      <c r="GOC54"/>
      <c r="GOD54"/>
      <c r="GOE54"/>
      <c r="GOF54"/>
      <c r="GOG54"/>
      <c r="GOH54"/>
      <c r="GOI54"/>
      <c r="GOJ54"/>
      <c r="GOK54"/>
      <c r="GOL54"/>
      <c r="GOM54"/>
      <c r="GON54"/>
      <c r="GOO54"/>
      <c r="GOP54"/>
      <c r="GOQ54"/>
      <c r="GOR54"/>
      <c r="GOS54"/>
      <c r="GOT54"/>
      <c r="GOU54"/>
      <c r="GOV54"/>
      <c r="GOW54"/>
      <c r="GOX54"/>
      <c r="GOY54"/>
      <c r="GOZ54"/>
      <c r="GPA54"/>
      <c r="GPB54"/>
      <c r="GPC54"/>
      <c r="GPD54"/>
      <c r="GPE54"/>
      <c r="GPF54"/>
      <c r="GPG54"/>
      <c r="GPH54"/>
      <c r="GPI54"/>
      <c r="GPJ54"/>
      <c r="GPK54"/>
      <c r="GPL54"/>
      <c r="GPM54"/>
      <c r="GPN54"/>
      <c r="GPO54"/>
      <c r="GPP54"/>
      <c r="GPQ54"/>
      <c r="GPR54"/>
      <c r="GPS54"/>
      <c r="GPT54"/>
      <c r="GPU54"/>
      <c r="GPV54"/>
      <c r="GPW54"/>
      <c r="GPX54"/>
      <c r="GPY54"/>
      <c r="GPZ54"/>
      <c r="GQA54"/>
      <c r="GQB54"/>
      <c r="GQC54"/>
      <c r="GQD54"/>
      <c r="GQE54"/>
      <c r="GQF54"/>
      <c r="GQG54"/>
      <c r="GQH54"/>
      <c r="GQI54"/>
      <c r="GQJ54"/>
      <c r="GQK54"/>
      <c r="GQL54"/>
      <c r="GQM54"/>
      <c r="GQN54"/>
      <c r="GQO54"/>
      <c r="GQP54"/>
      <c r="GQQ54"/>
      <c r="GQR54"/>
      <c r="GQS54"/>
      <c r="GQT54"/>
      <c r="GQU54"/>
      <c r="GQV54"/>
      <c r="GQW54"/>
      <c r="GQX54"/>
      <c r="GQY54"/>
      <c r="GQZ54"/>
      <c r="GRA54"/>
      <c r="GRB54"/>
      <c r="GRC54"/>
      <c r="GRD54"/>
      <c r="GRE54"/>
      <c r="GRF54"/>
      <c r="GRG54"/>
      <c r="GRH54"/>
      <c r="GRI54"/>
      <c r="GRJ54"/>
      <c r="GRK54"/>
      <c r="GRL54"/>
      <c r="GRM54"/>
      <c r="GRN54"/>
      <c r="GRO54"/>
      <c r="GRP54"/>
      <c r="GRQ54"/>
      <c r="GRR54"/>
      <c r="GRS54"/>
      <c r="GRT54"/>
      <c r="GRU54"/>
      <c r="GRV54"/>
      <c r="GRW54"/>
      <c r="GRX54"/>
      <c r="GRY54"/>
      <c r="GRZ54"/>
      <c r="GSA54"/>
      <c r="GSB54"/>
      <c r="GSC54"/>
      <c r="GSD54"/>
      <c r="GSE54"/>
      <c r="GSF54"/>
      <c r="GSG54"/>
      <c r="GSH54"/>
      <c r="GSI54"/>
      <c r="GSJ54"/>
      <c r="GSK54"/>
      <c r="GSL54"/>
      <c r="GSM54"/>
      <c r="GSN54"/>
      <c r="GSO54"/>
      <c r="GSP54"/>
      <c r="GSQ54"/>
      <c r="GSR54"/>
      <c r="GSS54"/>
      <c r="GST54"/>
      <c r="GSU54"/>
      <c r="GSV54"/>
      <c r="GSW54"/>
      <c r="GSX54"/>
      <c r="GSY54"/>
      <c r="GSZ54"/>
      <c r="GTA54"/>
      <c r="GTB54"/>
      <c r="GTC54"/>
      <c r="GTD54"/>
      <c r="GTE54"/>
      <c r="GTF54"/>
      <c r="GTG54"/>
      <c r="GTH54"/>
      <c r="GTI54"/>
      <c r="GTJ54"/>
      <c r="GTK54"/>
      <c r="GTL54"/>
      <c r="GTM54"/>
      <c r="GTN54"/>
      <c r="GTO54"/>
      <c r="GTP54"/>
      <c r="GTQ54"/>
      <c r="GTR54"/>
      <c r="GTS54"/>
      <c r="GTT54"/>
      <c r="GTU54"/>
      <c r="GTV54"/>
      <c r="GTW54"/>
      <c r="GTX54"/>
      <c r="GTY54"/>
      <c r="GTZ54"/>
      <c r="GUA54"/>
      <c r="GUB54"/>
      <c r="GUC54"/>
      <c r="GUD54"/>
      <c r="GUE54"/>
      <c r="GUF54"/>
      <c r="GUG54"/>
      <c r="GUH54"/>
      <c r="GUI54"/>
      <c r="GUJ54"/>
      <c r="GUK54"/>
      <c r="GUL54"/>
      <c r="GUM54"/>
      <c r="GUN54"/>
      <c r="GUO54"/>
      <c r="GUP54"/>
      <c r="GUQ54"/>
      <c r="GUR54"/>
      <c r="GUS54"/>
      <c r="GUT54"/>
      <c r="GUU54"/>
      <c r="GUV54"/>
      <c r="GUW54"/>
      <c r="GUX54"/>
      <c r="GUY54"/>
      <c r="GUZ54"/>
      <c r="GVA54"/>
      <c r="GVB54"/>
      <c r="GVC54"/>
      <c r="GVD54"/>
      <c r="GVE54"/>
      <c r="GVF54"/>
      <c r="GVG54"/>
      <c r="GVH54"/>
      <c r="GVI54"/>
      <c r="GVJ54"/>
      <c r="GVK54"/>
      <c r="GVL54"/>
      <c r="GVM54"/>
      <c r="GVN54"/>
      <c r="GVO54"/>
      <c r="GVP54"/>
      <c r="GVQ54"/>
      <c r="GVR54"/>
      <c r="GVS54"/>
      <c r="GVT54"/>
      <c r="GVU54"/>
      <c r="GVV54"/>
      <c r="GVW54"/>
      <c r="GVX54"/>
      <c r="GVY54"/>
      <c r="GVZ54"/>
      <c r="GWA54"/>
      <c r="GWB54"/>
      <c r="GWC54"/>
      <c r="GWD54"/>
      <c r="GWE54"/>
      <c r="GWF54"/>
      <c r="GWG54"/>
      <c r="GWH54"/>
      <c r="GWI54"/>
      <c r="GWJ54"/>
      <c r="GWK54"/>
      <c r="GWL54"/>
      <c r="GWM54"/>
      <c r="GWN54"/>
      <c r="GWO54"/>
      <c r="GWP54"/>
      <c r="GWQ54"/>
      <c r="GWR54"/>
      <c r="GWS54"/>
      <c r="GWT54"/>
      <c r="GWU54"/>
      <c r="GWV54"/>
      <c r="GWW54"/>
      <c r="GWX54"/>
      <c r="GWY54"/>
      <c r="GWZ54"/>
      <c r="GXA54"/>
      <c r="GXB54"/>
      <c r="GXC54"/>
      <c r="GXD54"/>
      <c r="GXE54"/>
      <c r="GXF54"/>
      <c r="GXG54"/>
      <c r="GXH54"/>
      <c r="GXI54"/>
      <c r="GXJ54"/>
      <c r="GXK54"/>
      <c r="GXL54"/>
      <c r="GXM54"/>
      <c r="GXN54"/>
      <c r="GXO54"/>
      <c r="GXP54"/>
      <c r="GXQ54"/>
      <c r="GXR54"/>
      <c r="GXS54"/>
      <c r="GXT54"/>
      <c r="GXU54"/>
      <c r="GXV54"/>
      <c r="GXW54"/>
      <c r="GXX54"/>
      <c r="GXY54"/>
      <c r="GXZ54"/>
      <c r="GYA54"/>
      <c r="GYB54"/>
      <c r="GYC54"/>
      <c r="GYD54"/>
      <c r="GYE54"/>
      <c r="GYF54"/>
      <c r="GYG54"/>
      <c r="GYH54"/>
      <c r="GYI54"/>
      <c r="GYJ54"/>
      <c r="GYK54"/>
      <c r="GYL54"/>
      <c r="GYM54"/>
      <c r="GYN54"/>
      <c r="GYO54"/>
      <c r="GYP54"/>
      <c r="GYQ54"/>
      <c r="GYR54"/>
      <c r="GYS54"/>
      <c r="GYT54"/>
      <c r="GYU54"/>
      <c r="GYV54"/>
      <c r="GYW54"/>
      <c r="GYX54"/>
      <c r="GYY54"/>
      <c r="GYZ54"/>
      <c r="GZA54"/>
      <c r="GZB54"/>
      <c r="GZC54"/>
      <c r="GZD54"/>
      <c r="GZE54"/>
      <c r="GZF54"/>
      <c r="GZG54"/>
      <c r="GZH54"/>
      <c r="GZI54"/>
      <c r="GZJ54"/>
      <c r="GZK54"/>
      <c r="GZL54"/>
      <c r="GZM54"/>
      <c r="GZN54"/>
      <c r="GZO54"/>
      <c r="GZP54"/>
      <c r="GZQ54"/>
      <c r="GZR54"/>
      <c r="GZS54"/>
      <c r="GZT54"/>
      <c r="GZU54"/>
      <c r="GZV54"/>
      <c r="GZW54"/>
      <c r="GZX54"/>
      <c r="GZY54"/>
      <c r="GZZ54"/>
      <c r="HAA54"/>
      <c r="HAB54"/>
      <c r="HAC54"/>
      <c r="HAD54"/>
      <c r="HAE54"/>
      <c r="HAF54"/>
      <c r="HAG54"/>
      <c r="HAH54"/>
      <c r="HAI54"/>
      <c r="HAJ54"/>
      <c r="HAK54"/>
      <c r="HAL54"/>
      <c r="HAM54"/>
      <c r="HAN54"/>
      <c r="HAO54"/>
      <c r="HAP54"/>
      <c r="HAQ54"/>
      <c r="HAR54"/>
      <c r="HAS54"/>
      <c r="HAT54"/>
      <c r="HAU54"/>
      <c r="HAV54"/>
      <c r="HAW54"/>
      <c r="HAX54"/>
      <c r="HAY54"/>
      <c r="HAZ54"/>
      <c r="HBA54"/>
      <c r="HBB54"/>
      <c r="HBC54"/>
      <c r="HBD54"/>
      <c r="HBE54"/>
      <c r="HBF54"/>
      <c r="HBG54"/>
      <c r="HBH54"/>
      <c r="HBI54"/>
      <c r="HBJ54"/>
      <c r="HBK54"/>
      <c r="HBL54"/>
      <c r="HBM54"/>
      <c r="HBN54"/>
      <c r="HBO54"/>
      <c r="HBP54"/>
      <c r="HBQ54"/>
      <c r="HBR54"/>
      <c r="HBS54"/>
      <c r="HBT54"/>
      <c r="HBU54"/>
      <c r="HBV54"/>
      <c r="HBW54"/>
      <c r="HBX54"/>
      <c r="HBY54"/>
      <c r="HBZ54"/>
      <c r="HCA54"/>
      <c r="HCB54"/>
      <c r="HCC54"/>
      <c r="HCD54"/>
      <c r="HCE54"/>
      <c r="HCF54"/>
      <c r="HCG54"/>
      <c r="HCH54"/>
      <c r="HCI54"/>
      <c r="HCJ54"/>
      <c r="HCK54"/>
      <c r="HCL54"/>
      <c r="HCM54"/>
      <c r="HCN54"/>
      <c r="HCO54"/>
      <c r="HCP54"/>
      <c r="HCQ54"/>
      <c r="HCR54"/>
      <c r="HCS54"/>
      <c r="HCT54"/>
      <c r="HCU54"/>
      <c r="HCV54"/>
      <c r="HCW54"/>
      <c r="HCX54"/>
      <c r="HCY54"/>
      <c r="HCZ54"/>
      <c r="HDA54"/>
      <c r="HDB54"/>
      <c r="HDC54"/>
      <c r="HDD54"/>
      <c r="HDE54"/>
      <c r="HDF54"/>
      <c r="HDG54"/>
      <c r="HDH54"/>
      <c r="HDI54"/>
      <c r="HDJ54"/>
      <c r="HDK54"/>
      <c r="HDL54"/>
      <c r="HDM54"/>
      <c r="HDN54"/>
      <c r="HDO54"/>
      <c r="HDP54"/>
      <c r="HDQ54"/>
      <c r="HDR54"/>
      <c r="HDS54"/>
      <c r="HDT54"/>
      <c r="HDU54"/>
      <c r="HDV54"/>
      <c r="HDW54"/>
      <c r="HDX54"/>
      <c r="HDY54"/>
      <c r="HDZ54"/>
      <c r="HEA54"/>
      <c r="HEB54"/>
      <c r="HEC54"/>
      <c r="HED54"/>
      <c r="HEE54"/>
      <c r="HEF54"/>
      <c r="HEG54"/>
      <c r="HEH54"/>
      <c r="HEI54"/>
      <c r="HEJ54"/>
      <c r="HEK54"/>
      <c r="HEL54"/>
      <c r="HEM54"/>
      <c r="HEN54"/>
      <c r="HEO54"/>
      <c r="HEP54"/>
      <c r="HEQ54"/>
      <c r="HER54"/>
      <c r="HES54"/>
      <c r="HET54"/>
      <c r="HEU54"/>
      <c r="HEV54"/>
      <c r="HEW54"/>
      <c r="HEX54"/>
      <c r="HEY54"/>
      <c r="HEZ54"/>
      <c r="HFA54"/>
      <c r="HFB54"/>
      <c r="HFC54"/>
      <c r="HFD54"/>
      <c r="HFE54"/>
      <c r="HFF54"/>
      <c r="HFG54"/>
      <c r="HFH54"/>
      <c r="HFI54"/>
      <c r="HFJ54"/>
      <c r="HFK54"/>
      <c r="HFL54"/>
      <c r="HFM54"/>
      <c r="HFN54"/>
      <c r="HFO54"/>
      <c r="HFP54"/>
      <c r="HFQ54"/>
      <c r="HFR54"/>
      <c r="HFS54"/>
      <c r="HFT54"/>
      <c r="HFU54"/>
      <c r="HFV54"/>
      <c r="HFW54"/>
      <c r="HFX54"/>
      <c r="HFY54"/>
      <c r="HFZ54"/>
      <c r="HGA54"/>
      <c r="HGB54"/>
      <c r="HGC54"/>
      <c r="HGD54"/>
      <c r="HGE54"/>
      <c r="HGF54"/>
      <c r="HGG54"/>
      <c r="HGH54"/>
      <c r="HGI54"/>
      <c r="HGJ54"/>
      <c r="HGK54"/>
      <c r="HGL54"/>
      <c r="HGM54"/>
      <c r="HGN54"/>
      <c r="HGO54"/>
      <c r="HGP54"/>
      <c r="HGQ54"/>
      <c r="HGR54"/>
      <c r="HGS54"/>
      <c r="HGT54"/>
      <c r="HGU54"/>
      <c r="HGV54"/>
      <c r="HGW54"/>
      <c r="HGX54"/>
      <c r="HGY54"/>
      <c r="HGZ54"/>
      <c r="HHA54"/>
      <c r="HHB54"/>
      <c r="HHC54"/>
      <c r="HHD54"/>
      <c r="HHE54"/>
      <c r="HHF54"/>
      <c r="HHG54"/>
      <c r="HHH54"/>
      <c r="HHI54"/>
      <c r="HHJ54"/>
      <c r="HHK54"/>
      <c r="HHL54"/>
      <c r="HHM54"/>
      <c r="HHN54"/>
      <c r="HHO54"/>
      <c r="HHP54"/>
      <c r="HHQ54"/>
      <c r="HHR54"/>
      <c r="HHS54"/>
      <c r="HHT54"/>
      <c r="HHU54"/>
      <c r="HHV54"/>
      <c r="HHW54"/>
      <c r="HHX54"/>
      <c r="HHY54"/>
      <c r="HHZ54"/>
      <c r="HIA54"/>
      <c r="HIB54"/>
      <c r="HIC54"/>
      <c r="HID54"/>
      <c r="HIE54"/>
      <c r="HIF54"/>
      <c r="HIG54"/>
      <c r="HIH54"/>
      <c r="HII54"/>
      <c r="HIJ54"/>
      <c r="HIK54"/>
      <c r="HIL54"/>
      <c r="HIM54"/>
      <c r="HIN54"/>
      <c r="HIO54"/>
      <c r="HIP54"/>
      <c r="HIQ54"/>
      <c r="HIR54"/>
      <c r="HIS54"/>
      <c r="HIT54"/>
      <c r="HIU54"/>
      <c r="HIV54"/>
      <c r="HIW54"/>
      <c r="HIX54"/>
      <c r="HIY54"/>
      <c r="HIZ54"/>
      <c r="HJA54"/>
      <c r="HJB54"/>
      <c r="HJC54"/>
      <c r="HJD54"/>
      <c r="HJE54"/>
      <c r="HJF54"/>
      <c r="HJG54"/>
      <c r="HJH54"/>
      <c r="HJI54"/>
      <c r="HJJ54"/>
      <c r="HJK54"/>
      <c r="HJL54"/>
      <c r="HJM54"/>
      <c r="HJN54"/>
      <c r="HJO54"/>
      <c r="HJP54"/>
      <c r="HJQ54"/>
      <c r="HJR54"/>
      <c r="HJS54"/>
      <c r="HJT54"/>
      <c r="HJU54"/>
      <c r="HJV54"/>
      <c r="HJW54"/>
      <c r="HJX54"/>
      <c r="HJY54"/>
      <c r="HJZ54"/>
      <c r="HKA54"/>
      <c r="HKB54"/>
      <c r="HKC54"/>
      <c r="HKD54"/>
      <c r="HKE54"/>
      <c r="HKF54"/>
      <c r="HKG54"/>
      <c r="HKH54"/>
      <c r="HKI54"/>
      <c r="HKJ54"/>
      <c r="HKK54"/>
      <c r="HKL54"/>
      <c r="HKM54"/>
      <c r="HKN54"/>
      <c r="HKO54"/>
      <c r="HKP54"/>
      <c r="HKQ54"/>
      <c r="HKR54"/>
      <c r="HKS54"/>
      <c r="HKT54"/>
      <c r="HKU54"/>
      <c r="HKV54"/>
      <c r="HKW54"/>
      <c r="HKX54"/>
      <c r="HKY54"/>
      <c r="HKZ54"/>
      <c r="HLA54"/>
      <c r="HLB54"/>
      <c r="HLC54"/>
      <c r="HLD54"/>
      <c r="HLE54"/>
      <c r="HLF54"/>
      <c r="HLG54"/>
      <c r="HLH54"/>
      <c r="HLI54"/>
      <c r="HLJ54"/>
      <c r="HLK54"/>
      <c r="HLL54"/>
      <c r="HLM54"/>
      <c r="HLN54"/>
      <c r="HLO54"/>
      <c r="HLP54"/>
      <c r="HLQ54"/>
      <c r="HLR54"/>
      <c r="HLS54"/>
      <c r="HLT54"/>
      <c r="HLU54"/>
      <c r="HLV54"/>
      <c r="HLW54"/>
      <c r="HLX54"/>
      <c r="HLY54"/>
      <c r="HLZ54"/>
      <c r="HMA54"/>
      <c r="HMB54"/>
      <c r="HMC54"/>
      <c r="HMD54"/>
      <c r="HME54"/>
      <c r="HMF54"/>
      <c r="HMG54"/>
      <c r="HMH54"/>
      <c r="HMI54"/>
      <c r="HMJ54"/>
      <c r="HMK54"/>
      <c r="HML54"/>
      <c r="HMM54"/>
      <c r="HMN54"/>
      <c r="HMO54"/>
      <c r="HMP54"/>
      <c r="HMQ54"/>
      <c r="HMR54"/>
      <c r="HMS54"/>
      <c r="HMT54"/>
      <c r="HMU54"/>
      <c r="HMV54"/>
      <c r="HMW54"/>
      <c r="HMX54"/>
      <c r="HMY54"/>
      <c r="HMZ54"/>
      <c r="HNA54"/>
      <c r="HNB54"/>
      <c r="HNC54"/>
      <c r="HND54"/>
      <c r="HNE54"/>
      <c r="HNF54"/>
      <c r="HNG54"/>
      <c r="HNH54"/>
      <c r="HNI54"/>
      <c r="HNJ54"/>
      <c r="HNK54"/>
      <c r="HNL54"/>
      <c r="HNM54"/>
      <c r="HNN54"/>
      <c r="HNO54"/>
      <c r="HNP54"/>
      <c r="HNQ54"/>
      <c r="HNR54"/>
      <c r="HNS54"/>
      <c r="HNT54"/>
      <c r="HNU54"/>
      <c r="HNV54"/>
      <c r="HNW54"/>
      <c r="HNX54"/>
      <c r="HNY54"/>
      <c r="HNZ54"/>
      <c r="HOA54"/>
      <c r="HOB54"/>
      <c r="HOC54"/>
      <c r="HOD54"/>
      <c r="HOE54"/>
      <c r="HOF54"/>
      <c r="HOG54"/>
      <c r="HOH54"/>
      <c r="HOI54"/>
      <c r="HOJ54"/>
      <c r="HOK54"/>
      <c r="HOL54"/>
      <c r="HOM54"/>
      <c r="HON54"/>
      <c r="HOO54"/>
      <c r="HOP54"/>
      <c r="HOQ54"/>
      <c r="HOR54"/>
      <c r="HOS54"/>
      <c r="HOT54"/>
      <c r="HOU54"/>
      <c r="HOV54"/>
      <c r="HOW54"/>
      <c r="HOX54"/>
      <c r="HOY54"/>
      <c r="HOZ54"/>
      <c r="HPA54"/>
      <c r="HPB54"/>
      <c r="HPC54"/>
      <c r="HPD54"/>
      <c r="HPE54"/>
      <c r="HPF54"/>
      <c r="HPG54"/>
      <c r="HPH54"/>
      <c r="HPI54"/>
      <c r="HPJ54"/>
      <c r="HPK54"/>
      <c r="HPL54"/>
      <c r="HPM54"/>
      <c r="HPN54"/>
      <c r="HPO54"/>
      <c r="HPP54"/>
      <c r="HPQ54"/>
      <c r="HPR54"/>
      <c r="HPS54"/>
      <c r="HPT54"/>
      <c r="HPU54"/>
      <c r="HPV54"/>
      <c r="HPW54"/>
      <c r="HPX54"/>
      <c r="HPY54"/>
      <c r="HPZ54"/>
      <c r="HQA54"/>
      <c r="HQB54"/>
      <c r="HQC54"/>
      <c r="HQD54"/>
      <c r="HQE54"/>
      <c r="HQF54"/>
      <c r="HQG54"/>
      <c r="HQH54"/>
      <c r="HQI54"/>
      <c r="HQJ54"/>
      <c r="HQK54"/>
      <c r="HQL54"/>
      <c r="HQM54"/>
      <c r="HQN54"/>
      <c r="HQO54"/>
      <c r="HQP54"/>
      <c r="HQQ54"/>
      <c r="HQR54"/>
      <c r="HQS54"/>
      <c r="HQT54"/>
      <c r="HQU54"/>
      <c r="HQV54"/>
      <c r="HQW54"/>
      <c r="HQX54"/>
      <c r="HQY54"/>
      <c r="HQZ54"/>
      <c r="HRA54"/>
      <c r="HRB54"/>
      <c r="HRC54"/>
      <c r="HRD54"/>
      <c r="HRE54"/>
      <c r="HRF54"/>
      <c r="HRG54"/>
      <c r="HRH54"/>
      <c r="HRI54"/>
      <c r="HRJ54"/>
      <c r="HRK54"/>
      <c r="HRL54"/>
      <c r="HRM54"/>
      <c r="HRN54"/>
      <c r="HRO54"/>
      <c r="HRP54"/>
      <c r="HRQ54"/>
      <c r="HRR54"/>
      <c r="HRS54"/>
      <c r="HRT54"/>
      <c r="HRU54"/>
      <c r="HRV54"/>
      <c r="HRW54"/>
      <c r="HRX54"/>
      <c r="HRY54"/>
      <c r="HRZ54"/>
      <c r="HSA54"/>
      <c r="HSB54"/>
      <c r="HSC54"/>
      <c r="HSD54"/>
      <c r="HSE54"/>
      <c r="HSF54"/>
      <c r="HSG54"/>
      <c r="HSH54"/>
      <c r="HSI54"/>
      <c r="HSJ54"/>
      <c r="HSK54"/>
      <c r="HSL54"/>
      <c r="HSM54"/>
      <c r="HSN54"/>
      <c r="HSO54"/>
      <c r="HSP54"/>
      <c r="HSQ54"/>
      <c r="HSR54"/>
      <c r="HSS54"/>
      <c r="HST54"/>
      <c r="HSU54"/>
      <c r="HSV54"/>
      <c r="HSW54"/>
      <c r="HSX54"/>
      <c r="HSY54"/>
      <c r="HSZ54"/>
      <c r="HTA54"/>
      <c r="HTB54"/>
      <c r="HTC54"/>
      <c r="HTD54"/>
      <c r="HTE54"/>
      <c r="HTF54"/>
      <c r="HTG54"/>
      <c r="HTH54"/>
      <c r="HTI54"/>
      <c r="HTJ54"/>
      <c r="HTK54"/>
      <c r="HTL54"/>
      <c r="HTM54"/>
      <c r="HTN54"/>
      <c r="HTO54"/>
      <c r="HTP54"/>
      <c r="HTQ54"/>
      <c r="HTR54"/>
      <c r="HTS54"/>
      <c r="HTT54"/>
      <c r="HTU54"/>
      <c r="HTV54"/>
      <c r="HTW54"/>
      <c r="HTX54"/>
      <c r="HTY54"/>
      <c r="HTZ54"/>
      <c r="HUA54"/>
      <c r="HUB54"/>
      <c r="HUC54"/>
      <c r="HUD54"/>
      <c r="HUE54"/>
      <c r="HUF54"/>
      <c r="HUG54"/>
      <c r="HUH54"/>
      <c r="HUI54"/>
      <c r="HUJ54"/>
      <c r="HUK54"/>
      <c r="HUL54"/>
      <c r="HUM54"/>
      <c r="HUN54"/>
      <c r="HUO54"/>
      <c r="HUP54"/>
      <c r="HUQ54"/>
      <c r="HUR54"/>
      <c r="HUS54"/>
      <c r="HUT54"/>
      <c r="HUU54"/>
      <c r="HUV54"/>
      <c r="HUW54"/>
      <c r="HUX54"/>
      <c r="HUY54"/>
      <c r="HUZ54"/>
      <c r="HVA54"/>
      <c r="HVB54"/>
      <c r="HVC54"/>
      <c r="HVD54"/>
      <c r="HVE54"/>
      <c r="HVF54"/>
      <c r="HVG54"/>
      <c r="HVH54"/>
      <c r="HVI54"/>
      <c r="HVJ54"/>
      <c r="HVK54"/>
      <c r="HVL54"/>
      <c r="HVM54"/>
      <c r="HVN54"/>
      <c r="HVO54"/>
      <c r="HVP54"/>
      <c r="HVQ54"/>
      <c r="HVR54"/>
      <c r="HVS54"/>
      <c r="HVT54"/>
      <c r="HVU54"/>
      <c r="HVV54"/>
      <c r="HVW54"/>
      <c r="HVX54"/>
      <c r="HVY54"/>
      <c r="HVZ54"/>
      <c r="HWA54"/>
      <c r="HWB54"/>
      <c r="HWC54"/>
      <c r="HWD54"/>
      <c r="HWE54"/>
      <c r="HWF54"/>
      <c r="HWG54"/>
      <c r="HWH54"/>
      <c r="HWI54"/>
      <c r="HWJ54"/>
      <c r="HWK54"/>
      <c r="HWL54"/>
      <c r="HWM54"/>
      <c r="HWN54"/>
      <c r="HWO54"/>
      <c r="HWP54"/>
      <c r="HWQ54"/>
      <c r="HWR54"/>
      <c r="HWS54"/>
      <c r="HWT54"/>
      <c r="HWU54"/>
      <c r="HWV54"/>
      <c r="HWW54"/>
      <c r="HWX54"/>
      <c r="HWY54"/>
      <c r="HWZ54"/>
      <c r="HXA54"/>
      <c r="HXB54"/>
      <c r="HXC54"/>
      <c r="HXD54"/>
      <c r="HXE54"/>
      <c r="HXF54"/>
      <c r="HXG54"/>
      <c r="HXH54"/>
      <c r="HXI54"/>
      <c r="HXJ54"/>
      <c r="HXK54"/>
      <c r="HXL54"/>
      <c r="HXM54"/>
      <c r="HXN54"/>
      <c r="HXO54"/>
      <c r="HXP54"/>
      <c r="HXQ54"/>
      <c r="HXR54"/>
      <c r="HXS54"/>
      <c r="HXT54"/>
      <c r="HXU54"/>
      <c r="HXV54"/>
      <c r="HXW54"/>
      <c r="HXX54"/>
      <c r="HXY54"/>
      <c r="HXZ54"/>
      <c r="HYA54"/>
      <c r="HYB54"/>
      <c r="HYC54"/>
      <c r="HYD54"/>
      <c r="HYE54"/>
      <c r="HYF54"/>
      <c r="HYG54"/>
      <c r="HYH54"/>
      <c r="HYI54"/>
      <c r="HYJ54"/>
      <c r="HYK54"/>
      <c r="HYL54"/>
      <c r="HYM54"/>
      <c r="HYN54"/>
      <c r="HYO54"/>
      <c r="HYP54"/>
      <c r="HYQ54"/>
      <c r="HYR54"/>
      <c r="HYS54"/>
      <c r="HYT54"/>
      <c r="HYU54"/>
      <c r="HYV54"/>
      <c r="HYW54"/>
      <c r="HYX54"/>
      <c r="HYY54"/>
      <c r="HYZ54"/>
      <c r="HZA54"/>
      <c r="HZB54"/>
      <c r="HZC54"/>
      <c r="HZD54"/>
      <c r="HZE54"/>
      <c r="HZF54"/>
      <c r="HZG54"/>
      <c r="HZH54"/>
      <c r="HZI54"/>
      <c r="HZJ54"/>
      <c r="HZK54"/>
      <c r="HZL54"/>
      <c r="HZM54"/>
      <c r="HZN54"/>
      <c r="HZO54"/>
      <c r="HZP54"/>
      <c r="HZQ54"/>
      <c r="HZR54"/>
      <c r="HZS54"/>
      <c r="HZT54"/>
      <c r="HZU54"/>
      <c r="HZV54"/>
      <c r="HZW54"/>
      <c r="HZX54"/>
      <c r="HZY54"/>
      <c r="HZZ54"/>
      <c r="IAA54"/>
      <c r="IAB54"/>
      <c r="IAC54"/>
      <c r="IAD54"/>
      <c r="IAE54"/>
      <c r="IAF54"/>
      <c r="IAG54"/>
      <c r="IAH54"/>
      <c r="IAI54"/>
      <c r="IAJ54"/>
      <c r="IAK54"/>
      <c r="IAL54"/>
      <c r="IAM54"/>
      <c r="IAN54"/>
      <c r="IAO54"/>
      <c r="IAP54"/>
      <c r="IAQ54"/>
      <c r="IAR54"/>
      <c r="IAS54"/>
      <c r="IAT54"/>
      <c r="IAU54"/>
      <c r="IAV54"/>
      <c r="IAW54"/>
      <c r="IAX54"/>
      <c r="IAY54"/>
      <c r="IAZ54"/>
      <c r="IBA54"/>
      <c r="IBB54"/>
      <c r="IBC54"/>
      <c r="IBD54"/>
      <c r="IBE54"/>
      <c r="IBF54"/>
      <c r="IBG54"/>
      <c r="IBH54"/>
      <c r="IBI54"/>
      <c r="IBJ54"/>
      <c r="IBK54"/>
      <c r="IBL54"/>
      <c r="IBM54"/>
      <c r="IBN54"/>
      <c r="IBO54"/>
      <c r="IBP54"/>
      <c r="IBQ54"/>
      <c r="IBR54"/>
      <c r="IBS54"/>
      <c r="IBT54"/>
      <c r="IBU54"/>
      <c r="IBV54"/>
      <c r="IBW54"/>
      <c r="IBX54"/>
      <c r="IBY54"/>
      <c r="IBZ54"/>
      <c r="ICA54"/>
      <c r="ICB54"/>
      <c r="ICC54"/>
      <c r="ICD54"/>
      <c r="ICE54"/>
      <c r="ICF54"/>
      <c r="ICG54"/>
      <c r="ICH54"/>
      <c r="ICI54"/>
      <c r="ICJ54"/>
      <c r="ICK54"/>
      <c r="ICL54"/>
      <c r="ICM54"/>
      <c r="ICN54"/>
      <c r="ICO54"/>
      <c r="ICP54"/>
      <c r="ICQ54"/>
      <c r="ICR54"/>
      <c r="ICS54"/>
      <c r="ICT54"/>
      <c r="ICU54"/>
      <c r="ICV54"/>
      <c r="ICW54"/>
      <c r="ICX54"/>
      <c r="ICY54"/>
      <c r="ICZ54"/>
      <c r="IDA54"/>
      <c r="IDB54"/>
      <c r="IDC54"/>
      <c r="IDD54"/>
      <c r="IDE54"/>
      <c r="IDF54"/>
      <c r="IDG54"/>
      <c r="IDH54"/>
      <c r="IDI54"/>
      <c r="IDJ54"/>
      <c r="IDK54"/>
      <c r="IDL54"/>
      <c r="IDM54"/>
      <c r="IDN54"/>
      <c r="IDO54"/>
      <c r="IDP54"/>
      <c r="IDQ54"/>
      <c r="IDR54"/>
      <c r="IDS54"/>
      <c r="IDT54"/>
      <c r="IDU54"/>
      <c r="IDV54"/>
      <c r="IDW54"/>
      <c r="IDX54"/>
      <c r="IDY54"/>
      <c r="IDZ54"/>
      <c r="IEA54"/>
      <c r="IEB54"/>
      <c r="IEC54"/>
      <c r="IED54"/>
      <c r="IEE54"/>
      <c r="IEF54"/>
      <c r="IEG54"/>
      <c r="IEH54"/>
      <c r="IEI54"/>
      <c r="IEJ54"/>
      <c r="IEK54"/>
      <c r="IEL54"/>
      <c r="IEM54"/>
      <c r="IEN54"/>
      <c r="IEO54"/>
      <c r="IEP54"/>
      <c r="IEQ54"/>
      <c r="IER54"/>
      <c r="IES54"/>
      <c r="IET54"/>
      <c r="IEU54"/>
      <c r="IEV54"/>
      <c r="IEW54"/>
      <c r="IEX54"/>
      <c r="IEY54"/>
      <c r="IEZ54"/>
      <c r="IFA54"/>
      <c r="IFB54"/>
      <c r="IFC54"/>
      <c r="IFD54"/>
      <c r="IFE54"/>
      <c r="IFF54"/>
      <c r="IFG54"/>
      <c r="IFH54"/>
      <c r="IFI54"/>
      <c r="IFJ54"/>
      <c r="IFK54"/>
      <c r="IFL54"/>
      <c r="IFM54"/>
      <c r="IFN54"/>
      <c r="IFO54"/>
      <c r="IFP54"/>
      <c r="IFQ54"/>
      <c r="IFR54"/>
      <c r="IFS54"/>
      <c r="IFT54"/>
      <c r="IFU54"/>
      <c r="IFV54"/>
      <c r="IFW54"/>
      <c r="IFX54"/>
      <c r="IFY54"/>
      <c r="IFZ54"/>
      <c r="IGA54"/>
      <c r="IGB54"/>
      <c r="IGC54"/>
      <c r="IGD54"/>
      <c r="IGE54"/>
      <c r="IGF54"/>
      <c r="IGG54"/>
      <c r="IGH54"/>
      <c r="IGI54"/>
      <c r="IGJ54"/>
      <c r="IGK54"/>
      <c r="IGL54"/>
      <c r="IGM54"/>
      <c r="IGN54"/>
      <c r="IGO54"/>
      <c r="IGP54"/>
      <c r="IGQ54"/>
      <c r="IGR54"/>
      <c r="IGS54"/>
      <c r="IGT54"/>
      <c r="IGU54"/>
      <c r="IGV54"/>
      <c r="IGW54"/>
      <c r="IGX54"/>
      <c r="IGY54"/>
      <c r="IGZ54"/>
      <c r="IHA54"/>
      <c r="IHB54"/>
      <c r="IHC54"/>
      <c r="IHD54"/>
      <c r="IHE54"/>
      <c r="IHF54"/>
      <c r="IHG54"/>
      <c r="IHH54"/>
      <c r="IHI54"/>
      <c r="IHJ54"/>
      <c r="IHK54"/>
      <c r="IHL54"/>
      <c r="IHM54"/>
      <c r="IHN54"/>
      <c r="IHO54"/>
      <c r="IHP54"/>
      <c r="IHQ54"/>
      <c r="IHR54"/>
      <c r="IHS54"/>
      <c r="IHT54"/>
      <c r="IHU54"/>
      <c r="IHV54"/>
      <c r="IHW54"/>
      <c r="IHX54"/>
      <c r="IHY54"/>
      <c r="IHZ54"/>
      <c r="IIA54"/>
      <c r="IIB54"/>
      <c r="IIC54"/>
      <c r="IID54"/>
      <c r="IIE54"/>
      <c r="IIF54"/>
      <c r="IIG54"/>
      <c r="IIH54"/>
      <c r="III54"/>
      <c r="IIJ54"/>
      <c r="IIK54"/>
      <c r="IIL54"/>
      <c r="IIM54"/>
      <c r="IIN54"/>
      <c r="IIO54"/>
      <c r="IIP54"/>
      <c r="IIQ54"/>
      <c r="IIR54"/>
      <c r="IIS54"/>
      <c r="IIT54"/>
      <c r="IIU54"/>
      <c r="IIV54"/>
      <c r="IIW54"/>
      <c r="IIX54"/>
      <c r="IIY54"/>
      <c r="IIZ54"/>
      <c r="IJA54"/>
      <c r="IJB54"/>
      <c r="IJC54"/>
      <c r="IJD54"/>
      <c r="IJE54"/>
      <c r="IJF54"/>
      <c r="IJG54"/>
      <c r="IJH54"/>
      <c r="IJI54"/>
      <c r="IJJ54"/>
      <c r="IJK54"/>
      <c r="IJL54"/>
      <c r="IJM54"/>
      <c r="IJN54"/>
      <c r="IJO54"/>
      <c r="IJP54"/>
      <c r="IJQ54"/>
      <c r="IJR54"/>
      <c r="IJS54"/>
      <c r="IJT54"/>
      <c r="IJU54"/>
      <c r="IJV54"/>
      <c r="IJW54"/>
      <c r="IJX54"/>
      <c r="IJY54"/>
      <c r="IJZ54"/>
      <c r="IKA54"/>
      <c r="IKB54"/>
      <c r="IKC54"/>
      <c r="IKD54"/>
      <c r="IKE54"/>
      <c r="IKF54"/>
      <c r="IKG54"/>
      <c r="IKH54"/>
      <c r="IKI54"/>
      <c r="IKJ54"/>
      <c r="IKK54"/>
      <c r="IKL54"/>
      <c r="IKM54"/>
      <c r="IKN54"/>
      <c r="IKO54"/>
      <c r="IKP54"/>
      <c r="IKQ54"/>
      <c r="IKR54"/>
      <c r="IKS54"/>
      <c r="IKT54"/>
      <c r="IKU54"/>
      <c r="IKV54"/>
      <c r="IKW54"/>
      <c r="IKX54"/>
      <c r="IKY54"/>
      <c r="IKZ54"/>
      <c r="ILA54"/>
      <c r="ILB54"/>
      <c r="ILC54"/>
      <c r="ILD54"/>
      <c r="ILE54"/>
      <c r="ILF54"/>
      <c r="ILG54"/>
      <c r="ILH54"/>
      <c r="ILI54"/>
      <c r="ILJ54"/>
      <c r="ILK54"/>
      <c r="ILL54"/>
      <c r="ILM54"/>
      <c r="ILN54"/>
      <c r="ILO54"/>
      <c r="ILP54"/>
      <c r="ILQ54"/>
      <c r="ILR54"/>
      <c r="ILS54"/>
      <c r="ILT54"/>
      <c r="ILU54"/>
      <c r="ILV54"/>
      <c r="ILW54"/>
      <c r="ILX54"/>
      <c r="ILY54"/>
      <c r="ILZ54"/>
      <c r="IMA54"/>
      <c r="IMB54"/>
      <c r="IMC54"/>
      <c r="IMD54"/>
      <c r="IME54"/>
      <c r="IMF54"/>
      <c r="IMG54"/>
      <c r="IMH54"/>
      <c r="IMI54"/>
      <c r="IMJ54"/>
      <c r="IMK54"/>
      <c r="IML54"/>
      <c r="IMM54"/>
      <c r="IMN54"/>
      <c r="IMO54"/>
      <c r="IMP54"/>
      <c r="IMQ54"/>
      <c r="IMR54"/>
      <c r="IMS54"/>
      <c r="IMT54"/>
      <c r="IMU54"/>
      <c r="IMV54"/>
      <c r="IMW54"/>
      <c r="IMX54"/>
      <c r="IMY54"/>
      <c r="IMZ54"/>
      <c r="INA54"/>
      <c r="INB54"/>
      <c r="INC54"/>
      <c r="IND54"/>
      <c r="INE54"/>
      <c r="INF54"/>
      <c r="ING54"/>
      <c r="INH54"/>
      <c r="INI54"/>
      <c r="INJ54"/>
      <c r="INK54"/>
      <c r="INL54"/>
      <c r="INM54"/>
      <c r="INN54"/>
      <c r="INO54"/>
      <c r="INP54"/>
      <c r="INQ54"/>
      <c r="INR54"/>
      <c r="INS54"/>
      <c r="INT54"/>
      <c r="INU54"/>
      <c r="INV54"/>
      <c r="INW54"/>
      <c r="INX54"/>
      <c r="INY54"/>
      <c r="INZ54"/>
      <c r="IOA54"/>
      <c r="IOB54"/>
      <c r="IOC54"/>
      <c r="IOD54"/>
      <c r="IOE54"/>
      <c r="IOF54"/>
      <c r="IOG54"/>
      <c r="IOH54"/>
      <c r="IOI54"/>
      <c r="IOJ54"/>
      <c r="IOK54"/>
      <c r="IOL54"/>
      <c r="IOM54"/>
      <c r="ION54"/>
      <c r="IOO54"/>
      <c r="IOP54"/>
      <c r="IOQ54"/>
      <c r="IOR54"/>
      <c r="IOS54"/>
      <c r="IOT54"/>
      <c r="IOU54"/>
      <c r="IOV54"/>
      <c r="IOW54"/>
      <c r="IOX54"/>
      <c r="IOY54"/>
      <c r="IOZ54"/>
      <c r="IPA54"/>
      <c r="IPB54"/>
      <c r="IPC54"/>
      <c r="IPD54"/>
      <c r="IPE54"/>
      <c r="IPF54"/>
      <c r="IPG54"/>
      <c r="IPH54"/>
      <c r="IPI54"/>
      <c r="IPJ54"/>
      <c r="IPK54"/>
      <c r="IPL54"/>
      <c r="IPM54"/>
      <c r="IPN54"/>
      <c r="IPO54"/>
      <c r="IPP54"/>
      <c r="IPQ54"/>
      <c r="IPR54"/>
      <c r="IPS54"/>
      <c r="IPT54"/>
      <c r="IPU54"/>
      <c r="IPV54"/>
      <c r="IPW54"/>
      <c r="IPX54"/>
      <c r="IPY54"/>
      <c r="IPZ54"/>
      <c r="IQA54"/>
      <c r="IQB54"/>
      <c r="IQC54"/>
      <c r="IQD54"/>
      <c r="IQE54"/>
      <c r="IQF54"/>
      <c r="IQG54"/>
      <c r="IQH54"/>
      <c r="IQI54"/>
      <c r="IQJ54"/>
      <c r="IQK54"/>
      <c r="IQL54"/>
      <c r="IQM54"/>
      <c r="IQN54"/>
      <c r="IQO54"/>
      <c r="IQP54"/>
      <c r="IQQ54"/>
      <c r="IQR54"/>
      <c r="IQS54"/>
      <c r="IQT54"/>
      <c r="IQU54"/>
      <c r="IQV54"/>
      <c r="IQW54"/>
      <c r="IQX54"/>
      <c r="IQY54"/>
      <c r="IQZ54"/>
      <c r="IRA54"/>
      <c r="IRB54"/>
      <c r="IRC54"/>
      <c r="IRD54"/>
      <c r="IRE54"/>
      <c r="IRF54"/>
      <c r="IRG54"/>
      <c r="IRH54"/>
      <c r="IRI54"/>
      <c r="IRJ54"/>
      <c r="IRK54"/>
      <c r="IRL54"/>
      <c r="IRM54"/>
      <c r="IRN54"/>
      <c r="IRO54"/>
      <c r="IRP54"/>
      <c r="IRQ54"/>
      <c r="IRR54"/>
      <c r="IRS54"/>
      <c r="IRT54"/>
      <c r="IRU54"/>
      <c r="IRV54"/>
      <c r="IRW54"/>
      <c r="IRX54"/>
      <c r="IRY54"/>
      <c r="IRZ54"/>
      <c r="ISA54"/>
      <c r="ISB54"/>
      <c r="ISC54"/>
      <c r="ISD54"/>
      <c r="ISE54"/>
      <c r="ISF54"/>
      <c r="ISG54"/>
      <c r="ISH54"/>
      <c r="ISI54"/>
      <c r="ISJ54"/>
      <c r="ISK54"/>
      <c r="ISL54"/>
      <c r="ISM54"/>
      <c r="ISN54"/>
      <c r="ISO54"/>
      <c r="ISP54"/>
      <c r="ISQ54"/>
      <c r="ISR54"/>
      <c r="ISS54"/>
      <c r="IST54"/>
      <c r="ISU54"/>
      <c r="ISV54"/>
      <c r="ISW54"/>
      <c r="ISX54"/>
      <c r="ISY54"/>
      <c r="ISZ54"/>
      <c r="ITA54"/>
      <c r="ITB54"/>
      <c r="ITC54"/>
      <c r="ITD54"/>
      <c r="ITE54"/>
      <c r="ITF54"/>
      <c r="ITG54"/>
      <c r="ITH54"/>
      <c r="ITI54"/>
      <c r="ITJ54"/>
      <c r="ITK54"/>
      <c r="ITL54"/>
      <c r="ITM54"/>
      <c r="ITN54"/>
      <c r="ITO54"/>
      <c r="ITP54"/>
      <c r="ITQ54"/>
      <c r="ITR54"/>
      <c r="ITS54"/>
      <c r="ITT54"/>
      <c r="ITU54"/>
      <c r="ITV54"/>
      <c r="ITW54"/>
      <c r="ITX54"/>
      <c r="ITY54"/>
      <c r="ITZ54"/>
      <c r="IUA54"/>
      <c r="IUB54"/>
      <c r="IUC54"/>
      <c r="IUD54"/>
      <c r="IUE54"/>
      <c r="IUF54"/>
      <c r="IUG54"/>
      <c r="IUH54"/>
      <c r="IUI54"/>
      <c r="IUJ54"/>
      <c r="IUK54"/>
      <c r="IUL54"/>
      <c r="IUM54"/>
      <c r="IUN54"/>
      <c r="IUO54"/>
      <c r="IUP54"/>
      <c r="IUQ54"/>
      <c r="IUR54"/>
      <c r="IUS54"/>
      <c r="IUT54"/>
      <c r="IUU54"/>
      <c r="IUV54"/>
      <c r="IUW54"/>
      <c r="IUX54"/>
      <c r="IUY54"/>
      <c r="IUZ54"/>
      <c r="IVA54"/>
      <c r="IVB54"/>
      <c r="IVC54"/>
      <c r="IVD54"/>
      <c r="IVE54"/>
      <c r="IVF54"/>
      <c r="IVG54"/>
      <c r="IVH54"/>
      <c r="IVI54"/>
      <c r="IVJ54"/>
      <c r="IVK54"/>
      <c r="IVL54"/>
      <c r="IVM54"/>
      <c r="IVN54"/>
      <c r="IVO54"/>
      <c r="IVP54"/>
      <c r="IVQ54"/>
      <c r="IVR54"/>
      <c r="IVS54"/>
      <c r="IVT54"/>
      <c r="IVU54"/>
      <c r="IVV54"/>
      <c r="IVW54"/>
      <c r="IVX54"/>
      <c r="IVY54"/>
      <c r="IVZ54"/>
      <c r="IWA54"/>
      <c r="IWB54"/>
      <c r="IWC54"/>
      <c r="IWD54"/>
      <c r="IWE54"/>
      <c r="IWF54"/>
      <c r="IWG54"/>
      <c r="IWH54"/>
      <c r="IWI54"/>
      <c r="IWJ54"/>
      <c r="IWK54"/>
      <c r="IWL54"/>
      <c r="IWM54"/>
      <c r="IWN54"/>
      <c r="IWO54"/>
      <c r="IWP54"/>
      <c r="IWQ54"/>
      <c r="IWR54"/>
      <c r="IWS54"/>
      <c r="IWT54"/>
      <c r="IWU54"/>
      <c r="IWV54"/>
      <c r="IWW54"/>
      <c r="IWX54"/>
      <c r="IWY54"/>
      <c r="IWZ54"/>
      <c r="IXA54"/>
      <c r="IXB54"/>
      <c r="IXC54"/>
      <c r="IXD54"/>
      <c r="IXE54"/>
      <c r="IXF54"/>
      <c r="IXG54"/>
      <c r="IXH54"/>
      <c r="IXI54"/>
      <c r="IXJ54"/>
      <c r="IXK54"/>
      <c r="IXL54"/>
      <c r="IXM54"/>
      <c r="IXN54"/>
      <c r="IXO54"/>
      <c r="IXP54"/>
      <c r="IXQ54"/>
      <c r="IXR54"/>
      <c r="IXS54"/>
      <c r="IXT54"/>
      <c r="IXU54"/>
      <c r="IXV54"/>
      <c r="IXW54"/>
      <c r="IXX54"/>
      <c r="IXY54"/>
      <c r="IXZ54"/>
      <c r="IYA54"/>
      <c r="IYB54"/>
      <c r="IYC54"/>
      <c r="IYD54"/>
      <c r="IYE54"/>
      <c r="IYF54"/>
      <c r="IYG54"/>
      <c r="IYH54"/>
      <c r="IYI54"/>
      <c r="IYJ54"/>
      <c r="IYK54"/>
      <c r="IYL54"/>
      <c r="IYM54"/>
      <c r="IYN54"/>
      <c r="IYO54"/>
      <c r="IYP54"/>
      <c r="IYQ54"/>
      <c r="IYR54"/>
      <c r="IYS54"/>
      <c r="IYT54"/>
      <c r="IYU54"/>
      <c r="IYV54"/>
      <c r="IYW54"/>
      <c r="IYX54"/>
      <c r="IYY54"/>
      <c r="IYZ54"/>
      <c r="IZA54"/>
      <c r="IZB54"/>
      <c r="IZC54"/>
      <c r="IZD54"/>
      <c r="IZE54"/>
      <c r="IZF54"/>
      <c r="IZG54"/>
      <c r="IZH54"/>
      <c r="IZI54"/>
      <c r="IZJ54"/>
      <c r="IZK54"/>
      <c r="IZL54"/>
      <c r="IZM54"/>
      <c r="IZN54"/>
      <c r="IZO54"/>
      <c r="IZP54"/>
      <c r="IZQ54"/>
      <c r="IZR54"/>
      <c r="IZS54"/>
      <c r="IZT54"/>
      <c r="IZU54"/>
      <c r="IZV54"/>
      <c r="IZW54"/>
      <c r="IZX54"/>
      <c r="IZY54"/>
      <c r="IZZ54"/>
      <c r="JAA54"/>
      <c r="JAB54"/>
      <c r="JAC54"/>
      <c r="JAD54"/>
      <c r="JAE54"/>
      <c r="JAF54"/>
      <c r="JAG54"/>
      <c r="JAH54"/>
      <c r="JAI54"/>
      <c r="JAJ54"/>
      <c r="JAK54"/>
      <c r="JAL54"/>
      <c r="JAM54"/>
      <c r="JAN54"/>
      <c r="JAO54"/>
      <c r="JAP54"/>
      <c r="JAQ54"/>
      <c r="JAR54"/>
      <c r="JAS54"/>
      <c r="JAT54"/>
      <c r="JAU54"/>
      <c r="JAV54"/>
      <c r="JAW54"/>
      <c r="JAX54"/>
      <c r="JAY54"/>
      <c r="JAZ54"/>
      <c r="JBA54"/>
      <c r="JBB54"/>
      <c r="JBC54"/>
      <c r="JBD54"/>
      <c r="JBE54"/>
      <c r="JBF54"/>
      <c r="JBG54"/>
      <c r="JBH54"/>
      <c r="JBI54"/>
      <c r="JBJ54"/>
      <c r="JBK54"/>
      <c r="JBL54"/>
      <c r="JBM54"/>
      <c r="JBN54"/>
      <c r="JBO54"/>
      <c r="JBP54"/>
      <c r="JBQ54"/>
      <c r="JBR54"/>
      <c r="JBS54"/>
      <c r="JBT54"/>
      <c r="JBU54"/>
      <c r="JBV54"/>
      <c r="JBW54"/>
      <c r="JBX54"/>
      <c r="JBY54"/>
      <c r="JBZ54"/>
      <c r="JCA54"/>
      <c r="JCB54"/>
      <c r="JCC54"/>
      <c r="JCD54"/>
      <c r="JCE54"/>
      <c r="JCF54"/>
      <c r="JCG54"/>
      <c r="JCH54"/>
      <c r="JCI54"/>
      <c r="JCJ54"/>
      <c r="JCK54"/>
      <c r="JCL54"/>
      <c r="JCM54"/>
      <c r="JCN54"/>
      <c r="JCO54"/>
      <c r="JCP54"/>
      <c r="JCQ54"/>
      <c r="JCR54"/>
      <c r="JCS54"/>
      <c r="JCT54"/>
      <c r="JCU54"/>
      <c r="JCV54"/>
      <c r="JCW54"/>
      <c r="JCX54"/>
      <c r="JCY54"/>
      <c r="JCZ54"/>
      <c r="JDA54"/>
      <c r="JDB54"/>
      <c r="JDC54"/>
      <c r="JDD54"/>
      <c r="JDE54"/>
      <c r="JDF54"/>
      <c r="JDG54"/>
      <c r="JDH54"/>
      <c r="JDI54"/>
      <c r="JDJ54"/>
      <c r="JDK54"/>
      <c r="JDL54"/>
      <c r="JDM54"/>
      <c r="JDN54"/>
      <c r="JDO54"/>
      <c r="JDP54"/>
      <c r="JDQ54"/>
      <c r="JDR54"/>
      <c r="JDS54"/>
      <c r="JDT54"/>
      <c r="JDU54"/>
      <c r="JDV54"/>
      <c r="JDW54"/>
      <c r="JDX54"/>
      <c r="JDY54"/>
      <c r="JDZ54"/>
      <c r="JEA54"/>
      <c r="JEB54"/>
      <c r="JEC54"/>
      <c r="JED54"/>
      <c r="JEE54"/>
      <c r="JEF54"/>
      <c r="JEG54"/>
      <c r="JEH54"/>
      <c r="JEI54"/>
      <c r="JEJ54"/>
      <c r="JEK54"/>
      <c r="JEL54"/>
      <c r="JEM54"/>
      <c r="JEN54"/>
      <c r="JEO54"/>
      <c r="JEP54"/>
      <c r="JEQ54"/>
      <c r="JER54"/>
      <c r="JES54"/>
      <c r="JET54"/>
      <c r="JEU54"/>
      <c r="JEV54"/>
      <c r="JEW54"/>
      <c r="JEX54"/>
      <c r="JEY54"/>
      <c r="JEZ54"/>
      <c r="JFA54"/>
      <c r="JFB54"/>
      <c r="JFC54"/>
      <c r="JFD54"/>
      <c r="JFE54"/>
      <c r="JFF54"/>
      <c r="JFG54"/>
      <c r="JFH54"/>
      <c r="JFI54"/>
      <c r="JFJ54"/>
      <c r="JFK54"/>
      <c r="JFL54"/>
      <c r="JFM54"/>
      <c r="JFN54"/>
      <c r="JFO54"/>
      <c r="JFP54"/>
      <c r="JFQ54"/>
      <c r="JFR54"/>
      <c r="JFS54"/>
      <c r="JFT54"/>
      <c r="JFU54"/>
      <c r="JFV54"/>
      <c r="JFW54"/>
      <c r="JFX54"/>
      <c r="JFY54"/>
      <c r="JFZ54"/>
      <c r="JGA54"/>
      <c r="JGB54"/>
      <c r="JGC54"/>
      <c r="JGD54"/>
      <c r="JGE54"/>
      <c r="JGF54"/>
      <c r="JGG54"/>
      <c r="JGH54"/>
      <c r="JGI54"/>
      <c r="JGJ54"/>
      <c r="JGK54"/>
      <c r="JGL54"/>
      <c r="JGM54"/>
      <c r="JGN54"/>
      <c r="JGO54"/>
      <c r="JGP54"/>
      <c r="JGQ54"/>
      <c r="JGR54"/>
      <c r="JGS54"/>
      <c r="JGT54"/>
      <c r="JGU54"/>
      <c r="JGV54"/>
      <c r="JGW54"/>
      <c r="JGX54"/>
      <c r="JGY54"/>
      <c r="JGZ54"/>
      <c r="JHA54"/>
      <c r="JHB54"/>
      <c r="JHC54"/>
      <c r="JHD54"/>
      <c r="JHE54"/>
      <c r="JHF54"/>
      <c r="JHG54"/>
      <c r="JHH54"/>
      <c r="JHI54"/>
      <c r="JHJ54"/>
      <c r="JHK54"/>
      <c r="JHL54"/>
      <c r="JHM54"/>
      <c r="JHN54"/>
      <c r="JHO54"/>
      <c r="JHP54"/>
      <c r="JHQ54"/>
      <c r="JHR54"/>
      <c r="JHS54"/>
      <c r="JHT54"/>
      <c r="JHU54"/>
      <c r="JHV54"/>
      <c r="JHW54"/>
      <c r="JHX54"/>
      <c r="JHY54"/>
      <c r="JHZ54"/>
      <c r="JIA54"/>
      <c r="JIB54"/>
      <c r="JIC54"/>
      <c r="JID54"/>
      <c r="JIE54"/>
      <c r="JIF54"/>
      <c r="JIG54"/>
      <c r="JIH54"/>
      <c r="JII54"/>
      <c r="JIJ54"/>
      <c r="JIK54"/>
      <c r="JIL54"/>
      <c r="JIM54"/>
      <c r="JIN54"/>
      <c r="JIO54"/>
      <c r="JIP54"/>
      <c r="JIQ54"/>
      <c r="JIR54"/>
      <c r="JIS54"/>
      <c r="JIT54"/>
      <c r="JIU54"/>
      <c r="JIV54"/>
      <c r="JIW54"/>
      <c r="JIX54"/>
      <c r="JIY54"/>
      <c r="JIZ54"/>
      <c r="JJA54"/>
      <c r="JJB54"/>
      <c r="JJC54"/>
      <c r="JJD54"/>
      <c r="JJE54"/>
      <c r="JJF54"/>
      <c r="JJG54"/>
      <c r="JJH54"/>
      <c r="JJI54"/>
      <c r="JJJ54"/>
      <c r="JJK54"/>
      <c r="JJL54"/>
      <c r="JJM54"/>
      <c r="JJN54"/>
      <c r="JJO54"/>
      <c r="JJP54"/>
      <c r="JJQ54"/>
      <c r="JJR54"/>
      <c r="JJS54"/>
      <c r="JJT54"/>
      <c r="JJU54"/>
      <c r="JJV54"/>
      <c r="JJW54"/>
      <c r="JJX54"/>
      <c r="JJY54"/>
      <c r="JJZ54"/>
      <c r="JKA54"/>
      <c r="JKB54"/>
      <c r="JKC54"/>
      <c r="JKD54"/>
      <c r="JKE54"/>
      <c r="JKF54"/>
      <c r="JKG54"/>
      <c r="JKH54"/>
      <c r="JKI54"/>
      <c r="JKJ54"/>
      <c r="JKK54"/>
      <c r="JKL54"/>
      <c r="JKM54"/>
      <c r="JKN54"/>
      <c r="JKO54"/>
      <c r="JKP54"/>
      <c r="JKQ54"/>
      <c r="JKR54"/>
      <c r="JKS54"/>
      <c r="JKT54"/>
      <c r="JKU54"/>
      <c r="JKV54"/>
      <c r="JKW54"/>
      <c r="JKX54"/>
      <c r="JKY54"/>
      <c r="JKZ54"/>
      <c r="JLA54"/>
      <c r="JLB54"/>
      <c r="JLC54"/>
      <c r="JLD54"/>
      <c r="JLE54"/>
      <c r="JLF54"/>
      <c r="JLG54"/>
      <c r="JLH54"/>
      <c r="JLI54"/>
      <c r="JLJ54"/>
      <c r="JLK54"/>
      <c r="JLL54"/>
      <c r="JLM54"/>
      <c r="JLN54"/>
      <c r="JLO54"/>
      <c r="JLP54"/>
      <c r="JLQ54"/>
      <c r="JLR54"/>
      <c r="JLS54"/>
      <c r="JLT54"/>
      <c r="JLU54"/>
      <c r="JLV54"/>
      <c r="JLW54"/>
      <c r="JLX54"/>
      <c r="JLY54"/>
      <c r="JLZ54"/>
      <c r="JMA54"/>
      <c r="JMB54"/>
      <c r="JMC54"/>
      <c r="JMD54"/>
      <c r="JME54"/>
      <c r="JMF54"/>
      <c r="JMG54"/>
      <c r="JMH54"/>
      <c r="JMI54"/>
      <c r="JMJ54"/>
      <c r="JMK54"/>
      <c r="JML54"/>
      <c r="JMM54"/>
      <c r="JMN54"/>
      <c r="JMO54"/>
      <c r="JMP54"/>
      <c r="JMQ54"/>
      <c r="JMR54"/>
      <c r="JMS54"/>
      <c r="JMT54"/>
      <c r="JMU54"/>
      <c r="JMV54"/>
      <c r="JMW54"/>
      <c r="JMX54"/>
      <c r="JMY54"/>
      <c r="JMZ54"/>
      <c r="JNA54"/>
      <c r="JNB54"/>
      <c r="JNC54"/>
      <c r="JND54"/>
      <c r="JNE54"/>
      <c r="JNF54"/>
      <c r="JNG54"/>
      <c r="JNH54"/>
      <c r="JNI54"/>
      <c r="JNJ54"/>
      <c r="JNK54"/>
      <c r="JNL54"/>
      <c r="JNM54"/>
      <c r="JNN54"/>
      <c r="JNO54"/>
      <c r="JNP54"/>
      <c r="JNQ54"/>
      <c r="JNR54"/>
      <c r="JNS54"/>
      <c r="JNT54"/>
      <c r="JNU54"/>
      <c r="JNV54"/>
      <c r="JNW54"/>
      <c r="JNX54"/>
      <c r="JNY54"/>
      <c r="JNZ54"/>
      <c r="JOA54"/>
      <c r="JOB54"/>
      <c r="JOC54"/>
      <c r="JOD54"/>
      <c r="JOE54"/>
      <c r="JOF54"/>
      <c r="JOG54"/>
      <c r="JOH54"/>
      <c r="JOI54"/>
      <c r="JOJ54"/>
      <c r="JOK54"/>
      <c r="JOL54"/>
      <c r="JOM54"/>
      <c r="JON54"/>
      <c r="JOO54"/>
      <c r="JOP54"/>
      <c r="JOQ54"/>
      <c r="JOR54"/>
      <c r="JOS54"/>
      <c r="JOT54"/>
      <c r="JOU54"/>
      <c r="JOV54"/>
      <c r="JOW54"/>
      <c r="JOX54"/>
      <c r="JOY54"/>
      <c r="JOZ54"/>
      <c r="JPA54"/>
      <c r="JPB54"/>
      <c r="JPC54"/>
      <c r="JPD54"/>
      <c r="JPE54"/>
      <c r="JPF54"/>
      <c r="JPG54"/>
      <c r="JPH54"/>
      <c r="JPI54"/>
      <c r="JPJ54"/>
      <c r="JPK54"/>
      <c r="JPL54"/>
      <c r="JPM54"/>
      <c r="JPN54"/>
      <c r="JPO54"/>
      <c r="JPP54"/>
      <c r="JPQ54"/>
      <c r="JPR54"/>
      <c r="JPS54"/>
      <c r="JPT54"/>
      <c r="JPU54"/>
      <c r="JPV54"/>
      <c r="JPW54"/>
      <c r="JPX54"/>
      <c r="JPY54"/>
      <c r="JPZ54"/>
      <c r="JQA54"/>
      <c r="JQB54"/>
      <c r="JQC54"/>
      <c r="JQD54"/>
      <c r="JQE54"/>
      <c r="JQF54"/>
      <c r="JQG54"/>
      <c r="JQH54"/>
      <c r="JQI54"/>
      <c r="JQJ54"/>
      <c r="JQK54"/>
      <c r="JQL54"/>
      <c r="JQM54"/>
      <c r="JQN54"/>
      <c r="JQO54"/>
      <c r="JQP54"/>
      <c r="JQQ54"/>
      <c r="JQR54"/>
      <c r="JQS54"/>
      <c r="JQT54"/>
      <c r="JQU54"/>
      <c r="JQV54"/>
      <c r="JQW54"/>
      <c r="JQX54"/>
      <c r="JQY54"/>
      <c r="JQZ54"/>
      <c r="JRA54"/>
      <c r="JRB54"/>
      <c r="JRC54"/>
      <c r="JRD54"/>
      <c r="JRE54"/>
      <c r="JRF54"/>
      <c r="JRG54"/>
      <c r="JRH54"/>
      <c r="JRI54"/>
      <c r="JRJ54"/>
      <c r="JRK54"/>
      <c r="JRL54"/>
      <c r="JRM54"/>
      <c r="JRN54"/>
      <c r="JRO54"/>
      <c r="JRP54"/>
      <c r="JRQ54"/>
      <c r="JRR54"/>
      <c r="JRS54"/>
      <c r="JRT54"/>
      <c r="JRU54"/>
      <c r="JRV54"/>
      <c r="JRW54"/>
      <c r="JRX54"/>
      <c r="JRY54"/>
      <c r="JRZ54"/>
      <c r="JSA54"/>
      <c r="JSB54"/>
      <c r="JSC54"/>
      <c r="JSD54"/>
      <c r="JSE54"/>
      <c r="JSF54"/>
      <c r="JSG54"/>
      <c r="JSH54"/>
      <c r="JSI54"/>
      <c r="JSJ54"/>
      <c r="JSK54"/>
      <c r="JSL54"/>
      <c r="JSM54"/>
      <c r="JSN54"/>
      <c r="JSO54"/>
      <c r="JSP54"/>
      <c r="JSQ54"/>
      <c r="JSR54"/>
      <c r="JSS54"/>
      <c r="JST54"/>
      <c r="JSU54"/>
      <c r="JSV54"/>
      <c r="JSW54"/>
      <c r="JSX54"/>
      <c r="JSY54"/>
      <c r="JSZ54"/>
      <c r="JTA54"/>
      <c r="JTB54"/>
      <c r="JTC54"/>
      <c r="JTD54"/>
      <c r="JTE54"/>
      <c r="JTF54"/>
      <c r="JTG54"/>
      <c r="JTH54"/>
      <c r="JTI54"/>
      <c r="JTJ54"/>
      <c r="JTK54"/>
      <c r="JTL54"/>
      <c r="JTM54"/>
      <c r="JTN54"/>
      <c r="JTO54"/>
      <c r="JTP54"/>
      <c r="JTQ54"/>
      <c r="JTR54"/>
      <c r="JTS54"/>
      <c r="JTT54"/>
      <c r="JTU54"/>
      <c r="JTV54"/>
      <c r="JTW54"/>
      <c r="JTX54"/>
      <c r="JTY54"/>
      <c r="JTZ54"/>
      <c r="JUA54"/>
      <c r="JUB54"/>
      <c r="JUC54"/>
      <c r="JUD54"/>
      <c r="JUE54"/>
      <c r="JUF54"/>
      <c r="JUG54"/>
      <c r="JUH54"/>
      <c r="JUI54"/>
      <c r="JUJ54"/>
      <c r="JUK54"/>
      <c r="JUL54"/>
      <c r="JUM54"/>
      <c r="JUN54"/>
      <c r="JUO54"/>
      <c r="JUP54"/>
      <c r="JUQ54"/>
      <c r="JUR54"/>
      <c r="JUS54"/>
      <c r="JUT54"/>
      <c r="JUU54"/>
      <c r="JUV54"/>
      <c r="JUW54"/>
      <c r="JUX54"/>
      <c r="JUY54"/>
      <c r="JUZ54"/>
      <c r="JVA54"/>
      <c r="JVB54"/>
      <c r="JVC54"/>
      <c r="JVD54"/>
      <c r="JVE54"/>
      <c r="JVF54"/>
      <c r="JVG54"/>
      <c r="JVH54"/>
      <c r="JVI54"/>
      <c r="JVJ54"/>
      <c r="JVK54"/>
      <c r="JVL54"/>
      <c r="JVM54"/>
      <c r="JVN54"/>
      <c r="JVO54"/>
      <c r="JVP54"/>
      <c r="JVQ54"/>
      <c r="JVR54"/>
      <c r="JVS54"/>
      <c r="JVT54"/>
      <c r="JVU54"/>
      <c r="JVV54"/>
      <c r="JVW54"/>
      <c r="JVX54"/>
      <c r="JVY54"/>
      <c r="JVZ54"/>
      <c r="JWA54"/>
      <c r="JWB54"/>
      <c r="JWC54"/>
      <c r="JWD54"/>
      <c r="JWE54"/>
      <c r="JWF54"/>
      <c r="JWG54"/>
      <c r="JWH54"/>
      <c r="JWI54"/>
      <c r="JWJ54"/>
      <c r="JWK54"/>
      <c r="JWL54"/>
      <c r="JWM54"/>
      <c r="JWN54"/>
      <c r="JWO54"/>
      <c r="JWP54"/>
      <c r="JWQ54"/>
      <c r="JWR54"/>
      <c r="JWS54"/>
      <c r="JWT54"/>
      <c r="JWU54"/>
      <c r="JWV54"/>
      <c r="JWW54"/>
      <c r="JWX54"/>
      <c r="JWY54"/>
      <c r="JWZ54"/>
      <c r="JXA54"/>
      <c r="JXB54"/>
      <c r="JXC54"/>
      <c r="JXD54"/>
      <c r="JXE54"/>
      <c r="JXF54"/>
      <c r="JXG54"/>
      <c r="JXH54"/>
      <c r="JXI54"/>
      <c r="JXJ54"/>
      <c r="JXK54"/>
      <c r="JXL54"/>
      <c r="JXM54"/>
      <c r="JXN54"/>
      <c r="JXO54"/>
      <c r="JXP54"/>
      <c r="JXQ54"/>
      <c r="JXR54"/>
      <c r="JXS54"/>
      <c r="JXT54"/>
      <c r="JXU54"/>
      <c r="JXV54"/>
      <c r="JXW54"/>
      <c r="JXX54"/>
      <c r="JXY54"/>
      <c r="JXZ54"/>
      <c r="JYA54"/>
      <c r="JYB54"/>
      <c r="JYC54"/>
      <c r="JYD54"/>
      <c r="JYE54"/>
      <c r="JYF54"/>
      <c r="JYG54"/>
      <c r="JYH54"/>
      <c r="JYI54"/>
      <c r="JYJ54"/>
      <c r="JYK54"/>
      <c r="JYL54"/>
      <c r="JYM54"/>
      <c r="JYN54"/>
      <c r="JYO54"/>
      <c r="JYP54"/>
      <c r="JYQ54"/>
      <c r="JYR54"/>
      <c r="JYS54"/>
      <c r="JYT54"/>
      <c r="JYU54"/>
      <c r="JYV54"/>
      <c r="JYW54"/>
      <c r="JYX54"/>
      <c r="JYY54"/>
      <c r="JYZ54"/>
      <c r="JZA54"/>
      <c r="JZB54"/>
      <c r="JZC54"/>
      <c r="JZD54"/>
      <c r="JZE54"/>
      <c r="JZF54"/>
      <c r="JZG54"/>
      <c r="JZH54"/>
      <c r="JZI54"/>
      <c r="JZJ54"/>
      <c r="JZK54"/>
      <c r="JZL54"/>
      <c r="JZM54"/>
      <c r="JZN54"/>
      <c r="JZO54"/>
      <c r="JZP54"/>
      <c r="JZQ54"/>
      <c r="JZR54"/>
      <c r="JZS54"/>
      <c r="JZT54"/>
      <c r="JZU54"/>
      <c r="JZV54"/>
      <c r="JZW54"/>
      <c r="JZX54"/>
      <c r="JZY54"/>
      <c r="JZZ54"/>
      <c r="KAA54"/>
      <c r="KAB54"/>
      <c r="KAC54"/>
      <c r="KAD54"/>
      <c r="KAE54"/>
      <c r="KAF54"/>
      <c r="KAG54"/>
      <c r="KAH54"/>
      <c r="KAI54"/>
      <c r="KAJ54"/>
      <c r="KAK54"/>
      <c r="KAL54"/>
      <c r="KAM54"/>
      <c r="KAN54"/>
      <c r="KAO54"/>
      <c r="KAP54"/>
      <c r="KAQ54"/>
      <c r="KAR54"/>
      <c r="KAS54"/>
      <c r="KAT54"/>
      <c r="KAU54"/>
      <c r="KAV54"/>
      <c r="KAW54"/>
      <c r="KAX54"/>
      <c r="KAY54"/>
      <c r="KAZ54"/>
      <c r="KBA54"/>
      <c r="KBB54"/>
      <c r="KBC54"/>
      <c r="KBD54"/>
      <c r="KBE54"/>
      <c r="KBF54"/>
      <c r="KBG54"/>
      <c r="KBH54"/>
      <c r="KBI54"/>
      <c r="KBJ54"/>
      <c r="KBK54"/>
      <c r="KBL54"/>
      <c r="KBM54"/>
      <c r="KBN54"/>
      <c r="KBO54"/>
      <c r="KBP54"/>
      <c r="KBQ54"/>
      <c r="KBR54"/>
      <c r="KBS54"/>
      <c r="KBT54"/>
      <c r="KBU54"/>
      <c r="KBV54"/>
      <c r="KBW54"/>
      <c r="KBX54"/>
      <c r="KBY54"/>
      <c r="KBZ54"/>
      <c r="KCA54"/>
      <c r="KCB54"/>
      <c r="KCC54"/>
      <c r="KCD54"/>
      <c r="KCE54"/>
      <c r="KCF54"/>
      <c r="KCG54"/>
      <c r="KCH54"/>
      <c r="KCI54"/>
      <c r="KCJ54"/>
      <c r="KCK54"/>
      <c r="KCL54"/>
      <c r="KCM54"/>
      <c r="KCN54"/>
      <c r="KCO54"/>
      <c r="KCP54"/>
      <c r="KCQ54"/>
      <c r="KCR54"/>
      <c r="KCS54"/>
      <c r="KCT54"/>
      <c r="KCU54"/>
      <c r="KCV54"/>
      <c r="KCW54"/>
      <c r="KCX54"/>
      <c r="KCY54"/>
      <c r="KCZ54"/>
      <c r="KDA54"/>
      <c r="KDB54"/>
      <c r="KDC54"/>
      <c r="KDD54"/>
      <c r="KDE54"/>
      <c r="KDF54"/>
      <c r="KDG54"/>
      <c r="KDH54"/>
      <c r="KDI54"/>
      <c r="KDJ54"/>
      <c r="KDK54"/>
      <c r="KDL54"/>
      <c r="KDM54"/>
      <c r="KDN54"/>
      <c r="KDO54"/>
      <c r="KDP54"/>
      <c r="KDQ54"/>
      <c r="KDR54"/>
      <c r="KDS54"/>
      <c r="KDT54"/>
      <c r="KDU54"/>
      <c r="KDV54"/>
      <c r="KDW54"/>
      <c r="KDX54"/>
      <c r="KDY54"/>
      <c r="KDZ54"/>
      <c r="KEA54"/>
      <c r="KEB54"/>
      <c r="KEC54"/>
      <c r="KED54"/>
      <c r="KEE54"/>
      <c r="KEF54"/>
      <c r="KEG54"/>
      <c r="KEH54"/>
      <c r="KEI54"/>
      <c r="KEJ54"/>
      <c r="KEK54"/>
      <c r="KEL54"/>
      <c r="KEM54"/>
      <c r="KEN54"/>
      <c r="KEO54"/>
      <c r="KEP54"/>
      <c r="KEQ54"/>
      <c r="KER54"/>
      <c r="KES54"/>
      <c r="KET54"/>
      <c r="KEU54"/>
      <c r="KEV54"/>
      <c r="KEW54"/>
      <c r="KEX54"/>
      <c r="KEY54"/>
      <c r="KEZ54"/>
      <c r="KFA54"/>
      <c r="KFB54"/>
      <c r="KFC54"/>
      <c r="KFD54"/>
      <c r="KFE54"/>
      <c r="KFF54"/>
      <c r="KFG54"/>
      <c r="KFH54"/>
      <c r="KFI54"/>
      <c r="KFJ54"/>
      <c r="KFK54"/>
      <c r="KFL54"/>
      <c r="KFM54"/>
      <c r="KFN54"/>
      <c r="KFO54"/>
      <c r="KFP54"/>
      <c r="KFQ54"/>
      <c r="KFR54"/>
      <c r="KFS54"/>
      <c r="KFT54"/>
      <c r="KFU54"/>
      <c r="KFV54"/>
      <c r="KFW54"/>
      <c r="KFX54"/>
      <c r="KFY54"/>
      <c r="KFZ54"/>
      <c r="KGA54"/>
      <c r="KGB54"/>
      <c r="KGC54"/>
      <c r="KGD54"/>
      <c r="KGE54"/>
      <c r="KGF54"/>
      <c r="KGG54"/>
      <c r="KGH54"/>
      <c r="KGI54"/>
      <c r="KGJ54"/>
      <c r="KGK54"/>
      <c r="KGL54"/>
      <c r="KGM54"/>
      <c r="KGN54"/>
      <c r="KGO54"/>
      <c r="KGP54"/>
      <c r="KGQ54"/>
      <c r="KGR54"/>
      <c r="KGS54"/>
      <c r="KGT54"/>
      <c r="KGU54"/>
      <c r="KGV54"/>
      <c r="KGW54"/>
      <c r="KGX54"/>
      <c r="KGY54"/>
      <c r="KGZ54"/>
      <c r="KHA54"/>
      <c r="KHB54"/>
      <c r="KHC54"/>
      <c r="KHD54"/>
      <c r="KHE54"/>
      <c r="KHF54"/>
      <c r="KHG54"/>
      <c r="KHH54"/>
      <c r="KHI54"/>
      <c r="KHJ54"/>
      <c r="KHK54"/>
      <c r="KHL54"/>
      <c r="KHM54"/>
      <c r="KHN54"/>
      <c r="KHO54"/>
      <c r="KHP54"/>
      <c r="KHQ54"/>
      <c r="KHR54"/>
      <c r="KHS54"/>
      <c r="KHT54"/>
      <c r="KHU54"/>
      <c r="KHV54"/>
      <c r="KHW54"/>
      <c r="KHX54"/>
      <c r="KHY54"/>
      <c r="KHZ54"/>
      <c r="KIA54"/>
      <c r="KIB54"/>
      <c r="KIC54"/>
      <c r="KID54"/>
      <c r="KIE54"/>
      <c r="KIF54"/>
      <c r="KIG54"/>
      <c r="KIH54"/>
      <c r="KII54"/>
      <c r="KIJ54"/>
      <c r="KIK54"/>
      <c r="KIL54"/>
      <c r="KIM54"/>
      <c r="KIN54"/>
      <c r="KIO54"/>
      <c r="KIP54"/>
      <c r="KIQ54"/>
      <c r="KIR54"/>
      <c r="KIS54"/>
      <c r="KIT54"/>
      <c r="KIU54"/>
      <c r="KIV54"/>
      <c r="KIW54"/>
      <c r="KIX54"/>
      <c r="KIY54"/>
      <c r="KIZ54"/>
      <c r="KJA54"/>
      <c r="KJB54"/>
      <c r="KJC54"/>
      <c r="KJD54"/>
      <c r="KJE54"/>
      <c r="KJF54"/>
      <c r="KJG54"/>
      <c r="KJH54"/>
      <c r="KJI54"/>
      <c r="KJJ54"/>
      <c r="KJK54"/>
      <c r="KJL54"/>
      <c r="KJM54"/>
      <c r="KJN54"/>
      <c r="KJO54"/>
      <c r="KJP54"/>
      <c r="KJQ54"/>
      <c r="KJR54"/>
      <c r="KJS54"/>
      <c r="KJT54"/>
      <c r="KJU54"/>
      <c r="KJV54"/>
      <c r="KJW54"/>
      <c r="KJX54"/>
      <c r="KJY54"/>
      <c r="KJZ54"/>
      <c r="KKA54"/>
      <c r="KKB54"/>
      <c r="KKC54"/>
      <c r="KKD54"/>
      <c r="KKE54"/>
      <c r="KKF54"/>
      <c r="KKG54"/>
      <c r="KKH54"/>
      <c r="KKI54"/>
      <c r="KKJ54"/>
      <c r="KKK54"/>
      <c r="KKL54"/>
      <c r="KKM54"/>
      <c r="KKN54"/>
      <c r="KKO54"/>
      <c r="KKP54"/>
      <c r="KKQ54"/>
      <c r="KKR54"/>
      <c r="KKS54"/>
      <c r="KKT54"/>
      <c r="KKU54"/>
      <c r="KKV54"/>
      <c r="KKW54"/>
      <c r="KKX54"/>
      <c r="KKY54"/>
      <c r="KKZ54"/>
      <c r="KLA54"/>
      <c r="KLB54"/>
      <c r="KLC54"/>
      <c r="KLD54"/>
      <c r="KLE54"/>
      <c r="KLF54"/>
      <c r="KLG54"/>
      <c r="KLH54"/>
      <c r="KLI54"/>
      <c r="KLJ54"/>
      <c r="KLK54"/>
      <c r="KLL54"/>
      <c r="KLM54"/>
      <c r="KLN54"/>
      <c r="KLO54"/>
      <c r="KLP54"/>
      <c r="KLQ54"/>
      <c r="KLR54"/>
      <c r="KLS54"/>
      <c r="KLT54"/>
      <c r="KLU54"/>
      <c r="KLV54"/>
      <c r="KLW54"/>
      <c r="KLX54"/>
      <c r="KLY54"/>
      <c r="KLZ54"/>
      <c r="KMA54"/>
      <c r="KMB54"/>
      <c r="KMC54"/>
      <c r="KMD54"/>
      <c r="KME54"/>
      <c r="KMF54"/>
      <c r="KMG54"/>
      <c r="KMH54"/>
      <c r="KMI54"/>
      <c r="KMJ54"/>
      <c r="KMK54"/>
      <c r="KML54"/>
      <c r="KMM54"/>
      <c r="KMN54"/>
      <c r="KMO54"/>
      <c r="KMP54"/>
      <c r="KMQ54"/>
      <c r="KMR54"/>
      <c r="KMS54"/>
      <c r="KMT54"/>
      <c r="KMU54"/>
      <c r="KMV54"/>
      <c r="KMW54"/>
      <c r="KMX54"/>
      <c r="KMY54"/>
      <c r="KMZ54"/>
      <c r="KNA54"/>
      <c r="KNB54"/>
      <c r="KNC54"/>
      <c r="KND54"/>
      <c r="KNE54"/>
      <c r="KNF54"/>
      <c r="KNG54"/>
      <c r="KNH54"/>
      <c r="KNI54"/>
      <c r="KNJ54"/>
      <c r="KNK54"/>
      <c r="KNL54"/>
      <c r="KNM54"/>
      <c r="KNN54"/>
      <c r="KNO54"/>
      <c r="KNP54"/>
      <c r="KNQ54"/>
      <c r="KNR54"/>
      <c r="KNS54"/>
      <c r="KNT54"/>
      <c r="KNU54"/>
      <c r="KNV54"/>
      <c r="KNW54"/>
      <c r="KNX54"/>
      <c r="KNY54"/>
      <c r="KNZ54"/>
      <c r="KOA54"/>
      <c r="KOB54"/>
      <c r="KOC54"/>
      <c r="KOD54"/>
      <c r="KOE54"/>
      <c r="KOF54"/>
      <c r="KOG54"/>
      <c r="KOH54"/>
      <c r="KOI54"/>
      <c r="KOJ54"/>
      <c r="KOK54"/>
      <c r="KOL54"/>
      <c r="KOM54"/>
      <c r="KON54"/>
      <c r="KOO54"/>
      <c r="KOP54"/>
      <c r="KOQ54"/>
      <c r="KOR54"/>
      <c r="KOS54"/>
      <c r="KOT54"/>
      <c r="KOU54"/>
      <c r="KOV54"/>
      <c r="KOW54"/>
      <c r="KOX54"/>
      <c r="KOY54"/>
      <c r="KOZ54"/>
      <c r="KPA54"/>
      <c r="KPB54"/>
      <c r="KPC54"/>
      <c r="KPD54"/>
      <c r="KPE54"/>
      <c r="KPF54"/>
      <c r="KPG54"/>
      <c r="KPH54"/>
      <c r="KPI54"/>
      <c r="KPJ54"/>
      <c r="KPK54"/>
      <c r="KPL54"/>
      <c r="KPM54"/>
      <c r="KPN54"/>
      <c r="KPO54"/>
      <c r="KPP54"/>
      <c r="KPQ54"/>
      <c r="KPR54"/>
      <c r="KPS54"/>
      <c r="KPT54"/>
      <c r="KPU54"/>
      <c r="KPV54"/>
      <c r="KPW54"/>
      <c r="KPX54"/>
      <c r="KPY54"/>
      <c r="KPZ54"/>
      <c r="KQA54"/>
      <c r="KQB54"/>
      <c r="KQC54"/>
      <c r="KQD54"/>
      <c r="KQE54"/>
      <c r="KQF54"/>
      <c r="KQG54"/>
      <c r="KQH54"/>
      <c r="KQI54"/>
      <c r="KQJ54"/>
      <c r="KQK54"/>
      <c r="KQL54"/>
      <c r="KQM54"/>
      <c r="KQN54"/>
      <c r="KQO54"/>
      <c r="KQP54"/>
      <c r="KQQ54"/>
      <c r="KQR54"/>
      <c r="KQS54"/>
      <c r="KQT54"/>
      <c r="KQU54"/>
      <c r="KQV54"/>
      <c r="KQW54"/>
      <c r="KQX54"/>
      <c r="KQY54"/>
      <c r="KQZ54"/>
      <c r="KRA54"/>
      <c r="KRB54"/>
      <c r="KRC54"/>
      <c r="KRD54"/>
      <c r="KRE54"/>
      <c r="KRF54"/>
      <c r="KRG54"/>
      <c r="KRH54"/>
      <c r="KRI54"/>
      <c r="KRJ54"/>
      <c r="KRK54"/>
      <c r="KRL54"/>
      <c r="KRM54"/>
      <c r="KRN54"/>
      <c r="KRO54"/>
      <c r="KRP54"/>
      <c r="KRQ54"/>
      <c r="KRR54"/>
      <c r="KRS54"/>
      <c r="KRT54"/>
      <c r="KRU54"/>
      <c r="KRV54"/>
      <c r="KRW54"/>
      <c r="KRX54"/>
      <c r="KRY54"/>
      <c r="KRZ54"/>
      <c r="KSA54"/>
      <c r="KSB54"/>
      <c r="KSC54"/>
      <c r="KSD54"/>
      <c r="KSE54"/>
      <c r="KSF54"/>
      <c r="KSG54"/>
      <c r="KSH54"/>
      <c r="KSI54"/>
      <c r="KSJ54"/>
      <c r="KSK54"/>
      <c r="KSL54"/>
      <c r="KSM54"/>
      <c r="KSN54"/>
      <c r="KSO54"/>
      <c r="KSP54"/>
      <c r="KSQ54"/>
      <c r="KSR54"/>
      <c r="KSS54"/>
      <c r="KST54"/>
      <c r="KSU54"/>
      <c r="KSV54"/>
      <c r="KSW54"/>
      <c r="KSX54"/>
      <c r="KSY54"/>
      <c r="KSZ54"/>
      <c r="KTA54"/>
      <c r="KTB54"/>
      <c r="KTC54"/>
      <c r="KTD54"/>
      <c r="KTE54"/>
      <c r="KTF54"/>
      <c r="KTG54"/>
      <c r="KTH54"/>
      <c r="KTI54"/>
      <c r="KTJ54"/>
      <c r="KTK54"/>
      <c r="KTL54"/>
      <c r="KTM54"/>
      <c r="KTN54"/>
      <c r="KTO54"/>
      <c r="KTP54"/>
      <c r="KTQ54"/>
      <c r="KTR54"/>
      <c r="KTS54"/>
      <c r="KTT54"/>
      <c r="KTU54"/>
      <c r="KTV54"/>
      <c r="KTW54"/>
      <c r="KTX54"/>
      <c r="KTY54"/>
      <c r="KTZ54"/>
      <c r="KUA54"/>
      <c r="KUB54"/>
      <c r="KUC54"/>
      <c r="KUD54"/>
      <c r="KUE54"/>
      <c r="KUF54"/>
      <c r="KUG54"/>
      <c r="KUH54"/>
      <c r="KUI54"/>
      <c r="KUJ54"/>
      <c r="KUK54"/>
      <c r="KUL54"/>
      <c r="KUM54"/>
      <c r="KUN54"/>
      <c r="KUO54"/>
      <c r="KUP54"/>
      <c r="KUQ54"/>
      <c r="KUR54"/>
      <c r="KUS54"/>
      <c r="KUT54"/>
      <c r="KUU54"/>
      <c r="KUV54"/>
      <c r="KUW54"/>
      <c r="KUX54"/>
      <c r="KUY54"/>
      <c r="KUZ54"/>
      <c r="KVA54"/>
      <c r="KVB54"/>
      <c r="KVC54"/>
      <c r="KVD54"/>
      <c r="KVE54"/>
      <c r="KVF54"/>
      <c r="KVG54"/>
      <c r="KVH54"/>
      <c r="KVI54"/>
      <c r="KVJ54"/>
      <c r="KVK54"/>
      <c r="KVL54"/>
      <c r="KVM54"/>
      <c r="KVN54"/>
      <c r="KVO54"/>
      <c r="KVP54"/>
      <c r="KVQ54"/>
      <c r="KVR54"/>
      <c r="KVS54"/>
      <c r="KVT54"/>
      <c r="KVU54"/>
      <c r="KVV54"/>
      <c r="KVW54"/>
      <c r="KVX54"/>
      <c r="KVY54"/>
      <c r="KVZ54"/>
      <c r="KWA54"/>
      <c r="KWB54"/>
      <c r="KWC54"/>
      <c r="KWD54"/>
      <c r="KWE54"/>
      <c r="KWF54"/>
      <c r="KWG54"/>
      <c r="KWH54"/>
      <c r="KWI54"/>
      <c r="KWJ54"/>
      <c r="KWK54"/>
      <c r="KWL54"/>
      <c r="KWM54"/>
      <c r="KWN54"/>
      <c r="KWO54"/>
      <c r="KWP54"/>
      <c r="KWQ54"/>
      <c r="KWR54"/>
      <c r="KWS54"/>
      <c r="KWT54"/>
      <c r="KWU54"/>
      <c r="KWV54"/>
      <c r="KWW54"/>
      <c r="KWX54"/>
      <c r="KWY54"/>
      <c r="KWZ54"/>
      <c r="KXA54"/>
      <c r="KXB54"/>
      <c r="KXC54"/>
      <c r="KXD54"/>
      <c r="KXE54"/>
      <c r="KXF54"/>
      <c r="KXG54"/>
      <c r="KXH54"/>
      <c r="KXI54"/>
      <c r="KXJ54"/>
      <c r="KXK54"/>
      <c r="KXL54"/>
      <c r="KXM54"/>
      <c r="KXN54"/>
      <c r="KXO54"/>
      <c r="KXP54"/>
      <c r="KXQ54"/>
      <c r="KXR54"/>
      <c r="KXS54"/>
      <c r="KXT54"/>
      <c r="KXU54"/>
      <c r="KXV54"/>
      <c r="KXW54"/>
      <c r="KXX54"/>
      <c r="KXY54"/>
      <c r="KXZ54"/>
      <c r="KYA54"/>
      <c r="KYB54"/>
      <c r="KYC54"/>
      <c r="KYD54"/>
      <c r="KYE54"/>
      <c r="KYF54"/>
      <c r="KYG54"/>
      <c r="KYH54"/>
      <c r="KYI54"/>
      <c r="KYJ54"/>
      <c r="KYK54"/>
      <c r="KYL54"/>
      <c r="KYM54"/>
      <c r="KYN54"/>
      <c r="KYO54"/>
      <c r="KYP54"/>
      <c r="KYQ54"/>
      <c r="KYR54"/>
      <c r="KYS54"/>
      <c r="KYT54"/>
      <c r="KYU54"/>
      <c r="KYV54"/>
      <c r="KYW54"/>
      <c r="KYX54"/>
      <c r="KYY54"/>
      <c r="KYZ54"/>
      <c r="KZA54"/>
      <c r="KZB54"/>
      <c r="KZC54"/>
      <c r="KZD54"/>
      <c r="KZE54"/>
      <c r="KZF54"/>
      <c r="KZG54"/>
      <c r="KZH54"/>
      <c r="KZI54"/>
      <c r="KZJ54"/>
      <c r="KZK54"/>
      <c r="KZL54"/>
      <c r="KZM54"/>
      <c r="KZN54"/>
      <c r="KZO54"/>
      <c r="KZP54"/>
      <c r="KZQ54"/>
      <c r="KZR54"/>
      <c r="KZS54"/>
      <c r="KZT54"/>
      <c r="KZU54"/>
      <c r="KZV54"/>
      <c r="KZW54"/>
      <c r="KZX54"/>
      <c r="KZY54"/>
      <c r="KZZ54"/>
      <c r="LAA54"/>
      <c r="LAB54"/>
      <c r="LAC54"/>
      <c r="LAD54"/>
      <c r="LAE54"/>
      <c r="LAF54"/>
      <c r="LAG54"/>
      <c r="LAH54"/>
      <c r="LAI54"/>
      <c r="LAJ54"/>
      <c r="LAK54"/>
      <c r="LAL54"/>
      <c r="LAM54"/>
      <c r="LAN54"/>
      <c r="LAO54"/>
      <c r="LAP54"/>
      <c r="LAQ54"/>
      <c r="LAR54"/>
      <c r="LAS54"/>
      <c r="LAT54"/>
      <c r="LAU54"/>
      <c r="LAV54"/>
      <c r="LAW54"/>
      <c r="LAX54"/>
      <c r="LAY54"/>
      <c r="LAZ54"/>
      <c r="LBA54"/>
      <c r="LBB54"/>
      <c r="LBC54"/>
      <c r="LBD54"/>
      <c r="LBE54"/>
      <c r="LBF54"/>
      <c r="LBG54"/>
      <c r="LBH54"/>
      <c r="LBI54"/>
      <c r="LBJ54"/>
      <c r="LBK54"/>
      <c r="LBL54"/>
      <c r="LBM54"/>
      <c r="LBN54"/>
      <c r="LBO54"/>
      <c r="LBP54"/>
      <c r="LBQ54"/>
      <c r="LBR54"/>
      <c r="LBS54"/>
      <c r="LBT54"/>
      <c r="LBU54"/>
      <c r="LBV54"/>
      <c r="LBW54"/>
      <c r="LBX54"/>
      <c r="LBY54"/>
      <c r="LBZ54"/>
      <c r="LCA54"/>
      <c r="LCB54"/>
      <c r="LCC54"/>
      <c r="LCD54"/>
      <c r="LCE54"/>
      <c r="LCF54"/>
      <c r="LCG54"/>
      <c r="LCH54"/>
      <c r="LCI54"/>
      <c r="LCJ54"/>
      <c r="LCK54"/>
      <c r="LCL54"/>
      <c r="LCM54"/>
      <c r="LCN54"/>
      <c r="LCO54"/>
      <c r="LCP54"/>
      <c r="LCQ54"/>
      <c r="LCR54"/>
      <c r="LCS54"/>
      <c r="LCT54"/>
      <c r="LCU54"/>
      <c r="LCV54"/>
      <c r="LCW54"/>
      <c r="LCX54"/>
      <c r="LCY54"/>
      <c r="LCZ54"/>
      <c r="LDA54"/>
      <c r="LDB54"/>
      <c r="LDC54"/>
      <c r="LDD54"/>
      <c r="LDE54"/>
      <c r="LDF54"/>
      <c r="LDG54"/>
      <c r="LDH54"/>
      <c r="LDI54"/>
      <c r="LDJ54"/>
      <c r="LDK54"/>
      <c r="LDL54"/>
      <c r="LDM54"/>
      <c r="LDN54"/>
      <c r="LDO54"/>
      <c r="LDP54"/>
      <c r="LDQ54"/>
      <c r="LDR54"/>
      <c r="LDS54"/>
      <c r="LDT54"/>
      <c r="LDU54"/>
      <c r="LDV54"/>
      <c r="LDW54"/>
      <c r="LDX54"/>
      <c r="LDY54"/>
      <c r="LDZ54"/>
      <c r="LEA54"/>
      <c r="LEB54"/>
      <c r="LEC54"/>
      <c r="LED54"/>
      <c r="LEE54"/>
      <c r="LEF54"/>
      <c r="LEG54"/>
      <c r="LEH54"/>
      <c r="LEI54"/>
      <c r="LEJ54"/>
      <c r="LEK54"/>
      <c r="LEL54"/>
      <c r="LEM54"/>
      <c r="LEN54"/>
      <c r="LEO54"/>
      <c r="LEP54"/>
      <c r="LEQ54"/>
      <c r="LER54"/>
      <c r="LES54"/>
      <c r="LET54"/>
      <c r="LEU54"/>
      <c r="LEV54"/>
      <c r="LEW54"/>
      <c r="LEX54"/>
      <c r="LEY54"/>
      <c r="LEZ54"/>
      <c r="LFA54"/>
      <c r="LFB54"/>
      <c r="LFC54"/>
      <c r="LFD54"/>
      <c r="LFE54"/>
      <c r="LFF54"/>
      <c r="LFG54"/>
      <c r="LFH54"/>
      <c r="LFI54"/>
      <c r="LFJ54"/>
      <c r="LFK54"/>
      <c r="LFL54"/>
      <c r="LFM54"/>
      <c r="LFN54"/>
      <c r="LFO54"/>
      <c r="LFP54"/>
      <c r="LFQ54"/>
      <c r="LFR54"/>
      <c r="LFS54"/>
      <c r="LFT54"/>
      <c r="LFU54"/>
      <c r="LFV54"/>
      <c r="LFW54"/>
      <c r="LFX54"/>
      <c r="LFY54"/>
      <c r="LFZ54"/>
      <c r="LGA54"/>
      <c r="LGB54"/>
      <c r="LGC54"/>
      <c r="LGD54"/>
      <c r="LGE54"/>
      <c r="LGF54"/>
      <c r="LGG54"/>
      <c r="LGH54"/>
      <c r="LGI54"/>
      <c r="LGJ54"/>
      <c r="LGK54"/>
      <c r="LGL54"/>
      <c r="LGM54"/>
      <c r="LGN54"/>
      <c r="LGO54"/>
      <c r="LGP54"/>
      <c r="LGQ54"/>
      <c r="LGR54"/>
      <c r="LGS54"/>
      <c r="LGT54"/>
      <c r="LGU54"/>
      <c r="LGV54"/>
      <c r="LGW54"/>
      <c r="LGX54"/>
      <c r="LGY54"/>
      <c r="LGZ54"/>
      <c r="LHA54"/>
      <c r="LHB54"/>
      <c r="LHC54"/>
      <c r="LHD54"/>
      <c r="LHE54"/>
      <c r="LHF54"/>
      <c r="LHG54"/>
      <c r="LHH54"/>
      <c r="LHI54"/>
      <c r="LHJ54"/>
      <c r="LHK54"/>
      <c r="LHL54"/>
      <c r="LHM54"/>
      <c r="LHN54"/>
      <c r="LHO54"/>
      <c r="LHP54"/>
      <c r="LHQ54"/>
      <c r="LHR54"/>
      <c r="LHS54"/>
      <c r="LHT54"/>
      <c r="LHU54"/>
      <c r="LHV54"/>
      <c r="LHW54"/>
      <c r="LHX54"/>
      <c r="LHY54"/>
      <c r="LHZ54"/>
      <c r="LIA54"/>
      <c r="LIB54"/>
      <c r="LIC54"/>
      <c r="LID54"/>
      <c r="LIE54"/>
      <c r="LIF54"/>
      <c r="LIG54"/>
      <c r="LIH54"/>
      <c r="LII54"/>
      <c r="LIJ54"/>
      <c r="LIK54"/>
      <c r="LIL54"/>
      <c r="LIM54"/>
      <c r="LIN54"/>
      <c r="LIO54"/>
      <c r="LIP54"/>
      <c r="LIQ54"/>
      <c r="LIR54"/>
      <c r="LIS54"/>
      <c r="LIT54"/>
      <c r="LIU54"/>
      <c r="LIV54"/>
      <c r="LIW54"/>
      <c r="LIX54"/>
      <c r="LIY54"/>
      <c r="LIZ54"/>
      <c r="LJA54"/>
      <c r="LJB54"/>
      <c r="LJC54"/>
      <c r="LJD54"/>
      <c r="LJE54"/>
      <c r="LJF54"/>
      <c r="LJG54"/>
      <c r="LJH54"/>
      <c r="LJI54"/>
      <c r="LJJ54"/>
      <c r="LJK54"/>
      <c r="LJL54"/>
      <c r="LJM54"/>
      <c r="LJN54"/>
      <c r="LJO54"/>
      <c r="LJP54"/>
      <c r="LJQ54"/>
      <c r="LJR54"/>
      <c r="LJS54"/>
      <c r="LJT54"/>
      <c r="LJU54"/>
      <c r="LJV54"/>
      <c r="LJW54"/>
      <c r="LJX54"/>
      <c r="LJY54"/>
      <c r="LJZ54"/>
      <c r="LKA54"/>
      <c r="LKB54"/>
      <c r="LKC54"/>
      <c r="LKD54"/>
      <c r="LKE54"/>
      <c r="LKF54"/>
      <c r="LKG54"/>
      <c r="LKH54"/>
      <c r="LKI54"/>
      <c r="LKJ54"/>
      <c r="LKK54"/>
      <c r="LKL54"/>
      <c r="LKM54"/>
      <c r="LKN54"/>
      <c r="LKO54"/>
      <c r="LKP54"/>
      <c r="LKQ54"/>
      <c r="LKR54"/>
      <c r="LKS54"/>
      <c r="LKT54"/>
      <c r="LKU54"/>
      <c r="LKV54"/>
      <c r="LKW54"/>
      <c r="LKX54"/>
      <c r="LKY54"/>
      <c r="LKZ54"/>
      <c r="LLA54"/>
      <c r="LLB54"/>
      <c r="LLC54"/>
      <c r="LLD54"/>
      <c r="LLE54"/>
      <c r="LLF54"/>
      <c r="LLG54"/>
      <c r="LLH54"/>
      <c r="LLI54"/>
      <c r="LLJ54"/>
      <c r="LLK54"/>
      <c r="LLL54"/>
      <c r="LLM54"/>
      <c r="LLN54"/>
      <c r="LLO54"/>
      <c r="LLP54"/>
      <c r="LLQ54"/>
      <c r="LLR54"/>
      <c r="LLS54"/>
      <c r="LLT54"/>
      <c r="LLU54"/>
      <c r="LLV54"/>
      <c r="LLW54"/>
      <c r="LLX54"/>
      <c r="LLY54"/>
      <c r="LLZ54"/>
      <c r="LMA54"/>
      <c r="LMB54"/>
      <c r="LMC54"/>
      <c r="LMD54"/>
      <c r="LME54"/>
      <c r="LMF54"/>
      <c r="LMG54"/>
      <c r="LMH54"/>
      <c r="LMI54"/>
      <c r="LMJ54"/>
      <c r="LMK54"/>
      <c r="LML54"/>
      <c r="LMM54"/>
      <c r="LMN54"/>
      <c r="LMO54"/>
      <c r="LMP54"/>
      <c r="LMQ54"/>
      <c r="LMR54"/>
      <c r="LMS54"/>
      <c r="LMT54"/>
      <c r="LMU54"/>
      <c r="LMV54"/>
      <c r="LMW54"/>
      <c r="LMX54"/>
      <c r="LMY54"/>
      <c r="LMZ54"/>
      <c r="LNA54"/>
      <c r="LNB54"/>
      <c r="LNC54"/>
      <c r="LND54"/>
      <c r="LNE54"/>
      <c r="LNF54"/>
      <c r="LNG54"/>
      <c r="LNH54"/>
      <c r="LNI54"/>
      <c r="LNJ54"/>
      <c r="LNK54"/>
      <c r="LNL54"/>
      <c r="LNM54"/>
      <c r="LNN54"/>
      <c r="LNO54"/>
      <c r="LNP54"/>
      <c r="LNQ54"/>
      <c r="LNR54"/>
      <c r="LNS54"/>
      <c r="LNT54"/>
      <c r="LNU54"/>
      <c r="LNV54"/>
      <c r="LNW54"/>
      <c r="LNX54"/>
      <c r="LNY54"/>
      <c r="LNZ54"/>
      <c r="LOA54"/>
      <c r="LOB54"/>
      <c r="LOC54"/>
      <c r="LOD54"/>
      <c r="LOE54"/>
      <c r="LOF54"/>
      <c r="LOG54"/>
      <c r="LOH54"/>
      <c r="LOI54"/>
      <c r="LOJ54"/>
      <c r="LOK54"/>
      <c r="LOL54"/>
      <c r="LOM54"/>
      <c r="LON54"/>
      <c r="LOO54"/>
      <c r="LOP54"/>
      <c r="LOQ54"/>
      <c r="LOR54"/>
      <c r="LOS54"/>
      <c r="LOT54"/>
      <c r="LOU54"/>
      <c r="LOV54"/>
      <c r="LOW54"/>
      <c r="LOX54"/>
      <c r="LOY54"/>
      <c r="LOZ54"/>
      <c r="LPA54"/>
      <c r="LPB54"/>
      <c r="LPC54"/>
      <c r="LPD54"/>
      <c r="LPE54"/>
      <c r="LPF54"/>
      <c r="LPG54"/>
      <c r="LPH54"/>
      <c r="LPI54"/>
      <c r="LPJ54"/>
      <c r="LPK54"/>
      <c r="LPL54"/>
      <c r="LPM54"/>
      <c r="LPN54"/>
      <c r="LPO54"/>
      <c r="LPP54"/>
      <c r="LPQ54"/>
      <c r="LPR54"/>
      <c r="LPS54"/>
      <c r="LPT54"/>
      <c r="LPU54"/>
      <c r="LPV54"/>
      <c r="LPW54"/>
      <c r="LPX54"/>
      <c r="LPY54"/>
      <c r="LPZ54"/>
      <c r="LQA54"/>
      <c r="LQB54"/>
      <c r="LQC54"/>
      <c r="LQD54"/>
      <c r="LQE54"/>
      <c r="LQF54"/>
      <c r="LQG54"/>
      <c r="LQH54"/>
      <c r="LQI54"/>
      <c r="LQJ54"/>
      <c r="LQK54"/>
      <c r="LQL54"/>
      <c r="LQM54"/>
      <c r="LQN54"/>
      <c r="LQO54"/>
      <c r="LQP54"/>
      <c r="LQQ54"/>
      <c r="LQR54"/>
      <c r="LQS54"/>
      <c r="LQT54"/>
      <c r="LQU54"/>
      <c r="LQV54"/>
      <c r="LQW54"/>
      <c r="LQX54"/>
      <c r="LQY54"/>
      <c r="LQZ54"/>
      <c r="LRA54"/>
      <c r="LRB54"/>
      <c r="LRC54"/>
      <c r="LRD54"/>
      <c r="LRE54"/>
      <c r="LRF54"/>
      <c r="LRG54"/>
      <c r="LRH54"/>
      <c r="LRI54"/>
      <c r="LRJ54"/>
      <c r="LRK54"/>
      <c r="LRL54"/>
      <c r="LRM54"/>
      <c r="LRN54"/>
      <c r="LRO54"/>
      <c r="LRP54"/>
      <c r="LRQ54"/>
      <c r="LRR54"/>
      <c r="LRS54"/>
      <c r="LRT54"/>
      <c r="LRU54"/>
      <c r="LRV54"/>
      <c r="LRW54"/>
      <c r="LRX54"/>
      <c r="LRY54"/>
      <c r="LRZ54"/>
      <c r="LSA54"/>
      <c r="LSB54"/>
      <c r="LSC54"/>
      <c r="LSD54"/>
      <c r="LSE54"/>
      <c r="LSF54"/>
      <c r="LSG54"/>
      <c r="LSH54"/>
      <c r="LSI54"/>
      <c r="LSJ54"/>
      <c r="LSK54"/>
      <c r="LSL54"/>
      <c r="LSM54"/>
      <c r="LSN54"/>
      <c r="LSO54"/>
      <c r="LSP54"/>
      <c r="LSQ54"/>
      <c r="LSR54"/>
      <c r="LSS54"/>
      <c r="LST54"/>
      <c r="LSU54"/>
      <c r="LSV54"/>
      <c r="LSW54"/>
      <c r="LSX54"/>
      <c r="LSY54"/>
      <c r="LSZ54"/>
      <c r="LTA54"/>
      <c r="LTB54"/>
      <c r="LTC54"/>
      <c r="LTD54"/>
      <c r="LTE54"/>
      <c r="LTF54"/>
      <c r="LTG54"/>
      <c r="LTH54"/>
      <c r="LTI54"/>
      <c r="LTJ54"/>
      <c r="LTK54"/>
      <c r="LTL54"/>
      <c r="LTM54"/>
      <c r="LTN54"/>
      <c r="LTO54"/>
      <c r="LTP54"/>
      <c r="LTQ54"/>
      <c r="LTR54"/>
      <c r="LTS54"/>
      <c r="LTT54"/>
      <c r="LTU54"/>
      <c r="LTV54"/>
      <c r="LTW54"/>
      <c r="LTX54"/>
      <c r="LTY54"/>
      <c r="LTZ54"/>
      <c r="LUA54"/>
      <c r="LUB54"/>
      <c r="LUC54"/>
      <c r="LUD54"/>
      <c r="LUE54"/>
      <c r="LUF54"/>
      <c r="LUG54"/>
      <c r="LUH54"/>
      <c r="LUI54"/>
      <c r="LUJ54"/>
      <c r="LUK54"/>
      <c r="LUL54"/>
      <c r="LUM54"/>
      <c r="LUN54"/>
      <c r="LUO54"/>
      <c r="LUP54"/>
      <c r="LUQ54"/>
      <c r="LUR54"/>
      <c r="LUS54"/>
      <c r="LUT54"/>
      <c r="LUU54"/>
      <c r="LUV54"/>
      <c r="LUW54"/>
      <c r="LUX54"/>
      <c r="LUY54"/>
      <c r="LUZ54"/>
      <c r="LVA54"/>
      <c r="LVB54"/>
      <c r="LVC54"/>
      <c r="LVD54"/>
      <c r="LVE54"/>
      <c r="LVF54"/>
      <c r="LVG54"/>
      <c r="LVH54"/>
      <c r="LVI54"/>
      <c r="LVJ54"/>
      <c r="LVK54"/>
      <c r="LVL54"/>
      <c r="LVM54"/>
      <c r="LVN54"/>
      <c r="LVO54"/>
      <c r="LVP54"/>
      <c r="LVQ54"/>
      <c r="LVR54"/>
      <c r="LVS54"/>
      <c r="LVT54"/>
      <c r="LVU54"/>
      <c r="LVV54"/>
      <c r="LVW54"/>
      <c r="LVX54"/>
      <c r="LVY54"/>
      <c r="LVZ54"/>
      <c r="LWA54"/>
      <c r="LWB54"/>
      <c r="LWC54"/>
      <c r="LWD54"/>
      <c r="LWE54"/>
      <c r="LWF54"/>
      <c r="LWG54"/>
      <c r="LWH54"/>
      <c r="LWI54"/>
      <c r="LWJ54"/>
      <c r="LWK54"/>
      <c r="LWL54"/>
      <c r="LWM54"/>
      <c r="LWN54"/>
      <c r="LWO54"/>
      <c r="LWP54"/>
      <c r="LWQ54"/>
      <c r="LWR54"/>
      <c r="LWS54"/>
      <c r="LWT54"/>
      <c r="LWU54"/>
      <c r="LWV54"/>
      <c r="LWW54"/>
      <c r="LWX54"/>
      <c r="LWY54"/>
      <c r="LWZ54"/>
      <c r="LXA54"/>
      <c r="LXB54"/>
      <c r="LXC54"/>
      <c r="LXD54"/>
      <c r="LXE54"/>
      <c r="LXF54"/>
      <c r="LXG54"/>
      <c r="LXH54"/>
      <c r="LXI54"/>
      <c r="LXJ54"/>
      <c r="LXK54"/>
      <c r="LXL54"/>
      <c r="LXM54"/>
      <c r="LXN54"/>
      <c r="LXO54"/>
      <c r="LXP54"/>
      <c r="LXQ54"/>
      <c r="LXR54"/>
      <c r="LXS54"/>
      <c r="LXT54"/>
      <c r="LXU54"/>
      <c r="LXV54"/>
      <c r="LXW54"/>
      <c r="LXX54"/>
      <c r="LXY54"/>
      <c r="LXZ54"/>
      <c r="LYA54"/>
      <c r="LYB54"/>
      <c r="LYC54"/>
      <c r="LYD54"/>
      <c r="LYE54"/>
      <c r="LYF54"/>
      <c r="LYG54"/>
      <c r="LYH54"/>
      <c r="LYI54"/>
      <c r="LYJ54"/>
      <c r="LYK54"/>
      <c r="LYL54"/>
      <c r="LYM54"/>
      <c r="LYN54"/>
      <c r="LYO54"/>
      <c r="LYP54"/>
      <c r="LYQ54"/>
      <c r="LYR54"/>
      <c r="LYS54"/>
      <c r="LYT54"/>
      <c r="LYU54"/>
      <c r="LYV54"/>
      <c r="LYW54"/>
      <c r="LYX54"/>
      <c r="LYY54"/>
      <c r="LYZ54"/>
      <c r="LZA54"/>
      <c r="LZB54"/>
      <c r="LZC54"/>
      <c r="LZD54"/>
      <c r="LZE54"/>
      <c r="LZF54"/>
      <c r="LZG54"/>
      <c r="LZH54"/>
      <c r="LZI54"/>
      <c r="LZJ54"/>
      <c r="LZK54"/>
      <c r="LZL54"/>
      <c r="LZM54"/>
      <c r="LZN54"/>
      <c r="LZO54"/>
      <c r="LZP54"/>
      <c r="LZQ54"/>
      <c r="LZR54"/>
      <c r="LZS54"/>
      <c r="LZT54"/>
      <c r="LZU54"/>
      <c r="LZV54"/>
      <c r="LZW54"/>
      <c r="LZX54"/>
      <c r="LZY54"/>
      <c r="LZZ54"/>
      <c r="MAA54"/>
      <c r="MAB54"/>
      <c r="MAC54"/>
      <c r="MAD54"/>
      <c r="MAE54"/>
      <c r="MAF54"/>
      <c r="MAG54"/>
      <c r="MAH54"/>
      <c r="MAI54"/>
      <c r="MAJ54"/>
      <c r="MAK54"/>
      <c r="MAL54"/>
      <c r="MAM54"/>
      <c r="MAN54"/>
      <c r="MAO54"/>
      <c r="MAP54"/>
      <c r="MAQ54"/>
      <c r="MAR54"/>
      <c r="MAS54"/>
      <c r="MAT54"/>
      <c r="MAU54"/>
      <c r="MAV54"/>
      <c r="MAW54"/>
      <c r="MAX54"/>
      <c r="MAY54"/>
      <c r="MAZ54"/>
      <c r="MBA54"/>
      <c r="MBB54"/>
      <c r="MBC54"/>
      <c r="MBD54"/>
      <c r="MBE54"/>
      <c r="MBF54"/>
      <c r="MBG54"/>
      <c r="MBH54"/>
      <c r="MBI54"/>
      <c r="MBJ54"/>
      <c r="MBK54"/>
      <c r="MBL54"/>
      <c r="MBM54"/>
      <c r="MBN54"/>
      <c r="MBO54"/>
      <c r="MBP54"/>
      <c r="MBQ54"/>
      <c r="MBR54"/>
      <c r="MBS54"/>
      <c r="MBT54"/>
      <c r="MBU54"/>
      <c r="MBV54"/>
      <c r="MBW54"/>
      <c r="MBX54"/>
      <c r="MBY54"/>
      <c r="MBZ54"/>
      <c r="MCA54"/>
      <c r="MCB54"/>
      <c r="MCC54"/>
      <c r="MCD54"/>
      <c r="MCE54"/>
      <c r="MCF54"/>
      <c r="MCG54"/>
      <c r="MCH54"/>
      <c r="MCI54"/>
      <c r="MCJ54"/>
      <c r="MCK54"/>
      <c r="MCL54"/>
      <c r="MCM54"/>
      <c r="MCN54"/>
      <c r="MCO54"/>
      <c r="MCP54"/>
      <c r="MCQ54"/>
      <c r="MCR54"/>
      <c r="MCS54"/>
      <c r="MCT54"/>
      <c r="MCU54"/>
      <c r="MCV54"/>
      <c r="MCW54"/>
      <c r="MCX54"/>
      <c r="MCY54"/>
      <c r="MCZ54"/>
      <c r="MDA54"/>
      <c r="MDB54"/>
      <c r="MDC54"/>
      <c r="MDD54"/>
      <c r="MDE54"/>
      <c r="MDF54"/>
      <c r="MDG54"/>
      <c r="MDH54"/>
      <c r="MDI54"/>
      <c r="MDJ54"/>
      <c r="MDK54"/>
      <c r="MDL54"/>
      <c r="MDM54"/>
      <c r="MDN54"/>
      <c r="MDO54"/>
      <c r="MDP54"/>
      <c r="MDQ54"/>
      <c r="MDR54"/>
      <c r="MDS54"/>
      <c r="MDT54"/>
      <c r="MDU54"/>
      <c r="MDV54"/>
      <c r="MDW54"/>
      <c r="MDX54"/>
      <c r="MDY54"/>
      <c r="MDZ54"/>
      <c r="MEA54"/>
      <c r="MEB54"/>
      <c r="MEC54"/>
      <c r="MED54"/>
      <c r="MEE54"/>
      <c r="MEF54"/>
      <c r="MEG54"/>
      <c r="MEH54"/>
      <c r="MEI54"/>
      <c r="MEJ54"/>
      <c r="MEK54"/>
      <c r="MEL54"/>
      <c r="MEM54"/>
      <c r="MEN54"/>
      <c r="MEO54"/>
      <c r="MEP54"/>
      <c r="MEQ54"/>
      <c r="MER54"/>
      <c r="MES54"/>
      <c r="MET54"/>
      <c r="MEU54"/>
      <c r="MEV54"/>
      <c r="MEW54"/>
      <c r="MEX54"/>
      <c r="MEY54"/>
      <c r="MEZ54"/>
      <c r="MFA54"/>
      <c r="MFB54"/>
      <c r="MFC54"/>
      <c r="MFD54"/>
      <c r="MFE54"/>
      <c r="MFF54"/>
      <c r="MFG54"/>
      <c r="MFH54"/>
      <c r="MFI54"/>
      <c r="MFJ54"/>
      <c r="MFK54"/>
      <c r="MFL54"/>
      <c r="MFM54"/>
      <c r="MFN54"/>
      <c r="MFO54"/>
      <c r="MFP54"/>
      <c r="MFQ54"/>
      <c r="MFR54"/>
      <c r="MFS54"/>
      <c r="MFT54"/>
      <c r="MFU54"/>
      <c r="MFV54"/>
      <c r="MFW54"/>
      <c r="MFX54"/>
      <c r="MFY54"/>
      <c r="MFZ54"/>
      <c r="MGA54"/>
      <c r="MGB54"/>
      <c r="MGC54"/>
      <c r="MGD54"/>
      <c r="MGE54"/>
      <c r="MGF54"/>
      <c r="MGG54"/>
      <c r="MGH54"/>
      <c r="MGI54"/>
      <c r="MGJ54"/>
      <c r="MGK54"/>
      <c r="MGL54"/>
      <c r="MGM54"/>
      <c r="MGN54"/>
      <c r="MGO54"/>
      <c r="MGP54"/>
      <c r="MGQ54"/>
      <c r="MGR54"/>
      <c r="MGS54"/>
      <c r="MGT54"/>
      <c r="MGU54"/>
      <c r="MGV54"/>
      <c r="MGW54"/>
      <c r="MGX54"/>
      <c r="MGY54"/>
      <c r="MGZ54"/>
      <c r="MHA54"/>
      <c r="MHB54"/>
      <c r="MHC54"/>
      <c r="MHD54"/>
      <c r="MHE54"/>
      <c r="MHF54"/>
      <c r="MHG54"/>
      <c r="MHH54"/>
      <c r="MHI54"/>
      <c r="MHJ54"/>
      <c r="MHK54"/>
      <c r="MHL54"/>
      <c r="MHM54"/>
      <c r="MHN54"/>
      <c r="MHO54"/>
      <c r="MHP54"/>
      <c r="MHQ54"/>
      <c r="MHR54"/>
      <c r="MHS54"/>
      <c r="MHT54"/>
      <c r="MHU54"/>
      <c r="MHV54"/>
      <c r="MHW54"/>
      <c r="MHX54"/>
      <c r="MHY54"/>
      <c r="MHZ54"/>
      <c r="MIA54"/>
      <c r="MIB54"/>
      <c r="MIC54"/>
      <c r="MID54"/>
      <c r="MIE54"/>
      <c r="MIF54"/>
      <c r="MIG54"/>
      <c r="MIH54"/>
      <c r="MII54"/>
      <c r="MIJ54"/>
      <c r="MIK54"/>
      <c r="MIL54"/>
      <c r="MIM54"/>
      <c r="MIN54"/>
      <c r="MIO54"/>
      <c r="MIP54"/>
      <c r="MIQ54"/>
      <c r="MIR54"/>
      <c r="MIS54"/>
      <c r="MIT54"/>
      <c r="MIU54"/>
      <c r="MIV54"/>
      <c r="MIW54"/>
      <c r="MIX54"/>
      <c r="MIY54"/>
      <c r="MIZ54"/>
      <c r="MJA54"/>
      <c r="MJB54"/>
      <c r="MJC54"/>
      <c r="MJD54"/>
      <c r="MJE54"/>
      <c r="MJF54"/>
      <c r="MJG54"/>
      <c r="MJH54"/>
      <c r="MJI54"/>
      <c r="MJJ54"/>
      <c r="MJK54"/>
      <c r="MJL54"/>
      <c r="MJM54"/>
      <c r="MJN54"/>
      <c r="MJO54"/>
      <c r="MJP54"/>
      <c r="MJQ54"/>
      <c r="MJR54"/>
      <c r="MJS54"/>
      <c r="MJT54"/>
      <c r="MJU54"/>
      <c r="MJV54"/>
      <c r="MJW54"/>
      <c r="MJX54"/>
      <c r="MJY54"/>
      <c r="MJZ54"/>
      <c r="MKA54"/>
      <c r="MKB54"/>
      <c r="MKC54"/>
      <c r="MKD54"/>
      <c r="MKE54"/>
      <c r="MKF54"/>
      <c r="MKG54"/>
      <c r="MKH54"/>
      <c r="MKI54"/>
      <c r="MKJ54"/>
      <c r="MKK54"/>
      <c r="MKL54"/>
      <c r="MKM54"/>
      <c r="MKN54"/>
      <c r="MKO54"/>
      <c r="MKP54"/>
      <c r="MKQ54"/>
      <c r="MKR54"/>
      <c r="MKS54"/>
      <c r="MKT54"/>
      <c r="MKU54"/>
      <c r="MKV54"/>
      <c r="MKW54"/>
      <c r="MKX54"/>
      <c r="MKY54"/>
      <c r="MKZ54"/>
      <c r="MLA54"/>
      <c r="MLB54"/>
      <c r="MLC54"/>
      <c r="MLD54"/>
      <c r="MLE54"/>
      <c r="MLF54"/>
      <c r="MLG54"/>
      <c r="MLH54"/>
      <c r="MLI54"/>
      <c r="MLJ54"/>
      <c r="MLK54"/>
      <c r="MLL54"/>
      <c r="MLM54"/>
      <c r="MLN54"/>
      <c r="MLO54"/>
      <c r="MLP54"/>
      <c r="MLQ54"/>
      <c r="MLR54"/>
      <c r="MLS54"/>
      <c r="MLT54"/>
      <c r="MLU54"/>
      <c r="MLV54"/>
      <c r="MLW54"/>
      <c r="MLX54"/>
      <c r="MLY54"/>
      <c r="MLZ54"/>
      <c r="MMA54"/>
      <c r="MMB54"/>
      <c r="MMC54"/>
      <c r="MMD54"/>
      <c r="MME54"/>
      <c r="MMF54"/>
      <c r="MMG54"/>
      <c r="MMH54"/>
      <c r="MMI54"/>
      <c r="MMJ54"/>
      <c r="MMK54"/>
      <c r="MML54"/>
      <c r="MMM54"/>
      <c r="MMN54"/>
      <c r="MMO54"/>
      <c r="MMP54"/>
      <c r="MMQ54"/>
      <c r="MMR54"/>
      <c r="MMS54"/>
      <c r="MMT54"/>
      <c r="MMU54"/>
      <c r="MMV54"/>
      <c r="MMW54"/>
      <c r="MMX54"/>
      <c r="MMY54"/>
      <c r="MMZ54"/>
      <c r="MNA54"/>
      <c r="MNB54"/>
      <c r="MNC54"/>
      <c r="MND54"/>
      <c r="MNE54"/>
      <c r="MNF54"/>
      <c r="MNG54"/>
      <c r="MNH54"/>
      <c r="MNI54"/>
      <c r="MNJ54"/>
      <c r="MNK54"/>
      <c r="MNL54"/>
      <c r="MNM54"/>
      <c r="MNN54"/>
      <c r="MNO54"/>
      <c r="MNP54"/>
      <c r="MNQ54"/>
      <c r="MNR54"/>
      <c r="MNS54"/>
      <c r="MNT54"/>
      <c r="MNU54"/>
      <c r="MNV54"/>
      <c r="MNW54"/>
      <c r="MNX54"/>
      <c r="MNY54"/>
      <c r="MNZ54"/>
      <c r="MOA54"/>
      <c r="MOB54"/>
      <c r="MOC54"/>
      <c r="MOD54"/>
      <c r="MOE54"/>
      <c r="MOF54"/>
      <c r="MOG54"/>
      <c r="MOH54"/>
      <c r="MOI54"/>
      <c r="MOJ54"/>
      <c r="MOK54"/>
      <c r="MOL54"/>
      <c r="MOM54"/>
      <c r="MON54"/>
      <c r="MOO54"/>
      <c r="MOP54"/>
      <c r="MOQ54"/>
      <c r="MOR54"/>
      <c r="MOS54"/>
      <c r="MOT54"/>
      <c r="MOU54"/>
      <c r="MOV54"/>
      <c r="MOW54"/>
      <c r="MOX54"/>
      <c r="MOY54"/>
      <c r="MOZ54"/>
      <c r="MPA54"/>
      <c r="MPB54"/>
      <c r="MPC54"/>
      <c r="MPD54"/>
      <c r="MPE54"/>
      <c r="MPF54"/>
      <c r="MPG54"/>
      <c r="MPH54"/>
      <c r="MPI54"/>
      <c r="MPJ54"/>
      <c r="MPK54"/>
      <c r="MPL54"/>
      <c r="MPM54"/>
      <c r="MPN54"/>
      <c r="MPO54"/>
      <c r="MPP54"/>
      <c r="MPQ54"/>
      <c r="MPR54"/>
      <c r="MPS54"/>
      <c r="MPT54"/>
      <c r="MPU54"/>
      <c r="MPV54"/>
      <c r="MPW54"/>
      <c r="MPX54"/>
      <c r="MPY54"/>
      <c r="MPZ54"/>
      <c r="MQA54"/>
      <c r="MQB54"/>
      <c r="MQC54"/>
      <c r="MQD54"/>
      <c r="MQE54"/>
      <c r="MQF54"/>
      <c r="MQG54"/>
      <c r="MQH54"/>
      <c r="MQI54"/>
      <c r="MQJ54"/>
      <c r="MQK54"/>
      <c r="MQL54"/>
      <c r="MQM54"/>
      <c r="MQN54"/>
      <c r="MQO54"/>
      <c r="MQP54"/>
      <c r="MQQ54"/>
      <c r="MQR54"/>
      <c r="MQS54"/>
      <c r="MQT54"/>
      <c r="MQU54"/>
      <c r="MQV54"/>
      <c r="MQW54"/>
      <c r="MQX54"/>
      <c r="MQY54"/>
      <c r="MQZ54"/>
      <c r="MRA54"/>
      <c r="MRB54"/>
      <c r="MRC54"/>
      <c r="MRD54"/>
      <c r="MRE54"/>
      <c r="MRF54"/>
      <c r="MRG54"/>
      <c r="MRH54"/>
      <c r="MRI54"/>
      <c r="MRJ54"/>
      <c r="MRK54"/>
      <c r="MRL54"/>
      <c r="MRM54"/>
      <c r="MRN54"/>
      <c r="MRO54"/>
      <c r="MRP54"/>
      <c r="MRQ54"/>
      <c r="MRR54"/>
      <c r="MRS54"/>
      <c r="MRT54"/>
      <c r="MRU54"/>
      <c r="MRV54"/>
      <c r="MRW54"/>
      <c r="MRX54"/>
      <c r="MRY54"/>
      <c r="MRZ54"/>
      <c r="MSA54"/>
      <c r="MSB54"/>
      <c r="MSC54"/>
      <c r="MSD54"/>
      <c r="MSE54"/>
      <c r="MSF54"/>
      <c r="MSG54"/>
      <c r="MSH54"/>
      <c r="MSI54"/>
      <c r="MSJ54"/>
      <c r="MSK54"/>
      <c r="MSL54"/>
      <c r="MSM54"/>
      <c r="MSN54"/>
      <c r="MSO54"/>
      <c r="MSP54"/>
      <c r="MSQ54"/>
      <c r="MSR54"/>
      <c r="MSS54"/>
      <c r="MST54"/>
      <c r="MSU54"/>
      <c r="MSV54"/>
      <c r="MSW54"/>
      <c r="MSX54"/>
      <c r="MSY54"/>
      <c r="MSZ54"/>
      <c r="MTA54"/>
      <c r="MTB54"/>
      <c r="MTC54"/>
      <c r="MTD54"/>
      <c r="MTE54"/>
      <c r="MTF54"/>
      <c r="MTG54"/>
      <c r="MTH54"/>
      <c r="MTI54"/>
      <c r="MTJ54"/>
      <c r="MTK54"/>
      <c r="MTL54"/>
      <c r="MTM54"/>
      <c r="MTN54"/>
      <c r="MTO54"/>
      <c r="MTP54"/>
      <c r="MTQ54"/>
      <c r="MTR54"/>
      <c r="MTS54"/>
      <c r="MTT54"/>
      <c r="MTU54"/>
      <c r="MTV54"/>
      <c r="MTW54"/>
      <c r="MTX54"/>
      <c r="MTY54"/>
      <c r="MTZ54"/>
      <c r="MUA54"/>
      <c r="MUB54"/>
      <c r="MUC54"/>
      <c r="MUD54"/>
      <c r="MUE54"/>
      <c r="MUF54"/>
      <c r="MUG54"/>
      <c r="MUH54"/>
      <c r="MUI54"/>
      <c r="MUJ54"/>
      <c r="MUK54"/>
      <c r="MUL54"/>
      <c r="MUM54"/>
      <c r="MUN54"/>
      <c r="MUO54"/>
      <c r="MUP54"/>
      <c r="MUQ54"/>
      <c r="MUR54"/>
      <c r="MUS54"/>
      <c r="MUT54"/>
      <c r="MUU54"/>
      <c r="MUV54"/>
      <c r="MUW54"/>
      <c r="MUX54"/>
      <c r="MUY54"/>
      <c r="MUZ54"/>
      <c r="MVA54"/>
      <c r="MVB54"/>
      <c r="MVC54"/>
      <c r="MVD54"/>
      <c r="MVE54"/>
      <c r="MVF54"/>
      <c r="MVG54"/>
      <c r="MVH54"/>
      <c r="MVI54"/>
      <c r="MVJ54"/>
      <c r="MVK54"/>
      <c r="MVL54"/>
      <c r="MVM54"/>
      <c r="MVN54"/>
      <c r="MVO54"/>
      <c r="MVP54"/>
      <c r="MVQ54"/>
      <c r="MVR54"/>
      <c r="MVS54"/>
      <c r="MVT54"/>
      <c r="MVU54"/>
      <c r="MVV54"/>
      <c r="MVW54"/>
      <c r="MVX54"/>
      <c r="MVY54"/>
      <c r="MVZ54"/>
      <c r="MWA54"/>
      <c r="MWB54"/>
      <c r="MWC54"/>
      <c r="MWD54"/>
      <c r="MWE54"/>
      <c r="MWF54"/>
      <c r="MWG54"/>
      <c r="MWH54"/>
      <c r="MWI54"/>
      <c r="MWJ54"/>
      <c r="MWK54"/>
      <c r="MWL54"/>
      <c r="MWM54"/>
      <c r="MWN54"/>
      <c r="MWO54"/>
      <c r="MWP54"/>
      <c r="MWQ54"/>
      <c r="MWR54"/>
      <c r="MWS54"/>
      <c r="MWT54"/>
      <c r="MWU54"/>
      <c r="MWV54"/>
      <c r="MWW54"/>
      <c r="MWX54"/>
      <c r="MWY54"/>
      <c r="MWZ54"/>
      <c r="MXA54"/>
      <c r="MXB54"/>
      <c r="MXC54"/>
      <c r="MXD54"/>
      <c r="MXE54"/>
      <c r="MXF54"/>
      <c r="MXG54"/>
      <c r="MXH54"/>
      <c r="MXI54"/>
      <c r="MXJ54"/>
      <c r="MXK54"/>
      <c r="MXL54"/>
      <c r="MXM54"/>
      <c r="MXN54"/>
      <c r="MXO54"/>
      <c r="MXP54"/>
      <c r="MXQ54"/>
      <c r="MXR54"/>
      <c r="MXS54"/>
      <c r="MXT54"/>
      <c r="MXU54"/>
      <c r="MXV54"/>
      <c r="MXW54"/>
      <c r="MXX54"/>
      <c r="MXY54"/>
      <c r="MXZ54"/>
      <c r="MYA54"/>
      <c r="MYB54"/>
      <c r="MYC54"/>
      <c r="MYD54"/>
      <c r="MYE54"/>
      <c r="MYF54"/>
      <c r="MYG54"/>
      <c r="MYH54"/>
      <c r="MYI54"/>
      <c r="MYJ54"/>
      <c r="MYK54"/>
      <c r="MYL54"/>
      <c r="MYM54"/>
      <c r="MYN54"/>
      <c r="MYO54"/>
      <c r="MYP54"/>
      <c r="MYQ54"/>
      <c r="MYR54"/>
      <c r="MYS54"/>
      <c r="MYT54"/>
      <c r="MYU54"/>
      <c r="MYV54"/>
      <c r="MYW54"/>
      <c r="MYX54"/>
      <c r="MYY54"/>
      <c r="MYZ54"/>
      <c r="MZA54"/>
      <c r="MZB54"/>
      <c r="MZC54"/>
      <c r="MZD54"/>
      <c r="MZE54"/>
      <c r="MZF54"/>
      <c r="MZG54"/>
      <c r="MZH54"/>
      <c r="MZI54"/>
      <c r="MZJ54"/>
      <c r="MZK54"/>
      <c r="MZL54"/>
      <c r="MZM54"/>
      <c r="MZN54"/>
      <c r="MZO54"/>
      <c r="MZP54"/>
      <c r="MZQ54"/>
      <c r="MZR54"/>
      <c r="MZS54"/>
      <c r="MZT54"/>
      <c r="MZU54"/>
      <c r="MZV54"/>
      <c r="MZW54"/>
      <c r="MZX54"/>
      <c r="MZY54"/>
      <c r="MZZ54"/>
      <c r="NAA54"/>
      <c r="NAB54"/>
      <c r="NAC54"/>
      <c r="NAD54"/>
      <c r="NAE54"/>
      <c r="NAF54"/>
      <c r="NAG54"/>
      <c r="NAH54"/>
      <c r="NAI54"/>
      <c r="NAJ54"/>
      <c r="NAK54"/>
      <c r="NAL54"/>
      <c r="NAM54"/>
      <c r="NAN54"/>
      <c r="NAO54"/>
      <c r="NAP54"/>
      <c r="NAQ54"/>
      <c r="NAR54"/>
      <c r="NAS54"/>
      <c r="NAT54"/>
      <c r="NAU54"/>
      <c r="NAV54"/>
      <c r="NAW54"/>
      <c r="NAX54"/>
      <c r="NAY54"/>
      <c r="NAZ54"/>
      <c r="NBA54"/>
      <c r="NBB54"/>
      <c r="NBC54"/>
      <c r="NBD54"/>
      <c r="NBE54"/>
      <c r="NBF54"/>
      <c r="NBG54"/>
      <c r="NBH54"/>
      <c r="NBI54"/>
      <c r="NBJ54"/>
      <c r="NBK54"/>
      <c r="NBL54"/>
      <c r="NBM54"/>
      <c r="NBN54"/>
      <c r="NBO54"/>
      <c r="NBP54"/>
      <c r="NBQ54"/>
      <c r="NBR54"/>
      <c r="NBS54"/>
      <c r="NBT54"/>
      <c r="NBU54"/>
      <c r="NBV54"/>
      <c r="NBW54"/>
      <c r="NBX54"/>
      <c r="NBY54"/>
      <c r="NBZ54"/>
      <c r="NCA54"/>
      <c r="NCB54"/>
      <c r="NCC54"/>
      <c r="NCD54"/>
      <c r="NCE54"/>
      <c r="NCF54"/>
      <c r="NCG54"/>
      <c r="NCH54"/>
      <c r="NCI54"/>
      <c r="NCJ54"/>
      <c r="NCK54"/>
      <c r="NCL54"/>
      <c r="NCM54"/>
      <c r="NCN54"/>
      <c r="NCO54"/>
      <c r="NCP54"/>
      <c r="NCQ54"/>
      <c r="NCR54"/>
      <c r="NCS54"/>
      <c r="NCT54"/>
      <c r="NCU54"/>
      <c r="NCV54"/>
      <c r="NCW54"/>
      <c r="NCX54"/>
      <c r="NCY54"/>
      <c r="NCZ54"/>
      <c r="NDA54"/>
      <c r="NDB54"/>
      <c r="NDC54"/>
      <c r="NDD54"/>
      <c r="NDE54"/>
      <c r="NDF54"/>
      <c r="NDG54"/>
      <c r="NDH54"/>
      <c r="NDI54"/>
      <c r="NDJ54"/>
      <c r="NDK54"/>
      <c r="NDL54"/>
      <c r="NDM54"/>
      <c r="NDN54"/>
      <c r="NDO54"/>
      <c r="NDP54"/>
      <c r="NDQ54"/>
      <c r="NDR54"/>
      <c r="NDS54"/>
      <c r="NDT54"/>
      <c r="NDU54"/>
      <c r="NDV54"/>
      <c r="NDW54"/>
      <c r="NDX54"/>
      <c r="NDY54"/>
      <c r="NDZ54"/>
      <c r="NEA54"/>
      <c r="NEB54"/>
      <c r="NEC54"/>
      <c r="NED54"/>
      <c r="NEE54"/>
      <c r="NEF54"/>
      <c r="NEG54"/>
      <c r="NEH54"/>
      <c r="NEI54"/>
      <c r="NEJ54"/>
      <c r="NEK54"/>
      <c r="NEL54"/>
      <c r="NEM54"/>
      <c r="NEN54"/>
      <c r="NEO54"/>
      <c r="NEP54"/>
      <c r="NEQ54"/>
      <c r="NER54"/>
      <c r="NES54"/>
      <c r="NET54"/>
      <c r="NEU54"/>
      <c r="NEV54"/>
      <c r="NEW54"/>
      <c r="NEX54"/>
      <c r="NEY54"/>
      <c r="NEZ54"/>
      <c r="NFA54"/>
      <c r="NFB54"/>
      <c r="NFC54"/>
      <c r="NFD54"/>
      <c r="NFE54"/>
      <c r="NFF54"/>
      <c r="NFG54"/>
      <c r="NFH54"/>
      <c r="NFI54"/>
      <c r="NFJ54"/>
      <c r="NFK54"/>
      <c r="NFL54"/>
      <c r="NFM54"/>
      <c r="NFN54"/>
      <c r="NFO54"/>
      <c r="NFP54"/>
      <c r="NFQ54"/>
      <c r="NFR54"/>
      <c r="NFS54"/>
      <c r="NFT54"/>
      <c r="NFU54"/>
      <c r="NFV54"/>
      <c r="NFW54"/>
      <c r="NFX54"/>
      <c r="NFY54"/>
      <c r="NFZ54"/>
      <c r="NGA54"/>
      <c r="NGB54"/>
      <c r="NGC54"/>
      <c r="NGD54"/>
      <c r="NGE54"/>
      <c r="NGF54"/>
      <c r="NGG54"/>
      <c r="NGH54"/>
      <c r="NGI54"/>
      <c r="NGJ54"/>
      <c r="NGK54"/>
      <c r="NGL54"/>
      <c r="NGM54"/>
      <c r="NGN54"/>
      <c r="NGO54"/>
      <c r="NGP54"/>
      <c r="NGQ54"/>
      <c r="NGR54"/>
      <c r="NGS54"/>
      <c r="NGT54"/>
      <c r="NGU54"/>
      <c r="NGV54"/>
      <c r="NGW54"/>
      <c r="NGX54"/>
      <c r="NGY54"/>
      <c r="NGZ54"/>
      <c r="NHA54"/>
      <c r="NHB54"/>
      <c r="NHC54"/>
      <c r="NHD54"/>
      <c r="NHE54"/>
      <c r="NHF54"/>
      <c r="NHG54"/>
      <c r="NHH54"/>
      <c r="NHI54"/>
      <c r="NHJ54"/>
      <c r="NHK54"/>
      <c r="NHL54"/>
      <c r="NHM54"/>
      <c r="NHN54"/>
      <c r="NHO54"/>
      <c r="NHP54"/>
      <c r="NHQ54"/>
      <c r="NHR54"/>
      <c r="NHS54"/>
      <c r="NHT54"/>
      <c r="NHU54"/>
      <c r="NHV54"/>
      <c r="NHW54"/>
      <c r="NHX54"/>
      <c r="NHY54"/>
      <c r="NHZ54"/>
      <c r="NIA54"/>
      <c r="NIB54"/>
      <c r="NIC54"/>
      <c r="NID54"/>
      <c r="NIE54"/>
      <c r="NIF54"/>
      <c r="NIG54"/>
      <c r="NIH54"/>
      <c r="NII54"/>
      <c r="NIJ54"/>
      <c r="NIK54"/>
      <c r="NIL54"/>
      <c r="NIM54"/>
      <c r="NIN54"/>
      <c r="NIO54"/>
      <c r="NIP54"/>
      <c r="NIQ54"/>
      <c r="NIR54"/>
      <c r="NIS54"/>
      <c r="NIT54"/>
      <c r="NIU54"/>
      <c r="NIV54"/>
      <c r="NIW54"/>
      <c r="NIX54"/>
      <c r="NIY54"/>
      <c r="NIZ54"/>
      <c r="NJA54"/>
      <c r="NJB54"/>
      <c r="NJC54"/>
      <c r="NJD54"/>
      <c r="NJE54"/>
      <c r="NJF54"/>
      <c r="NJG54"/>
      <c r="NJH54"/>
      <c r="NJI54"/>
      <c r="NJJ54"/>
      <c r="NJK54"/>
      <c r="NJL54"/>
      <c r="NJM54"/>
      <c r="NJN54"/>
      <c r="NJO54"/>
      <c r="NJP54"/>
      <c r="NJQ54"/>
      <c r="NJR54"/>
      <c r="NJS54"/>
      <c r="NJT54"/>
      <c r="NJU54"/>
      <c r="NJV54"/>
      <c r="NJW54"/>
      <c r="NJX54"/>
      <c r="NJY54"/>
      <c r="NJZ54"/>
      <c r="NKA54"/>
      <c r="NKB54"/>
      <c r="NKC54"/>
      <c r="NKD54"/>
      <c r="NKE54"/>
      <c r="NKF54"/>
      <c r="NKG54"/>
      <c r="NKH54"/>
      <c r="NKI54"/>
      <c r="NKJ54"/>
      <c r="NKK54"/>
      <c r="NKL54"/>
      <c r="NKM54"/>
      <c r="NKN54"/>
      <c r="NKO54"/>
      <c r="NKP54"/>
      <c r="NKQ54"/>
      <c r="NKR54"/>
      <c r="NKS54"/>
      <c r="NKT54"/>
      <c r="NKU54"/>
      <c r="NKV54"/>
      <c r="NKW54"/>
      <c r="NKX54"/>
      <c r="NKY54"/>
      <c r="NKZ54"/>
      <c r="NLA54"/>
      <c r="NLB54"/>
      <c r="NLC54"/>
      <c r="NLD54"/>
      <c r="NLE54"/>
      <c r="NLF54"/>
      <c r="NLG54"/>
      <c r="NLH54"/>
      <c r="NLI54"/>
      <c r="NLJ54"/>
      <c r="NLK54"/>
      <c r="NLL54"/>
      <c r="NLM54"/>
      <c r="NLN54"/>
      <c r="NLO54"/>
      <c r="NLP54"/>
      <c r="NLQ54"/>
      <c r="NLR54"/>
      <c r="NLS54"/>
      <c r="NLT54"/>
      <c r="NLU54"/>
      <c r="NLV54"/>
      <c r="NLW54"/>
      <c r="NLX54"/>
      <c r="NLY54"/>
      <c r="NLZ54"/>
      <c r="NMA54"/>
      <c r="NMB54"/>
      <c r="NMC54"/>
      <c r="NMD54"/>
      <c r="NME54"/>
      <c r="NMF54"/>
      <c r="NMG54"/>
      <c r="NMH54"/>
      <c r="NMI54"/>
      <c r="NMJ54"/>
      <c r="NMK54"/>
      <c r="NML54"/>
      <c r="NMM54"/>
      <c r="NMN54"/>
      <c r="NMO54"/>
      <c r="NMP54"/>
      <c r="NMQ54"/>
      <c r="NMR54"/>
      <c r="NMS54"/>
      <c r="NMT54"/>
      <c r="NMU54"/>
      <c r="NMV54"/>
      <c r="NMW54"/>
      <c r="NMX54"/>
      <c r="NMY54"/>
      <c r="NMZ54"/>
      <c r="NNA54"/>
      <c r="NNB54"/>
      <c r="NNC54"/>
      <c r="NND54"/>
      <c r="NNE54"/>
      <c r="NNF54"/>
      <c r="NNG54"/>
      <c r="NNH54"/>
      <c r="NNI54"/>
      <c r="NNJ54"/>
      <c r="NNK54"/>
      <c r="NNL54"/>
      <c r="NNM54"/>
      <c r="NNN54"/>
      <c r="NNO54"/>
      <c r="NNP54"/>
      <c r="NNQ54"/>
      <c r="NNR54"/>
      <c r="NNS54"/>
      <c r="NNT54"/>
      <c r="NNU54"/>
      <c r="NNV54"/>
      <c r="NNW54"/>
      <c r="NNX54"/>
      <c r="NNY54"/>
      <c r="NNZ54"/>
      <c r="NOA54"/>
      <c r="NOB54"/>
      <c r="NOC54"/>
      <c r="NOD54"/>
      <c r="NOE54"/>
      <c r="NOF54"/>
      <c r="NOG54"/>
      <c r="NOH54"/>
      <c r="NOI54"/>
      <c r="NOJ54"/>
      <c r="NOK54"/>
      <c r="NOL54"/>
      <c r="NOM54"/>
      <c r="NON54"/>
      <c r="NOO54"/>
      <c r="NOP54"/>
      <c r="NOQ54"/>
      <c r="NOR54"/>
      <c r="NOS54"/>
      <c r="NOT54"/>
      <c r="NOU54"/>
      <c r="NOV54"/>
      <c r="NOW54"/>
      <c r="NOX54"/>
      <c r="NOY54"/>
      <c r="NOZ54"/>
      <c r="NPA54"/>
      <c r="NPB54"/>
      <c r="NPC54"/>
      <c r="NPD54"/>
      <c r="NPE54"/>
      <c r="NPF54"/>
      <c r="NPG54"/>
      <c r="NPH54"/>
      <c r="NPI54"/>
      <c r="NPJ54"/>
      <c r="NPK54"/>
      <c r="NPL54"/>
      <c r="NPM54"/>
      <c r="NPN54"/>
      <c r="NPO54"/>
      <c r="NPP54"/>
      <c r="NPQ54"/>
      <c r="NPR54"/>
      <c r="NPS54"/>
      <c r="NPT54"/>
      <c r="NPU54"/>
      <c r="NPV54"/>
      <c r="NPW54"/>
      <c r="NPX54"/>
      <c r="NPY54"/>
      <c r="NPZ54"/>
      <c r="NQA54"/>
      <c r="NQB54"/>
      <c r="NQC54"/>
      <c r="NQD54"/>
      <c r="NQE54"/>
      <c r="NQF54"/>
      <c r="NQG54"/>
      <c r="NQH54"/>
      <c r="NQI54"/>
      <c r="NQJ54"/>
      <c r="NQK54"/>
      <c r="NQL54"/>
      <c r="NQM54"/>
      <c r="NQN54"/>
      <c r="NQO54"/>
      <c r="NQP54"/>
      <c r="NQQ54"/>
      <c r="NQR54"/>
      <c r="NQS54"/>
      <c r="NQT54"/>
      <c r="NQU54"/>
      <c r="NQV54"/>
      <c r="NQW54"/>
      <c r="NQX54"/>
      <c r="NQY54"/>
      <c r="NQZ54"/>
      <c r="NRA54"/>
      <c r="NRB54"/>
      <c r="NRC54"/>
      <c r="NRD54"/>
      <c r="NRE54"/>
      <c r="NRF54"/>
      <c r="NRG54"/>
      <c r="NRH54"/>
      <c r="NRI54"/>
      <c r="NRJ54"/>
      <c r="NRK54"/>
      <c r="NRL54"/>
      <c r="NRM54"/>
      <c r="NRN54"/>
      <c r="NRO54"/>
      <c r="NRP54"/>
      <c r="NRQ54"/>
      <c r="NRR54"/>
      <c r="NRS54"/>
      <c r="NRT54"/>
      <c r="NRU54"/>
      <c r="NRV54"/>
      <c r="NRW54"/>
      <c r="NRX54"/>
      <c r="NRY54"/>
      <c r="NRZ54"/>
      <c r="NSA54"/>
      <c r="NSB54"/>
      <c r="NSC54"/>
      <c r="NSD54"/>
      <c r="NSE54"/>
      <c r="NSF54"/>
      <c r="NSG54"/>
      <c r="NSH54"/>
      <c r="NSI54"/>
      <c r="NSJ54"/>
      <c r="NSK54"/>
      <c r="NSL54"/>
      <c r="NSM54"/>
      <c r="NSN54"/>
      <c r="NSO54"/>
      <c r="NSP54"/>
      <c r="NSQ54"/>
      <c r="NSR54"/>
      <c r="NSS54"/>
      <c r="NST54"/>
      <c r="NSU54"/>
      <c r="NSV54"/>
      <c r="NSW54"/>
      <c r="NSX54"/>
      <c r="NSY54"/>
      <c r="NSZ54"/>
      <c r="NTA54"/>
      <c r="NTB54"/>
      <c r="NTC54"/>
      <c r="NTD54"/>
      <c r="NTE54"/>
      <c r="NTF54"/>
      <c r="NTG54"/>
      <c r="NTH54"/>
      <c r="NTI54"/>
      <c r="NTJ54"/>
      <c r="NTK54"/>
      <c r="NTL54"/>
      <c r="NTM54"/>
      <c r="NTN54"/>
      <c r="NTO54"/>
      <c r="NTP54"/>
      <c r="NTQ54"/>
      <c r="NTR54"/>
      <c r="NTS54"/>
      <c r="NTT54"/>
      <c r="NTU54"/>
      <c r="NTV54"/>
      <c r="NTW54"/>
      <c r="NTX54"/>
      <c r="NTY54"/>
      <c r="NTZ54"/>
      <c r="NUA54"/>
      <c r="NUB54"/>
      <c r="NUC54"/>
      <c r="NUD54"/>
      <c r="NUE54"/>
      <c r="NUF54"/>
      <c r="NUG54"/>
      <c r="NUH54"/>
      <c r="NUI54"/>
      <c r="NUJ54"/>
      <c r="NUK54"/>
      <c r="NUL54"/>
      <c r="NUM54"/>
      <c r="NUN54"/>
      <c r="NUO54"/>
      <c r="NUP54"/>
      <c r="NUQ54"/>
      <c r="NUR54"/>
      <c r="NUS54"/>
      <c r="NUT54"/>
      <c r="NUU54"/>
      <c r="NUV54"/>
      <c r="NUW54"/>
      <c r="NUX54"/>
      <c r="NUY54"/>
      <c r="NUZ54"/>
      <c r="NVA54"/>
      <c r="NVB54"/>
      <c r="NVC54"/>
      <c r="NVD54"/>
      <c r="NVE54"/>
      <c r="NVF54"/>
      <c r="NVG54"/>
      <c r="NVH54"/>
      <c r="NVI54"/>
      <c r="NVJ54"/>
      <c r="NVK54"/>
      <c r="NVL54"/>
      <c r="NVM54"/>
      <c r="NVN54"/>
      <c r="NVO54"/>
      <c r="NVP54"/>
      <c r="NVQ54"/>
      <c r="NVR54"/>
      <c r="NVS54"/>
      <c r="NVT54"/>
      <c r="NVU54"/>
      <c r="NVV54"/>
      <c r="NVW54"/>
      <c r="NVX54"/>
      <c r="NVY54"/>
      <c r="NVZ54"/>
      <c r="NWA54"/>
      <c r="NWB54"/>
      <c r="NWC54"/>
      <c r="NWD54"/>
      <c r="NWE54"/>
      <c r="NWF54"/>
      <c r="NWG54"/>
      <c r="NWH54"/>
      <c r="NWI54"/>
      <c r="NWJ54"/>
      <c r="NWK54"/>
      <c r="NWL54"/>
      <c r="NWM54"/>
      <c r="NWN54"/>
      <c r="NWO54"/>
      <c r="NWP54"/>
      <c r="NWQ54"/>
      <c r="NWR54"/>
      <c r="NWS54"/>
      <c r="NWT54"/>
      <c r="NWU54"/>
      <c r="NWV54"/>
      <c r="NWW54"/>
      <c r="NWX54"/>
      <c r="NWY54"/>
      <c r="NWZ54"/>
      <c r="NXA54"/>
      <c r="NXB54"/>
      <c r="NXC54"/>
      <c r="NXD54"/>
      <c r="NXE54"/>
      <c r="NXF54"/>
      <c r="NXG54"/>
      <c r="NXH54"/>
      <c r="NXI54"/>
      <c r="NXJ54"/>
      <c r="NXK54"/>
      <c r="NXL54"/>
      <c r="NXM54"/>
      <c r="NXN54"/>
      <c r="NXO54"/>
      <c r="NXP54"/>
      <c r="NXQ54"/>
      <c r="NXR54"/>
      <c r="NXS54"/>
      <c r="NXT54"/>
      <c r="NXU54"/>
      <c r="NXV54"/>
      <c r="NXW54"/>
      <c r="NXX54"/>
      <c r="NXY54"/>
      <c r="NXZ54"/>
      <c r="NYA54"/>
      <c r="NYB54"/>
      <c r="NYC54"/>
      <c r="NYD54"/>
      <c r="NYE54"/>
      <c r="NYF54"/>
      <c r="NYG54"/>
      <c r="NYH54"/>
      <c r="NYI54"/>
      <c r="NYJ54"/>
      <c r="NYK54"/>
      <c r="NYL54"/>
      <c r="NYM54"/>
      <c r="NYN54"/>
      <c r="NYO54"/>
      <c r="NYP54"/>
      <c r="NYQ54"/>
      <c r="NYR54"/>
      <c r="NYS54"/>
      <c r="NYT54"/>
      <c r="NYU54"/>
      <c r="NYV54"/>
      <c r="NYW54"/>
      <c r="NYX54"/>
      <c r="NYY54"/>
      <c r="NYZ54"/>
      <c r="NZA54"/>
      <c r="NZB54"/>
      <c r="NZC54"/>
      <c r="NZD54"/>
      <c r="NZE54"/>
      <c r="NZF54"/>
      <c r="NZG54"/>
      <c r="NZH54"/>
      <c r="NZI54"/>
      <c r="NZJ54"/>
      <c r="NZK54"/>
      <c r="NZL54"/>
      <c r="NZM54"/>
      <c r="NZN54"/>
      <c r="NZO54"/>
      <c r="NZP54"/>
      <c r="NZQ54"/>
      <c r="NZR54"/>
      <c r="NZS54"/>
      <c r="NZT54"/>
      <c r="NZU54"/>
      <c r="NZV54"/>
      <c r="NZW54"/>
      <c r="NZX54"/>
      <c r="NZY54"/>
      <c r="NZZ54"/>
      <c r="OAA54"/>
      <c r="OAB54"/>
      <c r="OAC54"/>
      <c r="OAD54"/>
      <c r="OAE54"/>
      <c r="OAF54"/>
      <c r="OAG54"/>
      <c r="OAH54"/>
      <c r="OAI54"/>
      <c r="OAJ54"/>
      <c r="OAK54"/>
      <c r="OAL54"/>
      <c r="OAM54"/>
      <c r="OAN54"/>
      <c r="OAO54"/>
      <c r="OAP54"/>
      <c r="OAQ54"/>
      <c r="OAR54"/>
      <c r="OAS54"/>
      <c r="OAT54"/>
      <c r="OAU54"/>
      <c r="OAV54"/>
      <c r="OAW54"/>
      <c r="OAX54"/>
      <c r="OAY54"/>
      <c r="OAZ54"/>
      <c r="OBA54"/>
      <c r="OBB54"/>
      <c r="OBC54"/>
      <c r="OBD54"/>
      <c r="OBE54"/>
      <c r="OBF54"/>
      <c r="OBG54"/>
      <c r="OBH54"/>
      <c r="OBI54"/>
      <c r="OBJ54"/>
      <c r="OBK54"/>
      <c r="OBL54"/>
      <c r="OBM54"/>
      <c r="OBN54"/>
      <c r="OBO54"/>
      <c r="OBP54"/>
      <c r="OBQ54"/>
      <c r="OBR54"/>
      <c r="OBS54"/>
      <c r="OBT54"/>
      <c r="OBU54"/>
      <c r="OBV54"/>
      <c r="OBW54"/>
      <c r="OBX54"/>
      <c r="OBY54"/>
      <c r="OBZ54"/>
      <c r="OCA54"/>
      <c r="OCB54"/>
      <c r="OCC54"/>
      <c r="OCD54"/>
      <c r="OCE54"/>
      <c r="OCF54"/>
      <c r="OCG54"/>
      <c r="OCH54"/>
      <c r="OCI54"/>
      <c r="OCJ54"/>
      <c r="OCK54"/>
      <c r="OCL54"/>
      <c r="OCM54"/>
      <c r="OCN54"/>
      <c r="OCO54"/>
      <c r="OCP54"/>
      <c r="OCQ54"/>
      <c r="OCR54"/>
      <c r="OCS54"/>
      <c r="OCT54"/>
      <c r="OCU54"/>
      <c r="OCV54"/>
      <c r="OCW54"/>
      <c r="OCX54"/>
      <c r="OCY54"/>
      <c r="OCZ54"/>
      <c r="ODA54"/>
      <c r="ODB54"/>
      <c r="ODC54"/>
      <c r="ODD54"/>
      <c r="ODE54"/>
      <c r="ODF54"/>
      <c r="ODG54"/>
      <c r="ODH54"/>
      <c r="ODI54"/>
      <c r="ODJ54"/>
      <c r="ODK54"/>
      <c r="ODL54"/>
      <c r="ODM54"/>
      <c r="ODN54"/>
      <c r="ODO54"/>
      <c r="ODP54"/>
      <c r="ODQ54"/>
      <c r="ODR54"/>
      <c r="ODS54"/>
      <c r="ODT54"/>
      <c r="ODU54"/>
      <c r="ODV54"/>
      <c r="ODW54"/>
      <c r="ODX54"/>
      <c r="ODY54"/>
      <c r="ODZ54"/>
      <c r="OEA54"/>
      <c r="OEB54"/>
      <c r="OEC54"/>
      <c r="OED54"/>
      <c r="OEE54"/>
      <c r="OEF54"/>
      <c r="OEG54"/>
      <c r="OEH54"/>
      <c r="OEI54"/>
      <c r="OEJ54"/>
      <c r="OEK54"/>
      <c r="OEL54"/>
      <c r="OEM54"/>
      <c r="OEN54"/>
      <c r="OEO54"/>
      <c r="OEP54"/>
      <c r="OEQ54"/>
      <c r="OER54"/>
      <c r="OES54"/>
      <c r="OET54"/>
      <c r="OEU54"/>
      <c r="OEV54"/>
      <c r="OEW54"/>
      <c r="OEX54"/>
      <c r="OEY54"/>
      <c r="OEZ54"/>
      <c r="OFA54"/>
      <c r="OFB54"/>
      <c r="OFC54"/>
      <c r="OFD54"/>
      <c r="OFE54"/>
      <c r="OFF54"/>
      <c r="OFG54"/>
      <c r="OFH54"/>
      <c r="OFI54"/>
      <c r="OFJ54"/>
      <c r="OFK54"/>
      <c r="OFL54"/>
      <c r="OFM54"/>
      <c r="OFN54"/>
      <c r="OFO54"/>
      <c r="OFP54"/>
      <c r="OFQ54"/>
      <c r="OFR54"/>
      <c r="OFS54"/>
      <c r="OFT54"/>
      <c r="OFU54"/>
      <c r="OFV54"/>
      <c r="OFW54"/>
      <c r="OFX54"/>
      <c r="OFY54"/>
      <c r="OFZ54"/>
      <c r="OGA54"/>
      <c r="OGB54"/>
      <c r="OGC54"/>
      <c r="OGD54"/>
      <c r="OGE54"/>
      <c r="OGF54"/>
      <c r="OGG54"/>
      <c r="OGH54"/>
      <c r="OGI54"/>
      <c r="OGJ54"/>
      <c r="OGK54"/>
      <c r="OGL54"/>
      <c r="OGM54"/>
      <c r="OGN54"/>
      <c r="OGO54"/>
      <c r="OGP54"/>
      <c r="OGQ54"/>
      <c r="OGR54"/>
      <c r="OGS54"/>
      <c r="OGT54"/>
      <c r="OGU54"/>
      <c r="OGV54"/>
      <c r="OGW54"/>
      <c r="OGX54"/>
      <c r="OGY54"/>
      <c r="OGZ54"/>
      <c r="OHA54"/>
      <c r="OHB54"/>
      <c r="OHC54"/>
      <c r="OHD54"/>
      <c r="OHE54"/>
      <c r="OHF54"/>
      <c r="OHG54"/>
      <c r="OHH54"/>
      <c r="OHI54"/>
      <c r="OHJ54"/>
      <c r="OHK54"/>
      <c r="OHL54"/>
      <c r="OHM54"/>
      <c r="OHN54"/>
      <c r="OHO54"/>
      <c r="OHP54"/>
      <c r="OHQ54"/>
      <c r="OHR54"/>
      <c r="OHS54"/>
      <c r="OHT54"/>
      <c r="OHU54"/>
      <c r="OHV54"/>
      <c r="OHW54"/>
      <c r="OHX54"/>
      <c r="OHY54"/>
      <c r="OHZ54"/>
      <c r="OIA54"/>
      <c r="OIB54"/>
      <c r="OIC54"/>
      <c r="OID54"/>
      <c r="OIE54"/>
      <c r="OIF54"/>
      <c r="OIG54"/>
      <c r="OIH54"/>
      <c r="OII54"/>
      <c r="OIJ54"/>
      <c r="OIK54"/>
      <c r="OIL54"/>
      <c r="OIM54"/>
      <c r="OIN54"/>
      <c r="OIO54"/>
      <c r="OIP54"/>
      <c r="OIQ54"/>
      <c r="OIR54"/>
      <c r="OIS54"/>
      <c r="OIT54"/>
      <c r="OIU54"/>
      <c r="OIV54"/>
      <c r="OIW54"/>
      <c r="OIX54"/>
      <c r="OIY54"/>
      <c r="OIZ54"/>
      <c r="OJA54"/>
      <c r="OJB54"/>
      <c r="OJC54"/>
      <c r="OJD54"/>
      <c r="OJE54"/>
      <c r="OJF54"/>
      <c r="OJG54"/>
      <c r="OJH54"/>
      <c r="OJI54"/>
      <c r="OJJ54"/>
      <c r="OJK54"/>
      <c r="OJL54"/>
      <c r="OJM54"/>
      <c r="OJN54"/>
      <c r="OJO54"/>
      <c r="OJP54"/>
      <c r="OJQ54"/>
      <c r="OJR54"/>
      <c r="OJS54"/>
      <c r="OJT54"/>
      <c r="OJU54"/>
      <c r="OJV54"/>
      <c r="OJW54"/>
      <c r="OJX54"/>
      <c r="OJY54"/>
      <c r="OJZ54"/>
      <c r="OKA54"/>
      <c r="OKB54"/>
      <c r="OKC54"/>
      <c r="OKD54"/>
      <c r="OKE54"/>
      <c r="OKF54"/>
      <c r="OKG54"/>
      <c r="OKH54"/>
      <c r="OKI54"/>
      <c r="OKJ54"/>
      <c r="OKK54"/>
      <c r="OKL54"/>
      <c r="OKM54"/>
      <c r="OKN54"/>
      <c r="OKO54"/>
      <c r="OKP54"/>
      <c r="OKQ54"/>
      <c r="OKR54"/>
      <c r="OKS54"/>
      <c r="OKT54"/>
      <c r="OKU54"/>
      <c r="OKV54"/>
      <c r="OKW54"/>
      <c r="OKX54"/>
      <c r="OKY54"/>
      <c r="OKZ54"/>
      <c r="OLA54"/>
      <c r="OLB54"/>
      <c r="OLC54"/>
      <c r="OLD54"/>
      <c r="OLE54"/>
      <c r="OLF54"/>
      <c r="OLG54"/>
      <c r="OLH54"/>
      <c r="OLI54"/>
      <c r="OLJ54"/>
      <c r="OLK54"/>
      <c r="OLL54"/>
      <c r="OLM54"/>
      <c r="OLN54"/>
      <c r="OLO54"/>
      <c r="OLP54"/>
      <c r="OLQ54"/>
      <c r="OLR54"/>
      <c r="OLS54"/>
      <c r="OLT54"/>
      <c r="OLU54"/>
      <c r="OLV54"/>
      <c r="OLW54"/>
      <c r="OLX54"/>
      <c r="OLY54"/>
      <c r="OLZ54"/>
      <c r="OMA54"/>
      <c r="OMB54"/>
      <c r="OMC54"/>
      <c r="OMD54"/>
      <c r="OME54"/>
      <c r="OMF54"/>
      <c r="OMG54"/>
      <c r="OMH54"/>
      <c r="OMI54"/>
      <c r="OMJ54"/>
      <c r="OMK54"/>
      <c r="OML54"/>
      <c r="OMM54"/>
      <c r="OMN54"/>
      <c r="OMO54"/>
      <c r="OMP54"/>
      <c r="OMQ54"/>
      <c r="OMR54"/>
      <c r="OMS54"/>
      <c r="OMT54"/>
      <c r="OMU54"/>
      <c r="OMV54"/>
      <c r="OMW54"/>
      <c r="OMX54"/>
      <c r="OMY54"/>
      <c r="OMZ54"/>
      <c r="ONA54"/>
      <c r="ONB54"/>
      <c r="ONC54"/>
      <c r="OND54"/>
      <c r="ONE54"/>
      <c r="ONF54"/>
      <c r="ONG54"/>
      <c r="ONH54"/>
      <c r="ONI54"/>
      <c r="ONJ54"/>
      <c r="ONK54"/>
      <c r="ONL54"/>
      <c r="ONM54"/>
      <c r="ONN54"/>
      <c r="ONO54"/>
      <c r="ONP54"/>
      <c r="ONQ54"/>
      <c r="ONR54"/>
      <c r="ONS54"/>
      <c r="ONT54"/>
      <c r="ONU54"/>
      <c r="ONV54"/>
      <c r="ONW54"/>
      <c r="ONX54"/>
      <c r="ONY54"/>
      <c r="ONZ54"/>
      <c r="OOA54"/>
      <c r="OOB54"/>
      <c r="OOC54"/>
      <c r="OOD54"/>
      <c r="OOE54"/>
      <c r="OOF54"/>
      <c r="OOG54"/>
      <c r="OOH54"/>
      <c r="OOI54"/>
      <c r="OOJ54"/>
      <c r="OOK54"/>
      <c r="OOL54"/>
      <c r="OOM54"/>
      <c r="OON54"/>
      <c r="OOO54"/>
      <c r="OOP54"/>
      <c r="OOQ54"/>
      <c r="OOR54"/>
      <c r="OOS54"/>
      <c r="OOT54"/>
      <c r="OOU54"/>
      <c r="OOV54"/>
      <c r="OOW54"/>
      <c r="OOX54"/>
      <c r="OOY54"/>
      <c r="OOZ54"/>
      <c r="OPA54"/>
      <c r="OPB54"/>
      <c r="OPC54"/>
      <c r="OPD54"/>
      <c r="OPE54"/>
      <c r="OPF54"/>
      <c r="OPG54"/>
      <c r="OPH54"/>
      <c r="OPI54"/>
      <c r="OPJ54"/>
      <c r="OPK54"/>
      <c r="OPL54"/>
      <c r="OPM54"/>
      <c r="OPN54"/>
      <c r="OPO54"/>
      <c r="OPP54"/>
      <c r="OPQ54"/>
      <c r="OPR54"/>
      <c r="OPS54"/>
      <c r="OPT54"/>
      <c r="OPU54"/>
      <c r="OPV54"/>
      <c r="OPW54"/>
      <c r="OPX54"/>
      <c r="OPY54"/>
      <c r="OPZ54"/>
      <c r="OQA54"/>
      <c r="OQB54"/>
      <c r="OQC54"/>
      <c r="OQD54"/>
      <c r="OQE54"/>
      <c r="OQF54"/>
      <c r="OQG54"/>
      <c r="OQH54"/>
      <c r="OQI54"/>
      <c r="OQJ54"/>
      <c r="OQK54"/>
      <c r="OQL54"/>
      <c r="OQM54"/>
      <c r="OQN54"/>
      <c r="OQO54"/>
      <c r="OQP54"/>
      <c r="OQQ54"/>
      <c r="OQR54"/>
      <c r="OQS54"/>
      <c r="OQT54"/>
      <c r="OQU54"/>
      <c r="OQV54"/>
      <c r="OQW54"/>
      <c r="OQX54"/>
      <c r="OQY54"/>
      <c r="OQZ54"/>
      <c r="ORA54"/>
      <c r="ORB54"/>
      <c r="ORC54"/>
      <c r="ORD54"/>
      <c r="ORE54"/>
      <c r="ORF54"/>
      <c r="ORG54"/>
      <c r="ORH54"/>
      <c r="ORI54"/>
      <c r="ORJ54"/>
      <c r="ORK54"/>
      <c r="ORL54"/>
      <c r="ORM54"/>
      <c r="ORN54"/>
      <c r="ORO54"/>
      <c r="ORP54"/>
      <c r="ORQ54"/>
      <c r="ORR54"/>
      <c r="ORS54"/>
      <c r="ORT54"/>
      <c r="ORU54"/>
      <c r="ORV54"/>
      <c r="ORW54"/>
      <c r="ORX54"/>
      <c r="ORY54"/>
      <c r="ORZ54"/>
      <c r="OSA54"/>
      <c r="OSB54"/>
      <c r="OSC54"/>
      <c r="OSD54"/>
      <c r="OSE54"/>
      <c r="OSF54"/>
      <c r="OSG54"/>
      <c r="OSH54"/>
      <c r="OSI54"/>
      <c r="OSJ54"/>
      <c r="OSK54"/>
      <c r="OSL54"/>
      <c r="OSM54"/>
      <c r="OSN54"/>
      <c r="OSO54"/>
      <c r="OSP54"/>
      <c r="OSQ54"/>
      <c r="OSR54"/>
      <c r="OSS54"/>
      <c r="OST54"/>
      <c r="OSU54"/>
      <c r="OSV54"/>
      <c r="OSW54"/>
      <c r="OSX54"/>
      <c r="OSY54"/>
      <c r="OSZ54"/>
      <c r="OTA54"/>
      <c r="OTB54"/>
      <c r="OTC54"/>
      <c r="OTD54"/>
      <c r="OTE54"/>
      <c r="OTF54"/>
      <c r="OTG54"/>
      <c r="OTH54"/>
      <c r="OTI54"/>
      <c r="OTJ54"/>
      <c r="OTK54"/>
      <c r="OTL54"/>
      <c r="OTM54"/>
      <c r="OTN54"/>
      <c r="OTO54"/>
      <c r="OTP54"/>
      <c r="OTQ54"/>
      <c r="OTR54"/>
      <c r="OTS54"/>
      <c r="OTT54"/>
      <c r="OTU54"/>
      <c r="OTV54"/>
      <c r="OTW54"/>
      <c r="OTX54"/>
      <c r="OTY54"/>
      <c r="OTZ54"/>
      <c r="OUA54"/>
      <c r="OUB54"/>
      <c r="OUC54"/>
      <c r="OUD54"/>
      <c r="OUE54"/>
      <c r="OUF54"/>
      <c r="OUG54"/>
      <c r="OUH54"/>
      <c r="OUI54"/>
      <c r="OUJ54"/>
      <c r="OUK54"/>
      <c r="OUL54"/>
      <c r="OUM54"/>
      <c r="OUN54"/>
      <c r="OUO54"/>
      <c r="OUP54"/>
      <c r="OUQ54"/>
      <c r="OUR54"/>
      <c r="OUS54"/>
      <c r="OUT54"/>
      <c r="OUU54"/>
      <c r="OUV54"/>
      <c r="OUW54"/>
      <c r="OUX54"/>
      <c r="OUY54"/>
      <c r="OUZ54"/>
      <c r="OVA54"/>
      <c r="OVB54"/>
      <c r="OVC54"/>
      <c r="OVD54"/>
      <c r="OVE54"/>
      <c r="OVF54"/>
      <c r="OVG54"/>
      <c r="OVH54"/>
      <c r="OVI54"/>
      <c r="OVJ54"/>
      <c r="OVK54"/>
      <c r="OVL54"/>
      <c r="OVM54"/>
      <c r="OVN54"/>
      <c r="OVO54"/>
      <c r="OVP54"/>
      <c r="OVQ54"/>
      <c r="OVR54"/>
      <c r="OVS54"/>
      <c r="OVT54"/>
      <c r="OVU54"/>
      <c r="OVV54"/>
      <c r="OVW54"/>
      <c r="OVX54"/>
      <c r="OVY54"/>
      <c r="OVZ54"/>
      <c r="OWA54"/>
      <c r="OWB54"/>
      <c r="OWC54"/>
      <c r="OWD54"/>
      <c r="OWE54"/>
      <c r="OWF54"/>
      <c r="OWG54"/>
      <c r="OWH54"/>
      <c r="OWI54"/>
      <c r="OWJ54"/>
      <c r="OWK54"/>
      <c r="OWL54"/>
      <c r="OWM54"/>
      <c r="OWN54"/>
      <c r="OWO54"/>
      <c r="OWP54"/>
      <c r="OWQ54"/>
      <c r="OWR54"/>
      <c r="OWS54"/>
      <c r="OWT54"/>
      <c r="OWU54"/>
      <c r="OWV54"/>
      <c r="OWW54"/>
      <c r="OWX54"/>
      <c r="OWY54"/>
      <c r="OWZ54"/>
      <c r="OXA54"/>
      <c r="OXB54"/>
      <c r="OXC54"/>
      <c r="OXD54"/>
      <c r="OXE54"/>
      <c r="OXF54"/>
      <c r="OXG54"/>
      <c r="OXH54"/>
      <c r="OXI54"/>
      <c r="OXJ54"/>
      <c r="OXK54"/>
      <c r="OXL54"/>
      <c r="OXM54"/>
      <c r="OXN54"/>
      <c r="OXO54"/>
      <c r="OXP54"/>
      <c r="OXQ54"/>
      <c r="OXR54"/>
      <c r="OXS54"/>
      <c r="OXT54"/>
      <c r="OXU54"/>
      <c r="OXV54"/>
      <c r="OXW54"/>
      <c r="OXX54"/>
      <c r="OXY54"/>
      <c r="OXZ54"/>
      <c r="OYA54"/>
      <c r="OYB54"/>
      <c r="OYC54"/>
      <c r="OYD54"/>
      <c r="OYE54"/>
      <c r="OYF54"/>
      <c r="OYG54"/>
      <c r="OYH54"/>
      <c r="OYI54"/>
      <c r="OYJ54"/>
      <c r="OYK54"/>
      <c r="OYL54"/>
      <c r="OYM54"/>
      <c r="OYN54"/>
      <c r="OYO54"/>
      <c r="OYP54"/>
      <c r="OYQ54"/>
      <c r="OYR54"/>
      <c r="OYS54"/>
      <c r="OYT54"/>
      <c r="OYU54"/>
      <c r="OYV54"/>
      <c r="OYW54"/>
      <c r="OYX54"/>
      <c r="OYY54"/>
      <c r="OYZ54"/>
      <c r="OZA54"/>
      <c r="OZB54"/>
      <c r="OZC54"/>
      <c r="OZD54"/>
      <c r="OZE54"/>
      <c r="OZF54"/>
      <c r="OZG54"/>
      <c r="OZH54"/>
      <c r="OZI54"/>
      <c r="OZJ54"/>
      <c r="OZK54"/>
      <c r="OZL54"/>
      <c r="OZM54"/>
      <c r="OZN54"/>
      <c r="OZO54"/>
      <c r="OZP54"/>
      <c r="OZQ54"/>
      <c r="OZR54"/>
      <c r="OZS54"/>
      <c r="OZT54"/>
      <c r="OZU54"/>
      <c r="OZV54"/>
      <c r="OZW54"/>
      <c r="OZX54"/>
      <c r="OZY54"/>
      <c r="OZZ54"/>
      <c r="PAA54"/>
      <c r="PAB54"/>
      <c r="PAC54"/>
      <c r="PAD54"/>
      <c r="PAE54"/>
      <c r="PAF54"/>
      <c r="PAG54"/>
      <c r="PAH54"/>
      <c r="PAI54"/>
      <c r="PAJ54"/>
      <c r="PAK54"/>
      <c r="PAL54"/>
      <c r="PAM54"/>
      <c r="PAN54"/>
      <c r="PAO54"/>
      <c r="PAP54"/>
      <c r="PAQ54"/>
      <c r="PAR54"/>
      <c r="PAS54"/>
      <c r="PAT54"/>
      <c r="PAU54"/>
      <c r="PAV54"/>
      <c r="PAW54"/>
      <c r="PAX54"/>
      <c r="PAY54"/>
      <c r="PAZ54"/>
      <c r="PBA54"/>
      <c r="PBB54"/>
      <c r="PBC54"/>
      <c r="PBD54"/>
      <c r="PBE54"/>
      <c r="PBF54"/>
      <c r="PBG54"/>
      <c r="PBH54"/>
      <c r="PBI54"/>
      <c r="PBJ54"/>
      <c r="PBK54"/>
      <c r="PBL54"/>
      <c r="PBM54"/>
      <c r="PBN54"/>
      <c r="PBO54"/>
      <c r="PBP54"/>
      <c r="PBQ54"/>
      <c r="PBR54"/>
      <c r="PBS54"/>
      <c r="PBT54"/>
      <c r="PBU54"/>
      <c r="PBV54"/>
      <c r="PBW54"/>
      <c r="PBX54"/>
      <c r="PBY54"/>
      <c r="PBZ54"/>
      <c r="PCA54"/>
      <c r="PCB54"/>
      <c r="PCC54"/>
      <c r="PCD54"/>
      <c r="PCE54"/>
      <c r="PCF54"/>
      <c r="PCG54"/>
      <c r="PCH54"/>
      <c r="PCI54"/>
      <c r="PCJ54"/>
      <c r="PCK54"/>
      <c r="PCL54"/>
      <c r="PCM54"/>
      <c r="PCN54"/>
      <c r="PCO54"/>
      <c r="PCP54"/>
      <c r="PCQ54"/>
      <c r="PCR54"/>
      <c r="PCS54"/>
      <c r="PCT54"/>
      <c r="PCU54"/>
      <c r="PCV54"/>
      <c r="PCW54"/>
      <c r="PCX54"/>
      <c r="PCY54"/>
      <c r="PCZ54"/>
      <c r="PDA54"/>
      <c r="PDB54"/>
      <c r="PDC54"/>
      <c r="PDD54"/>
      <c r="PDE54"/>
      <c r="PDF54"/>
      <c r="PDG54"/>
      <c r="PDH54"/>
      <c r="PDI54"/>
      <c r="PDJ54"/>
      <c r="PDK54"/>
      <c r="PDL54"/>
      <c r="PDM54"/>
      <c r="PDN54"/>
      <c r="PDO54"/>
      <c r="PDP54"/>
      <c r="PDQ54"/>
      <c r="PDR54"/>
      <c r="PDS54"/>
      <c r="PDT54"/>
      <c r="PDU54"/>
      <c r="PDV54"/>
      <c r="PDW54"/>
      <c r="PDX54"/>
      <c r="PDY54"/>
      <c r="PDZ54"/>
      <c r="PEA54"/>
      <c r="PEB54"/>
      <c r="PEC54"/>
      <c r="PED54"/>
      <c r="PEE54"/>
      <c r="PEF54"/>
      <c r="PEG54"/>
      <c r="PEH54"/>
      <c r="PEI54"/>
      <c r="PEJ54"/>
      <c r="PEK54"/>
      <c r="PEL54"/>
      <c r="PEM54"/>
      <c r="PEN54"/>
      <c r="PEO54"/>
      <c r="PEP54"/>
      <c r="PEQ54"/>
      <c r="PER54"/>
      <c r="PES54"/>
      <c r="PET54"/>
      <c r="PEU54"/>
      <c r="PEV54"/>
      <c r="PEW54"/>
      <c r="PEX54"/>
      <c r="PEY54"/>
      <c r="PEZ54"/>
      <c r="PFA54"/>
      <c r="PFB54"/>
      <c r="PFC54"/>
      <c r="PFD54"/>
      <c r="PFE54"/>
      <c r="PFF54"/>
      <c r="PFG54"/>
      <c r="PFH54"/>
      <c r="PFI54"/>
      <c r="PFJ54"/>
      <c r="PFK54"/>
      <c r="PFL54"/>
      <c r="PFM54"/>
      <c r="PFN54"/>
      <c r="PFO54"/>
      <c r="PFP54"/>
      <c r="PFQ54"/>
      <c r="PFR54"/>
      <c r="PFS54"/>
      <c r="PFT54"/>
      <c r="PFU54"/>
      <c r="PFV54"/>
      <c r="PFW54"/>
      <c r="PFX54"/>
      <c r="PFY54"/>
      <c r="PFZ54"/>
      <c r="PGA54"/>
      <c r="PGB54"/>
      <c r="PGC54"/>
      <c r="PGD54"/>
      <c r="PGE54"/>
      <c r="PGF54"/>
      <c r="PGG54"/>
      <c r="PGH54"/>
      <c r="PGI54"/>
      <c r="PGJ54"/>
      <c r="PGK54"/>
      <c r="PGL54"/>
      <c r="PGM54"/>
      <c r="PGN54"/>
      <c r="PGO54"/>
      <c r="PGP54"/>
      <c r="PGQ54"/>
      <c r="PGR54"/>
      <c r="PGS54"/>
      <c r="PGT54"/>
      <c r="PGU54"/>
      <c r="PGV54"/>
      <c r="PGW54"/>
      <c r="PGX54"/>
      <c r="PGY54"/>
      <c r="PGZ54"/>
      <c r="PHA54"/>
      <c r="PHB54"/>
      <c r="PHC54"/>
      <c r="PHD54"/>
      <c r="PHE54"/>
      <c r="PHF54"/>
      <c r="PHG54"/>
      <c r="PHH54"/>
      <c r="PHI54"/>
      <c r="PHJ54"/>
      <c r="PHK54"/>
      <c r="PHL54"/>
      <c r="PHM54"/>
      <c r="PHN54"/>
      <c r="PHO54"/>
      <c r="PHP54"/>
      <c r="PHQ54"/>
      <c r="PHR54"/>
      <c r="PHS54"/>
      <c r="PHT54"/>
      <c r="PHU54"/>
      <c r="PHV54"/>
      <c r="PHW54"/>
      <c r="PHX54"/>
      <c r="PHY54"/>
      <c r="PHZ54"/>
      <c r="PIA54"/>
      <c r="PIB54"/>
      <c r="PIC54"/>
      <c r="PID54"/>
      <c r="PIE54"/>
      <c r="PIF54"/>
      <c r="PIG54"/>
      <c r="PIH54"/>
      <c r="PII54"/>
      <c r="PIJ54"/>
      <c r="PIK54"/>
      <c r="PIL54"/>
      <c r="PIM54"/>
      <c r="PIN54"/>
      <c r="PIO54"/>
      <c r="PIP54"/>
      <c r="PIQ54"/>
      <c r="PIR54"/>
      <c r="PIS54"/>
      <c r="PIT54"/>
      <c r="PIU54"/>
      <c r="PIV54"/>
      <c r="PIW54"/>
      <c r="PIX54"/>
      <c r="PIY54"/>
      <c r="PIZ54"/>
      <c r="PJA54"/>
      <c r="PJB54"/>
      <c r="PJC54"/>
      <c r="PJD54"/>
      <c r="PJE54"/>
      <c r="PJF54"/>
      <c r="PJG54"/>
      <c r="PJH54"/>
      <c r="PJI54"/>
      <c r="PJJ54"/>
      <c r="PJK54"/>
      <c r="PJL54"/>
      <c r="PJM54"/>
      <c r="PJN54"/>
      <c r="PJO54"/>
      <c r="PJP54"/>
      <c r="PJQ54"/>
      <c r="PJR54"/>
      <c r="PJS54"/>
      <c r="PJT54"/>
      <c r="PJU54"/>
      <c r="PJV54"/>
      <c r="PJW54"/>
      <c r="PJX54"/>
      <c r="PJY54"/>
      <c r="PJZ54"/>
      <c r="PKA54"/>
      <c r="PKB54"/>
      <c r="PKC54"/>
      <c r="PKD54"/>
      <c r="PKE54"/>
      <c r="PKF54"/>
      <c r="PKG54"/>
      <c r="PKH54"/>
      <c r="PKI54"/>
      <c r="PKJ54"/>
      <c r="PKK54"/>
      <c r="PKL54"/>
      <c r="PKM54"/>
      <c r="PKN54"/>
      <c r="PKO54"/>
      <c r="PKP54"/>
      <c r="PKQ54"/>
      <c r="PKR54"/>
      <c r="PKS54"/>
      <c r="PKT54"/>
      <c r="PKU54"/>
      <c r="PKV54"/>
      <c r="PKW54"/>
      <c r="PKX54"/>
      <c r="PKY54"/>
      <c r="PKZ54"/>
      <c r="PLA54"/>
      <c r="PLB54"/>
      <c r="PLC54"/>
      <c r="PLD54"/>
      <c r="PLE54"/>
      <c r="PLF54"/>
      <c r="PLG54"/>
      <c r="PLH54"/>
      <c r="PLI54"/>
      <c r="PLJ54"/>
      <c r="PLK54"/>
      <c r="PLL54"/>
      <c r="PLM54"/>
      <c r="PLN54"/>
      <c r="PLO54"/>
      <c r="PLP54"/>
      <c r="PLQ54"/>
      <c r="PLR54"/>
      <c r="PLS54"/>
      <c r="PLT54"/>
      <c r="PLU54"/>
      <c r="PLV54"/>
      <c r="PLW54"/>
      <c r="PLX54"/>
      <c r="PLY54"/>
      <c r="PLZ54"/>
      <c r="PMA54"/>
      <c r="PMB54"/>
      <c r="PMC54"/>
      <c r="PMD54"/>
      <c r="PME54"/>
      <c r="PMF54"/>
      <c r="PMG54"/>
      <c r="PMH54"/>
      <c r="PMI54"/>
      <c r="PMJ54"/>
      <c r="PMK54"/>
      <c r="PML54"/>
      <c r="PMM54"/>
      <c r="PMN54"/>
      <c r="PMO54"/>
      <c r="PMP54"/>
      <c r="PMQ54"/>
      <c r="PMR54"/>
      <c r="PMS54"/>
      <c r="PMT54"/>
      <c r="PMU54"/>
      <c r="PMV54"/>
      <c r="PMW54"/>
      <c r="PMX54"/>
      <c r="PMY54"/>
      <c r="PMZ54"/>
      <c r="PNA54"/>
      <c r="PNB54"/>
      <c r="PNC54"/>
      <c r="PND54"/>
      <c r="PNE54"/>
      <c r="PNF54"/>
      <c r="PNG54"/>
      <c r="PNH54"/>
      <c r="PNI54"/>
      <c r="PNJ54"/>
      <c r="PNK54"/>
      <c r="PNL54"/>
      <c r="PNM54"/>
      <c r="PNN54"/>
      <c r="PNO54"/>
      <c r="PNP54"/>
      <c r="PNQ54"/>
      <c r="PNR54"/>
      <c r="PNS54"/>
      <c r="PNT54"/>
      <c r="PNU54"/>
      <c r="PNV54"/>
      <c r="PNW54"/>
      <c r="PNX54"/>
      <c r="PNY54"/>
      <c r="PNZ54"/>
      <c r="POA54"/>
      <c r="POB54"/>
      <c r="POC54"/>
      <c r="POD54"/>
      <c r="POE54"/>
      <c r="POF54"/>
      <c r="POG54"/>
      <c r="POH54"/>
      <c r="POI54"/>
      <c r="POJ54"/>
      <c r="POK54"/>
      <c r="POL54"/>
      <c r="POM54"/>
      <c r="PON54"/>
      <c r="POO54"/>
      <c r="POP54"/>
      <c r="POQ54"/>
      <c r="POR54"/>
      <c r="POS54"/>
      <c r="POT54"/>
      <c r="POU54"/>
      <c r="POV54"/>
      <c r="POW54"/>
      <c r="POX54"/>
      <c r="POY54"/>
      <c r="POZ54"/>
      <c r="PPA54"/>
      <c r="PPB54"/>
      <c r="PPC54"/>
      <c r="PPD54"/>
      <c r="PPE54"/>
      <c r="PPF54"/>
      <c r="PPG54"/>
      <c r="PPH54"/>
      <c r="PPI54"/>
      <c r="PPJ54"/>
      <c r="PPK54"/>
      <c r="PPL54"/>
      <c r="PPM54"/>
      <c r="PPN54"/>
      <c r="PPO54"/>
      <c r="PPP54"/>
      <c r="PPQ54"/>
      <c r="PPR54"/>
      <c r="PPS54"/>
      <c r="PPT54"/>
      <c r="PPU54"/>
      <c r="PPV54"/>
      <c r="PPW54"/>
      <c r="PPX54"/>
      <c r="PPY54"/>
      <c r="PPZ54"/>
      <c r="PQA54"/>
      <c r="PQB54"/>
      <c r="PQC54"/>
      <c r="PQD54"/>
      <c r="PQE54"/>
      <c r="PQF54"/>
      <c r="PQG54"/>
      <c r="PQH54"/>
      <c r="PQI54"/>
      <c r="PQJ54"/>
      <c r="PQK54"/>
      <c r="PQL54"/>
      <c r="PQM54"/>
      <c r="PQN54"/>
      <c r="PQO54"/>
      <c r="PQP54"/>
      <c r="PQQ54"/>
      <c r="PQR54"/>
      <c r="PQS54"/>
      <c r="PQT54"/>
      <c r="PQU54"/>
      <c r="PQV54"/>
      <c r="PQW54"/>
      <c r="PQX54"/>
      <c r="PQY54"/>
      <c r="PQZ54"/>
      <c r="PRA54"/>
      <c r="PRB54"/>
      <c r="PRC54"/>
      <c r="PRD54"/>
      <c r="PRE54"/>
      <c r="PRF54"/>
      <c r="PRG54"/>
      <c r="PRH54"/>
      <c r="PRI54"/>
      <c r="PRJ54"/>
      <c r="PRK54"/>
      <c r="PRL54"/>
      <c r="PRM54"/>
      <c r="PRN54"/>
      <c r="PRO54"/>
      <c r="PRP54"/>
      <c r="PRQ54"/>
      <c r="PRR54"/>
      <c r="PRS54"/>
      <c r="PRT54"/>
      <c r="PRU54"/>
      <c r="PRV54"/>
      <c r="PRW54"/>
      <c r="PRX54"/>
      <c r="PRY54"/>
      <c r="PRZ54"/>
      <c r="PSA54"/>
      <c r="PSB54"/>
      <c r="PSC54"/>
      <c r="PSD54"/>
      <c r="PSE54"/>
      <c r="PSF54"/>
      <c r="PSG54"/>
      <c r="PSH54"/>
      <c r="PSI54"/>
      <c r="PSJ54"/>
      <c r="PSK54"/>
      <c r="PSL54"/>
      <c r="PSM54"/>
      <c r="PSN54"/>
      <c r="PSO54"/>
      <c r="PSP54"/>
      <c r="PSQ54"/>
      <c r="PSR54"/>
      <c r="PSS54"/>
      <c r="PST54"/>
      <c r="PSU54"/>
      <c r="PSV54"/>
      <c r="PSW54"/>
      <c r="PSX54"/>
      <c r="PSY54"/>
      <c r="PSZ54"/>
      <c r="PTA54"/>
      <c r="PTB54"/>
      <c r="PTC54"/>
      <c r="PTD54"/>
      <c r="PTE54"/>
      <c r="PTF54"/>
      <c r="PTG54"/>
      <c r="PTH54"/>
      <c r="PTI54"/>
      <c r="PTJ54"/>
      <c r="PTK54"/>
      <c r="PTL54"/>
      <c r="PTM54"/>
      <c r="PTN54"/>
      <c r="PTO54"/>
      <c r="PTP54"/>
      <c r="PTQ54"/>
      <c r="PTR54"/>
      <c r="PTS54"/>
      <c r="PTT54"/>
      <c r="PTU54"/>
      <c r="PTV54"/>
      <c r="PTW54"/>
      <c r="PTX54"/>
      <c r="PTY54"/>
      <c r="PTZ54"/>
      <c r="PUA54"/>
      <c r="PUB54"/>
      <c r="PUC54"/>
      <c r="PUD54"/>
      <c r="PUE54"/>
      <c r="PUF54"/>
      <c r="PUG54"/>
      <c r="PUH54"/>
      <c r="PUI54"/>
      <c r="PUJ54"/>
      <c r="PUK54"/>
      <c r="PUL54"/>
      <c r="PUM54"/>
      <c r="PUN54"/>
      <c r="PUO54"/>
      <c r="PUP54"/>
      <c r="PUQ54"/>
      <c r="PUR54"/>
      <c r="PUS54"/>
      <c r="PUT54"/>
      <c r="PUU54"/>
      <c r="PUV54"/>
      <c r="PUW54"/>
      <c r="PUX54"/>
      <c r="PUY54"/>
      <c r="PUZ54"/>
      <c r="PVA54"/>
      <c r="PVB54"/>
      <c r="PVC54"/>
      <c r="PVD54"/>
      <c r="PVE54"/>
      <c r="PVF54"/>
      <c r="PVG54"/>
      <c r="PVH54"/>
      <c r="PVI54"/>
      <c r="PVJ54"/>
      <c r="PVK54"/>
      <c r="PVL54"/>
      <c r="PVM54"/>
      <c r="PVN54"/>
      <c r="PVO54"/>
      <c r="PVP54"/>
      <c r="PVQ54"/>
      <c r="PVR54"/>
      <c r="PVS54"/>
      <c r="PVT54"/>
      <c r="PVU54"/>
      <c r="PVV54"/>
      <c r="PVW54"/>
      <c r="PVX54"/>
      <c r="PVY54"/>
      <c r="PVZ54"/>
      <c r="PWA54"/>
      <c r="PWB54"/>
      <c r="PWC54"/>
      <c r="PWD54"/>
      <c r="PWE54"/>
      <c r="PWF54"/>
      <c r="PWG54"/>
      <c r="PWH54"/>
      <c r="PWI54"/>
      <c r="PWJ54"/>
      <c r="PWK54"/>
      <c r="PWL54"/>
      <c r="PWM54"/>
      <c r="PWN54"/>
      <c r="PWO54"/>
      <c r="PWP54"/>
      <c r="PWQ54"/>
      <c r="PWR54"/>
      <c r="PWS54"/>
      <c r="PWT54"/>
      <c r="PWU54"/>
      <c r="PWV54"/>
      <c r="PWW54"/>
      <c r="PWX54"/>
      <c r="PWY54"/>
      <c r="PWZ54"/>
      <c r="PXA54"/>
      <c r="PXB54"/>
      <c r="PXC54"/>
      <c r="PXD54"/>
      <c r="PXE54"/>
      <c r="PXF54"/>
      <c r="PXG54"/>
      <c r="PXH54"/>
      <c r="PXI54"/>
      <c r="PXJ54"/>
      <c r="PXK54"/>
      <c r="PXL54"/>
      <c r="PXM54"/>
      <c r="PXN54"/>
      <c r="PXO54"/>
      <c r="PXP54"/>
      <c r="PXQ54"/>
      <c r="PXR54"/>
      <c r="PXS54"/>
      <c r="PXT54"/>
      <c r="PXU54"/>
      <c r="PXV54"/>
      <c r="PXW54"/>
      <c r="PXX54"/>
      <c r="PXY54"/>
      <c r="PXZ54"/>
      <c r="PYA54"/>
      <c r="PYB54"/>
      <c r="PYC54"/>
      <c r="PYD54"/>
      <c r="PYE54"/>
      <c r="PYF54"/>
      <c r="PYG54"/>
      <c r="PYH54"/>
      <c r="PYI54"/>
      <c r="PYJ54"/>
      <c r="PYK54"/>
      <c r="PYL54"/>
      <c r="PYM54"/>
      <c r="PYN54"/>
      <c r="PYO54"/>
      <c r="PYP54"/>
      <c r="PYQ54"/>
      <c r="PYR54"/>
      <c r="PYS54"/>
      <c r="PYT54"/>
      <c r="PYU54"/>
      <c r="PYV54"/>
      <c r="PYW54"/>
      <c r="PYX54"/>
      <c r="PYY54"/>
      <c r="PYZ54"/>
      <c r="PZA54"/>
      <c r="PZB54"/>
      <c r="PZC54"/>
      <c r="PZD54"/>
      <c r="PZE54"/>
      <c r="PZF54"/>
      <c r="PZG54"/>
      <c r="PZH54"/>
      <c r="PZI54"/>
      <c r="PZJ54"/>
      <c r="PZK54"/>
      <c r="PZL54"/>
      <c r="PZM54"/>
      <c r="PZN54"/>
      <c r="PZO54"/>
      <c r="PZP54"/>
      <c r="PZQ54"/>
      <c r="PZR54"/>
      <c r="PZS54"/>
      <c r="PZT54"/>
      <c r="PZU54"/>
      <c r="PZV54"/>
      <c r="PZW54"/>
      <c r="PZX54"/>
      <c r="PZY54"/>
      <c r="PZZ54"/>
      <c r="QAA54"/>
      <c r="QAB54"/>
      <c r="QAC54"/>
      <c r="QAD54"/>
      <c r="QAE54"/>
      <c r="QAF54"/>
      <c r="QAG54"/>
      <c r="QAH54"/>
      <c r="QAI54"/>
      <c r="QAJ54"/>
      <c r="QAK54"/>
      <c r="QAL54"/>
      <c r="QAM54"/>
      <c r="QAN54"/>
      <c r="QAO54"/>
      <c r="QAP54"/>
      <c r="QAQ54"/>
      <c r="QAR54"/>
      <c r="QAS54"/>
      <c r="QAT54"/>
      <c r="QAU54"/>
      <c r="QAV54"/>
      <c r="QAW54"/>
      <c r="QAX54"/>
      <c r="QAY54"/>
      <c r="QAZ54"/>
      <c r="QBA54"/>
      <c r="QBB54"/>
      <c r="QBC54"/>
      <c r="QBD54"/>
      <c r="QBE54"/>
      <c r="QBF54"/>
      <c r="QBG54"/>
      <c r="QBH54"/>
      <c r="QBI54"/>
      <c r="QBJ54"/>
      <c r="QBK54"/>
      <c r="QBL54"/>
      <c r="QBM54"/>
      <c r="QBN54"/>
      <c r="QBO54"/>
      <c r="QBP54"/>
      <c r="QBQ54"/>
      <c r="QBR54"/>
      <c r="QBS54"/>
      <c r="QBT54"/>
      <c r="QBU54"/>
      <c r="QBV54"/>
      <c r="QBW54"/>
      <c r="QBX54"/>
      <c r="QBY54"/>
      <c r="QBZ54"/>
      <c r="QCA54"/>
      <c r="QCB54"/>
      <c r="QCC54"/>
      <c r="QCD54"/>
      <c r="QCE54"/>
      <c r="QCF54"/>
      <c r="QCG54"/>
      <c r="QCH54"/>
      <c r="QCI54"/>
      <c r="QCJ54"/>
      <c r="QCK54"/>
      <c r="QCL54"/>
      <c r="QCM54"/>
      <c r="QCN54"/>
      <c r="QCO54"/>
      <c r="QCP54"/>
      <c r="QCQ54"/>
      <c r="QCR54"/>
      <c r="QCS54"/>
      <c r="QCT54"/>
      <c r="QCU54"/>
      <c r="QCV54"/>
      <c r="QCW54"/>
      <c r="QCX54"/>
      <c r="QCY54"/>
      <c r="QCZ54"/>
      <c r="QDA54"/>
      <c r="QDB54"/>
      <c r="QDC54"/>
      <c r="QDD54"/>
      <c r="QDE54"/>
      <c r="QDF54"/>
      <c r="QDG54"/>
      <c r="QDH54"/>
      <c r="QDI54"/>
      <c r="QDJ54"/>
      <c r="QDK54"/>
      <c r="QDL54"/>
      <c r="QDM54"/>
      <c r="QDN54"/>
      <c r="QDO54"/>
      <c r="QDP54"/>
      <c r="QDQ54"/>
      <c r="QDR54"/>
      <c r="QDS54"/>
      <c r="QDT54"/>
      <c r="QDU54"/>
      <c r="QDV54"/>
      <c r="QDW54"/>
      <c r="QDX54"/>
      <c r="QDY54"/>
      <c r="QDZ54"/>
      <c r="QEA54"/>
      <c r="QEB54"/>
      <c r="QEC54"/>
      <c r="QED54"/>
      <c r="QEE54"/>
      <c r="QEF54"/>
      <c r="QEG54"/>
      <c r="QEH54"/>
      <c r="QEI54"/>
      <c r="QEJ54"/>
      <c r="QEK54"/>
      <c r="QEL54"/>
      <c r="QEM54"/>
      <c r="QEN54"/>
      <c r="QEO54"/>
      <c r="QEP54"/>
      <c r="QEQ54"/>
      <c r="QER54"/>
      <c r="QES54"/>
      <c r="QET54"/>
      <c r="QEU54"/>
      <c r="QEV54"/>
      <c r="QEW54"/>
      <c r="QEX54"/>
      <c r="QEY54"/>
      <c r="QEZ54"/>
      <c r="QFA54"/>
      <c r="QFB54"/>
      <c r="QFC54"/>
      <c r="QFD54"/>
      <c r="QFE54"/>
      <c r="QFF54"/>
      <c r="QFG54"/>
      <c r="QFH54"/>
      <c r="QFI54"/>
      <c r="QFJ54"/>
      <c r="QFK54"/>
      <c r="QFL54"/>
      <c r="QFM54"/>
      <c r="QFN54"/>
      <c r="QFO54"/>
      <c r="QFP54"/>
      <c r="QFQ54"/>
      <c r="QFR54"/>
      <c r="QFS54"/>
      <c r="QFT54"/>
      <c r="QFU54"/>
      <c r="QFV54"/>
      <c r="QFW54"/>
      <c r="QFX54"/>
      <c r="QFY54"/>
      <c r="QFZ54"/>
      <c r="QGA54"/>
      <c r="QGB54"/>
      <c r="QGC54"/>
      <c r="QGD54"/>
      <c r="QGE54"/>
      <c r="QGF54"/>
      <c r="QGG54"/>
      <c r="QGH54"/>
      <c r="QGI54"/>
      <c r="QGJ54"/>
      <c r="QGK54"/>
      <c r="QGL54"/>
      <c r="QGM54"/>
      <c r="QGN54"/>
      <c r="QGO54"/>
      <c r="QGP54"/>
      <c r="QGQ54"/>
      <c r="QGR54"/>
      <c r="QGS54"/>
      <c r="QGT54"/>
      <c r="QGU54"/>
      <c r="QGV54"/>
      <c r="QGW54"/>
      <c r="QGX54"/>
      <c r="QGY54"/>
      <c r="QGZ54"/>
      <c r="QHA54"/>
      <c r="QHB54"/>
      <c r="QHC54"/>
      <c r="QHD54"/>
      <c r="QHE54"/>
      <c r="QHF54"/>
      <c r="QHG54"/>
      <c r="QHH54"/>
      <c r="QHI54"/>
      <c r="QHJ54"/>
      <c r="QHK54"/>
      <c r="QHL54"/>
      <c r="QHM54"/>
      <c r="QHN54"/>
      <c r="QHO54"/>
      <c r="QHP54"/>
      <c r="QHQ54"/>
      <c r="QHR54"/>
      <c r="QHS54"/>
      <c r="QHT54"/>
      <c r="QHU54"/>
      <c r="QHV54"/>
      <c r="QHW54"/>
      <c r="QHX54"/>
      <c r="QHY54"/>
      <c r="QHZ54"/>
      <c r="QIA54"/>
      <c r="QIB54"/>
      <c r="QIC54"/>
      <c r="QID54"/>
      <c r="QIE54"/>
      <c r="QIF54"/>
      <c r="QIG54"/>
      <c r="QIH54"/>
      <c r="QII54"/>
      <c r="QIJ54"/>
      <c r="QIK54"/>
      <c r="QIL54"/>
      <c r="QIM54"/>
      <c r="QIN54"/>
      <c r="QIO54"/>
      <c r="QIP54"/>
      <c r="QIQ54"/>
      <c r="QIR54"/>
      <c r="QIS54"/>
      <c r="QIT54"/>
      <c r="QIU54"/>
      <c r="QIV54"/>
      <c r="QIW54"/>
      <c r="QIX54"/>
      <c r="QIY54"/>
      <c r="QIZ54"/>
      <c r="QJA54"/>
      <c r="QJB54"/>
      <c r="QJC54"/>
      <c r="QJD54"/>
      <c r="QJE54"/>
      <c r="QJF54"/>
      <c r="QJG54"/>
      <c r="QJH54"/>
      <c r="QJI54"/>
      <c r="QJJ54"/>
      <c r="QJK54"/>
      <c r="QJL54"/>
      <c r="QJM54"/>
      <c r="QJN54"/>
      <c r="QJO54"/>
      <c r="QJP54"/>
      <c r="QJQ54"/>
      <c r="QJR54"/>
      <c r="QJS54"/>
      <c r="QJT54"/>
      <c r="QJU54"/>
      <c r="QJV54"/>
      <c r="QJW54"/>
      <c r="QJX54"/>
      <c r="QJY54"/>
      <c r="QJZ54"/>
      <c r="QKA54"/>
      <c r="QKB54"/>
      <c r="QKC54"/>
      <c r="QKD54"/>
      <c r="QKE54"/>
      <c r="QKF54"/>
      <c r="QKG54"/>
      <c r="QKH54"/>
      <c r="QKI54"/>
      <c r="QKJ54"/>
      <c r="QKK54"/>
      <c r="QKL54"/>
      <c r="QKM54"/>
      <c r="QKN54"/>
      <c r="QKO54"/>
      <c r="QKP54"/>
      <c r="QKQ54"/>
      <c r="QKR54"/>
      <c r="QKS54"/>
      <c r="QKT54"/>
      <c r="QKU54"/>
      <c r="QKV54"/>
      <c r="QKW54"/>
      <c r="QKX54"/>
      <c r="QKY54"/>
      <c r="QKZ54"/>
      <c r="QLA54"/>
      <c r="QLB54"/>
      <c r="QLC54"/>
      <c r="QLD54"/>
      <c r="QLE54"/>
      <c r="QLF54"/>
      <c r="QLG54"/>
      <c r="QLH54"/>
      <c r="QLI54"/>
      <c r="QLJ54"/>
      <c r="QLK54"/>
      <c r="QLL54"/>
      <c r="QLM54"/>
      <c r="QLN54"/>
      <c r="QLO54"/>
      <c r="QLP54"/>
      <c r="QLQ54"/>
      <c r="QLR54"/>
      <c r="QLS54"/>
      <c r="QLT54"/>
      <c r="QLU54"/>
      <c r="QLV54"/>
      <c r="QLW54"/>
      <c r="QLX54"/>
      <c r="QLY54"/>
      <c r="QLZ54"/>
      <c r="QMA54"/>
      <c r="QMB54"/>
      <c r="QMC54"/>
      <c r="QMD54"/>
      <c r="QME54"/>
      <c r="QMF54"/>
      <c r="QMG54"/>
      <c r="QMH54"/>
      <c r="QMI54"/>
      <c r="QMJ54"/>
      <c r="QMK54"/>
      <c r="QML54"/>
      <c r="QMM54"/>
      <c r="QMN54"/>
      <c r="QMO54"/>
      <c r="QMP54"/>
      <c r="QMQ54"/>
      <c r="QMR54"/>
      <c r="QMS54"/>
      <c r="QMT54"/>
      <c r="QMU54"/>
      <c r="QMV54"/>
      <c r="QMW54"/>
      <c r="QMX54"/>
      <c r="QMY54"/>
      <c r="QMZ54"/>
      <c r="QNA54"/>
      <c r="QNB54"/>
      <c r="QNC54"/>
      <c r="QND54"/>
      <c r="QNE54"/>
      <c r="QNF54"/>
      <c r="QNG54"/>
      <c r="QNH54"/>
      <c r="QNI54"/>
      <c r="QNJ54"/>
      <c r="QNK54"/>
      <c r="QNL54"/>
      <c r="QNM54"/>
      <c r="QNN54"/>
      <c r="QNO54"/>
      <c r="QNP54"/>
      <c r="QNQ54"/>
      <c r="QNR54"/>
      <c r="QNS54"/>
      <c r="QNT54"/>
      <c r="QNU54"/>
      <c r="QNV54"/>
      <c r="QNW54"/>
      <c r="QNX54"/>
      <c r="QNY54"/>
      <c r="QNZ54"/>
      <c r="QOA54"/>
      <c r="QOB54"/>
      <c r="QOC54"/>
      <c r="QOD54"/>
      <c r="QOE54"/>
      <c r="QOF54"/>
      <c r="QOG54"/>
      <c r="QOH54"/>
      <c r="QOI54"/>
      <c r="QOJ54"/>
      <c r="QOK54"/>
      <c r="QOL54"/>
      <c r="QOM54"/>
      <c r="QON54"/>
      <c r="QOO54"/>
      <c r="QOP54"/>
      <c r="QOQ54"/>
      <c r="QOR54"/>
      <c r="QOS54"/>
      <c r="QOT54"/>
      <c r="QOU54"/>
      <c r="QOV54"/>
      <c r="QOW54"/>
      <c r="QOX54"/>
      <c r="QOY54"/>
      <c r="QOZ54"/>
      <c r="QPA54"/>
      <c r="QPB54"/>
      <c r="QPC54"/>
      <c r="QPD54"/>
      <c r="QPE54"/>
      <c r="QPF54"/>
      <c r="QPG54"/>
      <c r="QPH54"/>
      <c r="QPI54"/>
      <c r="QPJ54"/>
      <c r="QPK54"/>
      <c r="QPL54"/>
      <c r="QPM54"/>
      <c r="QPN54"/>
      <c r="QPO54"/>
      <c r="QPP54"/>
      <c r="QPQ54"/>
      <c r="QPR54"/>
      <c r="QPS54"/>
      <c r="QPT54"/>
      <c r="QPU54"/>
      <c r="QPV54"/>
      <c r="QPW54"/>
      <c r="QPX54"/>
      <c r="QPY54"/>
      <c r="QPZ54"/>
      <c r="QQA54"/>
      <c r="QQB54"/>
      <c r="QQC54"/>
      <c r="QQD54"/>
      <c r="QQE54"/>
      <c r="QQF54"/>
      <c r="QQG54"/>
      <c r="QQH54"/>
      <c r="QQI54"/>
      <c r="QQJ54"/>
      <c r="QQK54"/>
      <c r="QQL54"/>
      <c r="QQM54"/>
      <c r="QQN54"/>
      <c r="QQO54"/>
      <c r="QQP54"/>
      <c r="QQQ54"/>
      <c r="QQR54"/>
      <c r="QQS54"/>
      <c r="QQT54"/>
      <c r="QQU54"/>
      <c r="QQV54"/>
      <c r="QQW54"/>
      <c r="QQX54"/>
      <c r="QQY54"/>
      <c r="QQZ54"/>
      <c r="QRA54"/>
      <c r="QRB54"/>
      <c r="QRC54"/>
      <c r="QRD54"/>
      <c r="QRE54"/>
      <c r="QRF54"/>
      <c r="QRG54"/>
      <c r="QRH54"/>
      <c r="QRI54"/>
      <c r="QRJ54"/>
      <c r="QRK54"/>
      <c r="QRL54"/>
      <c r="QRM54"/>
      <c r="QRN54"/>
      <c r="QRO54"/>
      <c r="QRP54"/>
      <c r="QRQ54"/>
      <c r="QRR54"/>
      <c r="QRS54"/>
      <c r="QRT54"/>
      <c r="QRU54"/>
      <c r="QRV54"/>
      <c r="QRW54"/>
      <c r="QRX54"/>
      <c r="QRY54"/>
      <c r="QRZ54"/>
      <c r="QSA54"/>
      <c r="QSB54"/>
      <c r="QSC54"/>
      <c r="QSD54"/>
      <c r="QSE54"/>
      <c r="QSF54"/>
      <c r="QSG54"/>
      <c r="QSH54"/>
      <c r="QSI54"/>
      <c r="QSJ54"/>
      <c r="QSK54"/>
      <c r="QSL54"/>
      <c r="QSM54"/>
      <c r="QSN54"/>
      <c r="QSO54"/>
      <c r="QSP54"/>
      <c r="QSQ54"/>
      <c r="QSR54"/>
      <c r="QSS54"/>
      <c r="QST54"/>
      <c r="QSU54"/>
      <c r="QSV54"/>
      <c r="QSW54"/>
      <c r="QSX54"/>
      <c r="QSY54"/>
      <c r="QSZ54"/>
      <c r="QTA54"/>
      <c r="QTB54"/>
      <c r="QTC54"/>
      <c r="QTD54"/>
      <c r="QTE54"/>
      <c r="QTF54"/>
      <c r="QTG54"/>
      <c r="QTH54"/>
      <c r="QTI54"/>
      <c r="QTJ54"/>
      <c r="QTK54"/>
      <c r="QTL54"/>
      <c r="QTM54"/>
      <c r="QTN54"/>
      <c r="QTO54"/>
      <c r="QTP54"/>
      <c r="QTQ54"/>
      <c r="QTR54"/>
      <c r="QTS54"/>
      <c r="QTT54"/>
      <c r="QTU54"/>
      <c r="QTV54"/>
      <c r="QTW54"/>
      <c r="QTX54"/>
      <c r="QTY54"/>
      <c r="QTZ54"/>
      <c r="QUA54"/>
      <c r="QUB54"/>
      <c r="QUC54"/>
      <c r="QUD54"/>
      <c r="QUE54"/>
      <c r="QUF54"/>
      <c r="QUG54"/>
      <c r="QUH54"/>
      <c r="QUI54"/>
      <c r="QUJ54"/>
      <c r="QUK54"/>
      <c r="QUL54"/>
      <c r="QUM54"/>
      <c r="QUN54"/>
      <c r="QUO54"/>
      <c r="QUP54"/>
      <c r="QUQ54"/>
      <c r="QUR54"/>
      <c r="QUS54"/>
      <c r="QUT54"/>
      <c r="QUU54"/>
      <c r="QUV54"/>
      <c r="QUW54"/>
      <c r="QUX54"/>
      <c r="QUY54"/>
      <c r="QUZ54"/>
      <c r="QVA54"/>
      <c r="QVB54"/>
      <c r="QVC54"/>
      <c r="QVD54"/>
      <c r="QVE54"/>
      <c r="QVF54"/>
      <c r="QVG54"/>
      <c r="QVH54"/>
      <c r="QVI54"/>
      <c r="QVJ54"/>
      <c r="QVK54"/>
      <c r="QVL54"/>
      <c r="QVM54"/>
      <c r="QVN54"/>
      <c r="QVO54"/>
      <c r="QVP54"/>
      <c r="QVQ54"/>
      <c r="QVR54"/>
      <c r="QVS54"/>
      <c r="QVT54"/>
      <c r="QVU54"/>
      <c r="QVV54"/>
      <c r="QVW54"/>
      <c r="QVX54"/>
      <c r="QVY54"/>
      <c r="QVZ54"/>
      <c r="QWA54"/>
      <c r="QWB54"/>
      <c r="QWC54"/>
      <c r="QWD54"/>
      <c r="QWE54"/>
      <c r="QWF54"/>
      <c r="QWG54"/>
      <c r="QWH54"/>
      <c r="QWI54"/>
      <c r="QWJ54"/>
      <c r="QWK54"/>
      <c r="QWL54"/>
      <c r="QWM54"/>
      <c r="QWN54"/>
      <c r="QWO54"/>
      <c r="QWP54"/>
      <c r="QWQ54"/>
      <c r="QWR54"/>
      <c r="QWS54"/>
      <c r="QWT54"/>
      <c r="QWU54"/>
      <c r="QWV54"/>
      <c r="QWW54"/>
      <c r="QWX54"/>
      <c r="QWY54"/>
      <c r="QWZ54"/>
      <c r="QXA54"/>
      <c r="QXB54"/>
      <c r="QXC54"/>
      <c r="QXD54"/>
      <c r="QXE54"/>
      <c r="QXF54"/>
      <c r="QXG54"/>
      <c r="QXH54"/>
      <c r="QXI54"/>
      <c r="QXJ54"/>
      <c r="QXK54"/>
      <c r="QXL54"/>
      <c r="QXM54"/>
      <c r="QXN54"/>
      <c r="QXO54"/>
      <c r="QXP54"/>
      <c r="QXQ54"/>
      <c r="QXR54"/>
      <c r="QXS54"/>
      <c r="QXT54"/>
      <c r="QXU54"/>
      <c r="QXV54"/>
      <c r="QXW54"/>
      <c r="QXX54"/>
      <c r="QXY54"/>
      <c r="QXZ54"/>
      <c r="QYA54"/>
      <c r="QYB54"/>
      <c r="QYC54"/>
      <c r="QYD54"/>
      <c r="QYE54"/>
      <c r="QYF54"/>
      <c r="QYG54"/>
      <c r="QYH54"/>
      <c r="QYI54"/>
      <c r="QYJ54"/>
      <c r="QYK54"/>
      <c r="QYL54"/>
      <c r="QYM54"/>
      <c r="QYN54"/>
      <c r="QYO54"/>
      <c r="QYP54"/>
      <c r="QYQ54"/>
      <c r="QYR54"/>
      <c r="QYS54"/>
      <c r="QYT54"/>
      <c r="QYU54"/>
      <c r="QYV54"/>
      <c r="QYW54"/>
      <c r="QYX54"/>
      <c r="QYY54"/>
      <c r="QYZ54"/>
      <c r="QZA54"/>
      <c r="QZB54"/>
      <c r="QZC54"/>
      <c r="QZD54"/>
      <c r="QZE54"/>
      <c r="QZF54"/>
      <c r="QZG54"/>
      <c r="QZH54"/>
      <c r="QZI54"/>
      <c r="QZJ54"/>
      <c r="QZK54"/>
      <c r="QZL54"/>
      <c r="QZM54"/>
      <c r="QZN54"/>
      <c r="QZO54"/>
      <c r="QZP54"/>
      <c r="QZQ54"/>
      <c r="QZR54"/>
      <c r="QZS54"/>
      <c r="QZT54"/>
      <c r="QZU54"/>
      <c r="QZV54"/>
      <c r="QZW54"/>
      <c r="QZX54"/>
      <c r="QZY54"/>
      <c r="QZZ54"/>
      <c r="RAA54"/>
      <c r="RAB54"/>
      <c r="RAC54"/>
      <c r="RAD54"/>
      <c r="RAE54"/>
      <c r="RAF54"/>
      <c r="RAG54"/>
      <c r="RAH54"/>
      <c r="RAI54"/>
      <c r="RAJ54"/>
      <c r="RAK54"/>
      <c r="RAL54"/>
      <c r="RAM54"/>
      <c r="RAN54"/>
      <c r="RAO54"/>
      <c r="RAP54"/>
      <c r="RAQ54"/>
      <c r="RAR54"/>
      <c r="RAS54"/>
      <c r="RAT54"/>
      <c r="RAU54"/>
      <c r="RAV54"/>
      <c r="RAW54"/>
      <c r="RAX54"/>
      <c r="RAY54"/>
      <c r="RAZ54"/>
      <c r="RBA54"/>
      <c r="RBB54"/>
      <c r="RBC54"/>
      <c r="RBD54"/>
      <c r="RBE54"/>
      <c r="RBF54"/>
      <c r="RBG54"/>
      <c r="RBH54"/>
      <c r="RBI54"/>
      <c r="RBJ54"/>
      <c r="RBK54"/>
      <c r="RBL54"/>
      <c r="RBM54"/>
      <c r="RBN54"/>
      <c r="RBO54"/>
      <c r="RBP54"/>
      <c r="RBQ54"/>
      <c r="RBR54"/>
      <c r="RBS54"/>
      <c r="RBT54"/>
      <c r="RBU54"/>
      <c r="RBV54"/>
      <c r="RBW54"/>
      <c r="RBX54"/>
      <c r="RBY54"/>
      <c r="RBZ54"/>
      <c r="RCA54"/>
      <c r="RCB54"/>
      <c r="RCC54"/>
      <c r="RCD54"/>
      <c r="RCE54"/>
      <c r="RCF54"/>
      <c r="RCG54"/>
      <c r="RCH54"/>
      <c r="RCI54"/>
      <c r="RCJ54"/>
      <c r="RCK54"/>
      <c r="RCL54"/>
      <c r="RCM54"/>
      <c r="RCN54"/>
      <c r="RCO54"/>
      <c r="RCP54"/>
      <c r="RCQ54"/>
      <c r="RCR54"/>
      <c r="RCS54"/>
      <c r="RCT54"/>
      <c r="RCU54"/>
      <c r="RCV54"/>
      <c r="RCW54"/>
      <c r="RCX54"/>
      <c r="RCY54"/>
      <c r="RCZ54"/>
      <c r="RDA54"/>
      <c r="RDB54"/>
      <c r="RDC54"/>
      <c r="RDD54"/>
      <c r="RDE54"/>
      <c r="RDF54"/>
      <c r="RDG54"/>
      <c r="RDH54"/>
      <c r="RDI54"/>
      <c r="RDJ54"/>
      <c r="RDK54"/>
      <c r="RDL54"/>
      <c r="RDM54"/>
      <c r="RDN54"/>
      <c r="RDO54"/>
      <c r="RDP54"/>
      <c r="RDQ54"/>
      <c r="RDR54"/>
      <c r="RDS54"/>
      <c r="RDT54"/>
      <c r="RDU54"/>
      <c r="RDV54"/>
      <c r="RDW54"/>
      <c r="RDX54"/>
      <c r="RDY54"/>
      <c r="RDZ54"/>
      <c r="REA54"/>
      <c r="REB54"/>
      <c r="REC54"/>
      <c r="RED54"/>
      <c r="REE54"/>
      <c r="REF54"/>
      <c r="REG54"/>
      <c r="REH54"/>
      <c r="REI54"/>
      <c r="REJ54"/>
      <c r="REK54"/>
      <c r="REL54"/>
      <c r="REM54"/>
      <c r="REN54"/>
      <c r="REO54"/>
      <c r="REP54"/>
      <c r="REQ54"/>
      <c r="RER54"/>
      <c r="RES54"/>
      <c r="RET54"/>
      <c r="REU54"/>
      <c r="REV54"/>
      <c r="REW54"/>
      <c r="REX54"/>
      <c r="REY54"/>
      <c r="REZ54"/>
      <c r="RFA54"/>
      <c r="RFB54"/>
      <c r="RFC54"/>
      <c r="RFD54"/>
      <c r="RFE54"/>
      <c r="RFF54"/>
      <c r="RFG54"/>
      <c r="RFH54"/>
      <c r="RFI54"/>
      <c r="RFJ54"/>
      <c r="RFK54"/>
      <c r="RFL54"/>
      <c r="RFM54"/>
      <c r="RFN54"/>
      <c r="RFO54"/>
      <c r="RFP54"/>
      <c r="RFQ54"/>
      <c r="RFR54"/>
      <c r="RFS54"/>
      <c r="RFT54"/>
      <c r="RFU54"/>
      <c r="RFV54"/>
      <c r="RFW54"/>
      <c r="RFX54"/>
      <c r="RFY54"/>
      <c r="RFZ54"/>
      <c r="RGA54"/>
      <c r="RGB54"/>
      <c r="RGC54"/>
      <c r="RGD54"/>
      <c r="RGE54"/>
      <c r="RGF54"/>
      <c r="RGG54"/>
      <c r="RGH54"/>
      <c r="RGI54"/>
      <c r="RGJ54"/>
      <c r="RGK54"/>
      <c r="RGL54"/>
      <c r="RGM54"/>
      <c r="RGN54"/>
      <c r="RGO54"/>
      <c r="RGP54"/>
      <c r="RGQ54"/>
      <c r="RGR54"/>
      <c r="RGS54"/>
      <c r="RGT54"/>
      <c r="RGU54"/>
      <c r="RGV54"/>
      <c r="RGW54"/>
      <c r="RGX54"/>
      <c r="RGY54"/>
      <c r="RGZ54"/>
      <c r="RHA54"/>
      <c r="RHB54"/>
      <c r="RHC54"/>
      <c r="RHD54"/>
      <c r="RHE54"/>
      <c r="RHF54"/>
      <c r="RHG54"/>
      <c r="RHH54"/>
      <c r="RHI54"/>
      <c r="RHJ54"/>
      <c r="RHK54"/>
      <c r="RHL54"/>
      <c r="RHM54"/>
      <c r="RHN54"/>
      <c r="RHO54"/>
      <c r="RHP54"/>
      <c r="RHQ54"/>
      <c r="RHR54"/>
      <c r="RHS54"/>
      <c r="RHT54"/>
      <c r="RHU54"/>
      <c r="RHV54"/>
      <c r="RHW54"/>
      <c r="RHX54"/>
      <c r="RHY54"/>
      <c r="RHZ54"/>
      <c r="RIA54"/>
      <c r="RIB54"/>
      <c r="RIC54"/>
      <c r="RID54"/>
      <c r="RIE54"/>
      <c r="RIF54"/>
      <c r="RIG54"/>
      <c r="RIH54"/>
      <c r="RII54"/>
      <c r="RIJ54"/>
      <c r="RIK54"/>
      <c r="RIL54"/>
      <c r="RIM54"/>
      <c r="RIN54"/>
      <c r="RIO54"/>
      <c r="RIP54"/>
      <c r="RIQ54"/>
      <c r="RIR54"/>
      <c r="RIS54"/>
      <c r="RIT54"/>
      <c r="RIU54"/>
      <c r="RIV54"/>
      <c r="RIW54"/>
      <c r="RIX54"/>
      <c r="RIY54"/>
      <c r="RIZ54"/>
      <c r="RJA54"/>
      <c r="RJB54"/>
      <c r="RJC54"/>
      <c r="RJD54"/>
      <c r="RJE54"/>
      <c r="RJF54"/>
      <c r="RJG54"/>
      <c r="RJH54"/>
      <c r="RJI54"/>
      <c r="RJJ54"/>
      <c r="RJK54"/>
      <c r="RJL54"/>
      <c r="RJM54"/>
      <c r="RJN54"/>
      <c r="RJO54"/>
      <c r="RJP54"/>
      <c r="RJQ54"/>
      <c r="RJR54"/>
      <c r="RJS54"/>
      <c r="RJT54"/>
      <c r="RJU54"/>
      <c r="RJV54"/>
      <c r="RJW54"/>
      <c r="RJX54"/>
      <c r="RJY54"/>
      <c r="RJZ54"/>
      <c r="RKA54"/>
      <c r="RKB54"/>
      <c r="RKC54"/>
      <c r="RKD54"/>
      <c r="RKE54"/>
      <c r="RKF54"/>
      <c r="RKG54"/>
      <c r="RKH54"/>
      <c r="RKI54"/>
      <c r="RKJ54"/>
      <c r="RKK54"/>
      <c r="RKL54"/>
      <c r="RKM54"/>
      <c r="RKN54"/>
      <c r="RKO54"/>
      <c r="RKP54"/>
      <c r="RKQ54"/>
      <c r="RKR54"/>
      <c r="RKS54"/>
      <c r="RKT54"/>
      <c r="RKU54"/>
      <c r="RKV54"/>
      <c r="RKW54"/>
      <c r="RKX54"/>
      <c r="RKY54"/>
      <c r="RKZ54"/>
      <c r="RLA54"/>
      <c r="RLB54"/>
      <c r="RLC54"/>
      <c r="RLD54"/>
      <c r="RLE54"/>
      <c r="RLF54"/>
      <c r="RLG54"/>
      <c r="RLH54"/>
      <c r="RLI54"/>
      <c r="RLJ54"/>
      <c r="RLK54"/>
      <c r="RLL54"/>
      <c r="RLM54"/>
      <c r="RLN54"/>
      <c r="RLO54"/>
      <c r="RLP54"/>
      <c r="RLQ54"/>
      <c r="RLR54"/>
      <c r="RLS54"/>
      <c r="RLT54"/>
      <c r="RLU54"/>
      <c r="RLV54"/>
      <c r="RLW54"/>
      <c r="RLX54"/>
      <c r="RLY54"/>
      <c r="RLZ54"/>
      <c r="RMA54"/>
      <c r="RMB54"/>
      <c r="RMC54"/>
      <c r="RMD54"/>
      <c r="RME54"/>
      <c r="RMF54"/>
      <c r="RMG54"/>
      <c r="RMH54"/>
      <c r="RMI54"/>
      <c r="RMJ54"/>
      <c r="RMK54"/>
      <c r="RML54"/>
      <c r="RMM54"/>
      <c r="RMN54"/>
      <c r="RMO54"/>
      <c r="RMP54"/>
      <c r="RMQ54"/>
      <c r="RMR54"/>
      <c r="RMS54"/>
      <c r="RMT54"/>
      <c r="RMU54"/>
      <c r="RMV54"/>
      <c r="RMW54"/>
      <c r="RMX54"/>
      <c r="RMY54"/>
      <c r="RMZ54"/>
      <c r="RNA54"/>
      <c r="RNB54"/>
      <c r="RNC54"/>
      <c r="RND54"/>
      <c r="RNE54"/>
      <c r="RNF54"/>
      <c r="RNG54"/>
      <c r="RNH54"/>
      <c r="RNI54"/>
      <c r="RNJ54"/>
      <c r="RNK54"/>
      <c r="RNL54"/>
      <c r="RNM54"/>
      <c r="RNN54"/>
      <c r="RNO54"/>
      <c r="RNP54"/>
      <c r="RNQ54"/>
      <c r="RNR54"/>
      <c r="RNS54"/>
      <c r="RNT54"/>
      <c r="RNU54"/>
      <c r="RNV54"/>
      <c r="RNW54"/>
      <c r="RNX54"/>
      <c r="RNY54"/>
      <c r="RNZ54"/>
      <c r="ROA54"/>
      <c r="ROB54"/>
      <c r="ROC54"/>
      <c r="ROD54"/>
      <c r="ROE54"/>
      <c r="ROF54"/>
      <c r="ROG54"/>
      <c r="ROH54"/>
      <c r="ROI54"/>
      <c r="ROJ54"/>
      <c r="ROK54"/>
      <c r="ROL54"/>
      <c r="ROM54"/>
      <c r="RON54"/>
      <c r="ROO54"/>
      <c r="ROP54"/>
      <c r="ROQ54"/>
      <c r="ROR54"/>
      <c r="ROS54"/>
      <c r="ROT54"/>
      <c r="ROU54"/>
      <c r="ROV54"/>
      <c r="ROW54"/>
      <c r="ROX54"/>
      <c r="ROY54"/>
      <c r="ROZ54"/>
      <c r="RPA54"/>
      <c r="RPB54"/>
      <c r="RPC54"/>
      <c r="RPD54"/>
      <c r="RPE54"/>
      <c r="RPF54"/>
      <c r="RPG54"/>
      <c r="RPH54"/>
      <c r="RPI54"/>
      <c r="RPJ54"/>
      <c r="RPK54"/>
      <c r="RPL54"/>
      <c r="RPM54"/>
      <c r="RPN54"/>
      <c r="RPO54"/>
      <c r="RPP54"/>
      <c r="RPQ54"/>
      <c r="RPR54"/>
      <c r="RPS54"/>
      <c r="RPT54"/>
      <c r="RPU54"/>
      <c r="RPV54"/>
      <c r="RPW54"/>
      <c r="RPX54"/>
      <c r="RPY54"/>
      <c r="RPZ54"/>
      <c r="RQA54"/>
      <c r="RQB54"/>
      <c r="RQC54"/>
      <c r="RQD54"/>
      <c r="RQE54"/>
      <c r="RQF54"/>
      <c r="RQG54"/>
      <c r="RQH54"/>
      <c r="RQI54"/>
      <c r="RQJ54"/>
      <c r="RQK54"/>
      <c r="RQL54"/>
      <c r="RQM54"/>
      <c r="RQN54"/>
      <c r="RQO54"/>
      <c r="RQP54"/>
      <c r="RQQ54"/>
      <c r="RQR54"/>
      <c r="RQS54"/>
      <c r="RQT54"/>
      <c r="RQU54"/>
      <c r="RQV54"/>
      <c r="RQW54"/>
      <c r="RQX54"/>
      <c r="RQY54"/>
      <c r="RQZ54"/>
      <c r="RRA54"/>
      <c r="RRB54"/>
      <c r="RRC54"/>
      <c r="RRD54"/>
      <c r="RRE54"/>
      <c r="RRF54"/>
      <c r="RRG54"/>
      <c r="RRH54"/>
      <c r="RRI54"/>
      <c r="RRJ54"/>
      <c r="RRK54"/>
      <c r="RRL54"/>
      <c r="RRM54"/>
      <c r="RRN54"/>
      <c r="RRO54"/>
      <c r="RRP54"/>
      <c r="RRQ54"/>
      <c r="RRR54"/>
      <c r="RRS54"/>
      <c r="RRT54"/>
      <c r="RRU54"/>
      <c r="RRV54"/>
      <c r="RRW54"/>
      <c r="RRX54"/>
      <c r="RRY54"/>
      <c r="RRZ54"/>
      <c r="RSA54"/>
      <c r="RSB54"/>
      <c r="RSC54"/>
      <c r="RSD54"/>
      <c r="RSE54"/>
      <c r="RSF54"/>
      <c r="RSG54"/>
      <c r="RSH54"/>
      <c r="RSI54"/>
      <c r="RSJ54"/>
      <c r="RSK54"/>
      <c r="RSL54"/>
      <c r="RSM54"/>
      <c r="RSN54"/>
      <c r="RSO54"/>
      <c r="RSP54"/>
      <c r="RSQ54"/>
      <c r="RSR54"/>
      <c r="RSS54"/>
      <c r="RST54"/>
      <c r="RSU54"/>
      <c r="RSV54"/>
      <c r="RSW54"/>
      <c r="RSX54"/>
      <c r="RSY54"/>
      <c r="RSZ54"/>
      <c r="RTA54"/>
      <c r="RTB54"/>
      <c r="RTC54"/>
      <c r="RTD54"/>
      <c r="RTE54"/>
      <c r="RTF54"/>
      <c r="RTG54"/>
      <c r="RTH54"/>
      <c r="RTI54"/>
      <c r="RTJ54"/>
      <c r="RTK54"/>
      <c r="RTL54"/>
      <c r="RTM54"/>
      <c r="RTN54"/>
      <c r="RTO54"/>
      <c r="RTP54"/>
      <c r="RTQ54"/>
      <c r="RTR54"/>
      <c r="RTS54"/>
      <c r="RTT54"/>
      <c r="RTU54"/>
      <c r="RTV54"/>
      <c r="RTW54"/>
      <c r="RTX54"/>
      <c r="RTY54"/>
      <c r="RTZ54"/>
      <c r="RUA54"/>
      <c r="RUB54"/>
      <c r="RUC54"/>
      <c r="RUD54"/>
      <c r="RUE54"/>
      <c r="RUF54"/>
      <c r="RUG54"/>
      <c r="RUH54"/>
      <c r="RUI54"/>
      <c r="RUJ54"/>
      <c r="RUK54"/>
      <c r="RUL54"/>
      <c r="RUM54"/>
      <c r="RUN54"/>
      <c r="RUO54"/>
      <c r="RUP54"/>
      <c r="RUQ54"/>
      <c r="RUR54"/>
      <c r="RUS54"/>
      <c r="RUT54"/>
      <c r="RUU54"/>
      <c r="RUV54"/>
      <c r="RUW54"/>
      <c r="RUX54"/>
      <c r="RUY54"/>
      <c r="RUZ54"/>
      <c r="RVA54"/>
      <c r="RVB54"/>
      <c r="RVC54"/>
      <c r="RVD54"/>
      <c r="RVE54"/>
      <c r="RVF54"/>
      <c r="RVG54"/>
      <c r="RVH54"/>
      <c r="RVI54"/>
      <c r="RVJ54"/>
      <c r="RVK54"/>
      <c r="RVL54"/>
      <c r="RVM54"/>
      <c r="RVN54"/>
      <c r="RVO54"/>
      <c r="RVP54"/>
      <c r="RVQ54"/>
      <c r="RVR54"/>
      <c r="RVS54"/>
      <c r="RVT54"/>
      <c r="RVU54"/>
      <c r="RVV54"/>
      <c r="RVW54"/>
      <c r="RVX54"/>
      <c r="RVY54"/>
      <c r="RVZ54"/>
      <c r="RWA54"/>
      <c r="RWB54"/>
      <c r="RWC54"/>
      <c r="RWD54"/>
      <c r="RWE54"/>
      <c r="RWF54"/>
      <c r="RWG54"/>
      <c r="RWH54"/>
      <c r="RWI54"/>
      <c r="RWJ54"/>
      <c r="RWK54"/>
      <c r="RWL54"/>
      <c r="RWM54"/>
      <c r="RWN54"/>
      <c r="RWO54"/>
      <c r="RWP54"/>
      <c r="RWQ54"/>
      <c r="RWR54"/>
      <c r="RWS54"/>
      <c r="RWT54"/>
      <c r="RWU54"/>
      <c r="RWV54"/>
      <c r="RWW54"/>
      <c r="RWX54"/>
      <c r="RWY54"/>
      <c r="RWZ54"/>
      <c r="RXA54"/>
      <c r="RXB54"/>
      <c r="RXC54"/>
      <c r="RXD54"/>
      <c r="RXE54"/>
      <c r="RXF54"/>
      <c r="RXG54"/>
      <c r="RXH54"/>
      <c r="RXI54"/>
      <c r="RXJ54"/>
      <c r="RXK54"/>
      <c r="RXL54"/>
      <c r="RXM54"/>
      <c r="RXN54"/>
      <c r="RXO54"/>
      <c r="RXP54"/>
      <c r="RXQ54"/>
      <c r="RXR54"/>
      <c r="RXS54"/>
      <c r="RXT54"/>
      <c r="RXU54"/>
      <c r="RXV54"/>
      <c r="RXW54"/>
      <c r="RXX54"/>
      <c r="RXY54"/>
      <c r="RXZ54"/>
      <c r="RYA54"/>
      <c r="RYB54"/>
      <c r="RYC54"/>
      <c r="RYD54"/>
      <c r="RYE54"/>
      <c r="RYF54"/>
      <c r="RYG54"/>
      <c r="RYH54"/>
      <c r="RYI54"/>
      <c r="RYJ54"/>
      <c r="RYK54"/>
      <c r="RYL54"/>
      <c r="RYM54"/>
      <c r="RYN54"/>
      <c r="RYO54"/>
      <c r="RYP54"/>
      <c r="RYQ54"/>
      <c r="RYR54"/>
      <c r="RYS54"/>
      <c r="RYT54"/>
      <c r="RYU54"/>
      <c r="RYV54"/>
      <c r="RYW54"/>
      <c r="RYX54"/>
      <c r="RYY54"/>
      <c r="RYZ54"/>
      <c r="RZA54"/>
      <c r="RZB54"/>
      <c r="RZC54"/>
      <c r="RZD54"/>
      <c r="RZE54"/>
      <c r="RZF54"/>
      <c r="RZG54"/>
      <c r="RZH54"/>
      <c r="RZI54"/>
      <c r="RZJ54"/>
      <c r="RZK54"/>
      <c r="RZL54"/>
      <c r="RZM54"/>
      <c r="RZN54"/>
      <c r="RZO54"/>
      <c r="RZP54"/>
      <c r="RZQ54"/>
      <c r="RZR54"/>
      <c r="RZS54"/>
      <c r="RZT54"/>
      <c r="RZU54"/>
      <c r="RZV54"/>
      <c r="RZW54"/>
      <c r="RZX54"/>
      <c r="RZY54"/>
      <c r="RZZ54"/>
      <c r="SAA54"/>
      <c r="SAB54"/>
      <c r="SAC54"/>
      <c r="SAD54"/>
      <c r="SAE54"/>
      <c r="SAF54"/>
      <c r="SAG54"/>
      <c r="SAH54"/>
      <c r="SAI54"/>
      <c r="SAJ54"/>
      <c r="SAK54"/>
      <c r="SAL54"/>
      <c r="SAM54"/>
      <c r="SAN54"/>
      <c r="SAO54"/>
      <c r="SAP54"/>
      <c r="SAQ54"/>
      <c r="SAR54"/>
      <c r="SAS54"/>
      <c r="SAT54"/>
      <c r="SAU54"/>
      <c r="SAV54"/>
      <c r="SAW54"/>
      <c r="SAX54"/>
      <c r="SAY54"/>
      <c r="SAZ54"/>
      <c r="SBA54"/>
      <c r="SBB54"/>
      <c r="SBC54"/>
      <c r="SBD54"/>
      <c r="SBE54"/>
      <c r="SBF54"/>
      <c r="SBG54"/>
      <c r="SBH54"/>
      <c r="SBI54"/>
      <c r="SBJ54"/>
      <c r="SBK54"/>
      <c r="SBL54"/>
      <c r="SBM54"/>
      <c r="SBN54"/>
      <c r="SBO54"/>
      <c r="SBP54"/>
      <c r="SBQ54"/>
      <c r="SBR54"/>
      <c r="SBS54"/>
      <c r="SBT54"/>
      <c r="SBU54"/>
      <c r="SBV54"/>
      <c r="SBW54"/>
      <c r="SBX54"/>
      <c r="SBY54"/>
      <c r="SBZ54"/>
      <c r="SCA54"/>
      <c r="SCB54"/>
      <c r="SCC54"/>
      <c r="SCD54"/>
      <c r="SCE54"/>
      <c r="SCF54"/>
      <c r="SCG54"/>
      <c r="SCH54"/>
      <c r="SCI54"/>
      <c r="SCJ54"/>
      <c r="SCK54"/>
      <c r="SCL54"/>
      <c r="SCM54"/>
      <c r="SCN54"/>
      <c r="SCO54"/>
      <c r="SCP54"/>
      <c r="SCQ54"/>
      <c r="SCR54"/>
      <c r="SCS54"/>
      <c r="SCT54"/>
      <c r="SCU54"/>
      <c r="SCV54"/>
      <c r="SCW54"/>
      <c r="SCX54"/>
      <c r="SCY54"/>
      <c r="SCZ54"/>
      <c r="SDA54"/>
      <c r="SDB54"/>
      <c r="SDC54"/>
      <c r="SDD54"/>
      <c r="SDE54"/>
      <c r="SDF54"/>
      <c r="SDG54"/>
      <c r="SDH54"/>
      <c r="SDI54"/>
      <c r="SDJ54"/>
      <c r="SDK54"/>
      <c r="SDL54"/>
      <c r="SDM54"/>
      <c r="SDN54"/>
      <c r="SDO54"/>
      <c r="SDP54"/>
      <c r="SDQ54"/>
      <c r="SDR54"/>
      <c r="SDS54"/>
      <c r="SDT54"/>
      <c r="SDU54"/>
      <c r="SDV54"/>
      <c r="SDW54"/>
      <c r="SDX54"/>
      <c r="SDY54"/>
      <c r="SDZ54"/>
      <c r="SEA54"/>
      <c r="SEB54"/>
      <c r="SEC54"/>
      <c r="SED54"/>
      <c r="SEE54"/>
      <c r="SEF54"/>
      <c r="SEG54"/>
      <c r="SEH54"/>
      <c r="SEI54"/>
      <c r="SEJ54"/>
      <c r="SEK54"/>
      <c r="SEL54"/>
      <c r="SEM54"/>
      <c r="SEN54"/>
      <c r="SEO54"/>
      <c r="SEP54"/>
      <c r="SEQ54"/>
      <c r="SER54"/>
      <c r="SES54"/>
      <c r="SET54"/>
      <c r="SEU54"/>
      <c r="SEV54"/>
      <c r="SEW54"/>
      <c r="SEX54"/>
      <c r="SEY54"/>
      <c r="SEZ54"/>
      <c r="SFA54"/>
      <c r="SFB54"/>
      <c r="SFC54"/>
      <c r="SFD54"/>
      <c r="SFE54"/>
      <c r="SFF54"/>
      <c r="SFG54"/>
      <c r="SFH54"/>
      <c r="SFI54"/>
      <c r="SFJ54"/>
      <c r="SFK54"/>
      <c r="SFL54"/>
      <c r="SFM54"/>
      <c r="SFN54"/>
      <c r="SFO54"/>
      <c r="SFP54"/>
      <c r="SFQ54"/>
      <c r="SFR54"/>
      <c r="SFS54"/>
      <c r="SFT54"/>
      <c r="SFU54"/>
      <c r="SFV54"/>
      <c r="SFW54"/>
      <c r="SFX54"/>
      <c r="SFY54"/>
      <c r="SFZ54"/>
      <c r="SGA54"/>
      <c r="SGB54"/>
      <c r="SGC54"/>
      <c r="SGD54"/>
      <c r="SGE54"/>
      <c r="SGF54"/>
      <c r="SGG54"/>
      <c r="SGH54"/>
      <c r="SGI54"/>
      <c r="SGJ54"/>
      <c r="SGK54"/>
      <c r="SGL54"/>
      <c r="SGM54"/>
      <c r="SGN54"/>
      <c r="SGO54"/>
      <c r="SGP54"/>
      <c r="SGQ54"/>
      <c r="SGR54"/>
      <c r="SGS54"/>
      <c r="SGT54"/>
      <c r="SGU54"/>
      <c r="SGV54"/>
      <c r="SGW54"/>
      <c r="SGX54"/>
      <c r="SGY54"/>
      <c r="SGZ54"/>
      <c r="SHA54"/>
      <c r="SHB54"/>
      <c r="SHC54"/>
      <c r="SHD54"/>
      <c r="SHE54"/>
      <c r="SHF54"/>
      <c r="SHG54"/>
      <c r="SHH54"/>
      <c r="SHI54"/>
      <c r="SHJ54"/>
      <c r="SHK54"/>
      <c r="SHL54"/>
      <c r="SHM54"/>
      <c r="SHN54"/>
      <c r="SHO54"/>
      <c r="SHP54"/>
      <c r="SHQ54"/>
      <c r="SHR54"/>
      <c r="SHS54"/>
      <c r="SHT54"/>
      <c r="SHU54"/>
      <c r="SHV54"/>
      <c r="SHW54"/>
      <c r="SHX54"/>
      <c r="SHY54"/>
      <c r="SHZ54"/>
      <c r="SIA54"/>
      <c r="SIB54"/>
      <c r="SIC54"/>
      <c r="SID54"/>
      <c r="SIE54"/>
      <c r="SIF54"/>
      <c r="SIG54"/>
      <c r="SIH54"/>
      <c r="SII54"/>
      <c r="SIJ54"/>
      <c r="SIK54"/>
      <c r="SIL54"/>
      <c r="SIM54"/>
      <c r="SIN54"/>
      <c r="SIO54"/>
      <c r="SIP54"/>
      <c r="SIQ54"/>
      <c r="SIR54"/>
      <c r="SIS54"/>
      <c r="SIT54"/>
      <c r="SIU54"/>
      <c r="SIV54"/>
      <c r="SIW54"/>
      <c r="SIX54"/>
      <c r="SIY54"/>
      <c r="SIZ54"/>
      <c r="SJA54"/>
      <c r="SJB54"/>
      <c r="SJC54"/>
      <c r="SJD54"/>
      <c r="SJE54"/>
      <c r="SJF54"/>
      <c r="SJG54"/>
      <c r="SJH54"/>
      <c r="SJI54"/>
      <c r="SJJ54"/>
      <c r="SJK54"/>
      <c r="SJL54"/>
      <c r="SJM54"/>
      <c r="SJN54"/>
      <c r="SJO54"/>
      <c r="SJP54"/>
      <c r="SJQ54"/>
      <c r="SJR54"/>
      <c r="SJS54"/>
      <c r="SJT54"/>
      <c r="SJU54"/>
      <c r="SJV54"/>
      <c r="SJW54"/>
      <c r="SJX54"/>
      <c r="SJY54"/>
      <c r="SJZ54"/>
      <c r="SKA54"/>
      <c r="SKB54"/>
      <c r="SKC54"/>
      <c r="SKD54"/>
      <c r="SKE54"/>
      <c r="SKF54"/>
      <c r="SKG54"/>
      <c r="SKH54"/>
      <c r="SKI54"/>
      <c r="SKJ54"/>
      <c r="SKK54"/>
      <c r="SKL54"/>
      <c r="SKM54"/>
      <c r="SKN54"/>
      <c r="SKO54"/>
      <c r="SKP54"/>
      <c r="SKQ54"/>
      <c r="SKR54"/>
      <c r="SKS54"/>
      <c r="SKT54"/>
      <c r="SKU54"/>
      <c r="SKV54"/>
      <c r="SKW54"/>
      <c r="SKX54"/>
      <c r="SKY54"/>
      <c r="SKZ54"/>
      <c r="SLA54"/>
      <c r="SLB54"/>
      <c r="SLC54"/>
      <c r="SLD54"/>
      <c r="SLE54"/>
      <c r="SLF54"/>
      <c r="SLG54"/>
      <c r="SLH54"/>
      <c r="SLI54"/>
      <c r="SLJ54"/>
      <c r="SLK54"/>
      <c r="SLL54"/>
      <c r="SLM54"/>
      <c r="SLN54"/>
      <c r="SLO54"/>
      <c r="SLP54"/>
      <c r="SLQ54"/>
      <c r="SLR54"/>
      <c r="SLS54"/>
      <c r="SLT54"/>
      <c r="SLU54"/>
      <c r="SLV54"/>
      <c r="SLW54"/>
      <c r="SLX54"/>
      <c r="SLY54"/>
      <c r="SLZ54"/>
      <c r="SMA54"/>
      <c r="SMB54"/>
      <c r="SMC54"/>
      <c r="SMD54"/>
      <c r="SME54"/>
      <c r="SMF54"/>
      <c r="SMG54"/>
      <c r="SMH54"/>
      <c r="SMI54"/>
      <c r="SMJ54"/>
      <c r="SMK54"/>
      <c r="SML54"/>
      <c r="SMM54"/>
      <c r="SMN54"/>
      <c r="SMO54"/>
      <c r="SMP54"/>
      <c r="SMQ54"/>
      <c r="SMR54"/>
      <c r="SMS54"/>
      <c r="SMT54"/>
      <c r="SMU54"/>
      <c r="SMV54"/>
      <c r="SMW54"/>
      <c r="SMX54"/>
      <c r="SMY54"/>
      <c r="SMZ54"/>
      <c r="SNA54"/>
      <c r="SNB54"/>
      <c r="SNC54"/>
      <c r="SND54"/>
      <c r="SNE54"/>
      <c r="SNF54"/>
      <c r="SNG54"/>
      <c r="SNH54"/>
      <c r="SNI54"/>
      <c r="SNJ54"/>
      <c r="SNK54"/>
      <c r="SNL54"/>
      <c r="SNM54"/>
      <c r="SNN54"/>
      <c r="SNO54"/>
      <c r="SNP54"/>
      <c r="SNQ54"/>
      <c r="SNR54"/>
      <c r="SNS54"/>
      <c r="SNT54"/>
      <c r="SNU54"/>
      <c r="SNV54"/>
      <c r="SNW54"/>
      <c r="SNX54"/>
      <c r="SNY54"/>
      <c r="SNZ54"/>
      <c r="SOA54"/>
      <c r="SOB54"/>
      <c r="SOC54"/>
      <c r="SOD54"/>
      <c r="SOE54"/>
      <c r="SOF54"/>
      <c r="SOG54"/>
      <c r="SOH54"/>
      <c r="SOI54"/>
      <c r="SOJ54"/>
      <c r="SOK54"/>
      <c r="SOL54"/>
      <c r="SOM54"/>
      <c r="SON54"/>
      <c r="SOO54"/>
      <c r="SOP54"/>
      <c r="SOQ54"/>
      <c r="SOR54"/>
      <c r="SOS54"/>
      <c r="SOT54"/>
      <c r="SOU54"/>
      <c r="SOV54"/>
      <c r="SOW54"/>
      <c r="SOX54"/>
      <c r="SOY54"/>
      <c r="SOZ54"/>
      <c r="SPA54"/>
      <c r="SPB54"/>
      <c r="SPC54"/>
      <c r="SPD54"/>
      <c r="SPE54"/>
      <c r="SPF54"/>
      <c r="SPG54"/>
      <c r="SPH54"/>
      <c r="SPI54"/>
      <c r="SPJ54"/>
      <c r="SPK54"/>
      <c r="SPL54"/>
      <c r="SPM54"/>
      <c r="SPN54"/>
      <c r="SPO54"/>
      <c r="SPP54"/>
      <c r="SPQ54"/>
      <c r="SPR54"/>
      <c r="SPS54"/>
      <c r="SPT54"/>
      <c r="SPU54"/>
      <c r="SPV54"/>
      <c r="SPW54"/>
      <c r="SPX54"/>
      <c r="SPY54"/>
      <c r="SPZ54"/>
      <c r="SQA54"/>
      <c r="SQB54"/>
      <c r="SQC54"/>
      <c r="SQD54"/>
      <c r="SQE54"/>
      <c r="SQF54"/>
      <c r="SQG54"/>
      <c r="SQH54"/>
      <c r="SQI54"/>
      <c r="SQJ54"/>
      <c r="SQK54"/>
      <c r="SQL54"/>
      <c r="SQM54"/>
      <c r="SQN54"/>
      <c r="SQO54"/>
      <c r="SQP54"/>
      <c r="SQQ54"/>
      <c r="SQR54"/>
      <c r="SQS54"/>
      <c r="SQT54"/>
      <c r="SQU54"/>
      <c r="SQV54"/>
      <c r="SQW54"/>
      <c r="SQX54"/>
      <c r="SQY54"/>
      <c r="SQZ54"/>
      <c r="SRA54"/>
      <c r="SRB54"/>
      <c r="SRC54"/>
      <c r="SRD54"/>
      <c r="SRE54"/>
      <c r="SRF54"/>
      <c r="SRG54"/>
      <c r="SRH54"/>
      <c r="SRI54"/>
      <c r="SRJ54"/>
      <c r="SRK54"/>
      <c r="SRL54"/>
      <c r="SRM54"/>
      <c r="SRN54"/>
      <c r="SRO54"/>
      <c r="SRP54"/>
      <c r="SRQ54"/>
      <c r="SRR54"/>
      <c r="SRS54"/>
      <c r="SRT54"/>
      <c r="SRU54"/>
      <c r="SRV54"/>
      <c r="SRW54"/>
      <c r="SRX54"/>
      <c r="SRY54"/>
      <c r="SRZ54"/>
      <c r="SSA54"/>
      <c r="SSB54"/>
      <c r="SSC54"/>
      <c r="SSD54"/>
      <c r="SSE54"/>
      <c r="SSF54"/>
      <c r="SSG54"/>
      <c r="SSH54"/>
      <c r="SSI54"/>
      <c r="SSJ54"/>
      <c r="SSK54"/>
      <c r="SSL54"/>
      <c r="SSM54"/>
      <c r="SSN54"/>
      <c r="SSO54"/>
      <c r="SSP54"/>
      <c r="SSQ54"/>
      <c r="SSR54"/>
      <c r="SSS54"/>
      <c r="SST54"/>
      <c r="SSU54"/>
      <c r="SSV54"/>
      <c r="SSW54"/>
      <c r="SSX54"/>
      <c r="SSY54"/>
      <c r="SSZ54"/>
      <c r="STA54"/>
      <c r="STB54"/>
      <c r="STC54"/>
      <c r="STD54"/>
      <c r="STE54"/>
      <c r="STF54"/>
      <c r="STG54"/>
      <c r="STH54"/>
      <c r="STI54"/>
      <c r="STJ54"/>
      <c r="STK54"/>
      <c r="STL54"/>
      <c r="STM54"/>
      <c r="STN54"/>
      <c r="STO54"/>
      <c r="STP54"/>
      <c r="STQ54"/>
      <c r="STR54"/>
      <c r="STS54"/>
      <c r="STT54"/>
      <c r="STU54"/>
      <c r="STV54"/>
      <c r="STW54"/>
      <c r="STX54"/>
      <c r="STY54"/>
      <c r="STZ54"/>
      <c r="SUA54"/>
      <c r="SUB54"/>
      <c r="SUC54"/>
      <c r="SUD54"/>
      <c r="SUE54"/>
      <c r="SUF54"/>
      <c r="SUG54"/>
      <c r="SUH54"/>
      <c r="SUI54"/>
      <c r="SUJ54"/>
      <c r="SUK54"/>
      <c r="SUL54"/>
      <c r="SUM54"/>
      <c r="SUN54"/>
      <c r="SUO54"/>
      <c r="SUP54"/>
      <c r="SUQ54"/>
      <c r="SUR54"/>
      <c r="SUS54"/>
      <c r="SUT54"/>
      <c r="SUU54"/>
      <c r="SUV54"/>
      <c r="SUW54"/>
      <c r="SUX54"/>
      <c r="SUY54"/>
      <c r="SUZ54"/>
      <c r="SVA54"/>
      <c r="SVB54"/>
      <c r="SVC54"/>
      <c r="SVD54"/>
      <c r="SVE54"/>
      <c r="SVF54"/>
      <c r="SVG54"/>
      <c r="SVH54"/>
      <c r="SVI54"/>
      <c r="SVJ54"/>
      <c r="SVK54"/>
      <c r="SVL54"/>
      <c r="SVM54"/>
      <c r="SVN54"/>
      <c r="SVO54"/>
      <c r="SVP54"/>
      <c r="SVQ54"/>
      <c r="SVR54"/>
      <c r="SVS54"/>
      <c r="SVT54"/>
      <c r="SVU54"/>
      <c r="SVV54"/>
      <c r="SVW54"/>
      <c r="SVX54"/>
      <c r="SVY54"/>
      <c r="SVZ54"/>
      <c r="SWA54"/>
      <c r="SWB54"/>
      <c r="SWC54"/>
      <c r="SWD54"/>
      <c r="SWE54"/>
      <c r="SWF54"/>
      <c r="SWG54"/>
      <c r="SWH54"/>
      <c r="SWI54"/>
      <c r="SWJ54"/>
      <c r="SWK54"/>
      <c r="SWL54"/>
      <c r="SWM54"/>
      <c r="SWN54"/>
      <c r="SWO54"/>
      <c r="SWP54"/>
      <c r="SWQ54"/>
      <c r="SWR54"/>
      <c r="SWS54"/>
      <c r="SWT54"/>
      <c r="SWU54"/>
      <c r="SWV54"/>
      <c r="SWW54"/>
      <c r="SWX54"/>
      <c r="SWY54"/>
      <c r="SWZ54"/>
      <c r="SXA54"/>
      <c r="SXB54"/>
      <c r="SXC54"/>
      <c r="SXD54"/>
      <c r="SXE54"/>
      <c r="SXF54"/>
      <c r="SXG54"/>
      <c r="SXH54"/>
      <c r="SXI54"/>
      <c r="SXJ54"/>
      <c r="SXK54"/>
      <c r="SXL54"/>
      <c r="SXM54"/>
      <c r="SXN54"/>
      <c r="SXO54"/>
      <c r="SXP54"/>
      <c r="SXQ54"/>
      <c r="SXR54"/>
      <c r="SXS54"/>
      <c r="SXT54"/>
      <c r="SXU54"/>
      <c r="SXV54"/>
      <c r="SXW54"/>
      <c r="SXX54"/>
      <c r="SXY54"/>
      <c r="SXZ54"/>
      <c r="SYA54"/>
      <c r="SYB54"/>
      <c r="SYC54"/>
      <c r="SYD54"/>
      <c r="SYE54"/>
      <c r="SYF54"/>
      <c r="SYG54"/>
      <c r="SYH54"/>
      <c r="SYI54"/>
      <c r="SYJ54"/>
      <c r="SYK54"/>
      <c r="SYL54"/>
      <c r="SYM54"/>
      <c r="SYN54"/>
      <c r="SYO54"/>
      <c r="SYP54"/>
      <c r="SYQ54"/>
      <c r="SYR54"/>
      <c r="SYS54"/>
      <c r="SYT54"/>
      <c r="SYU54"/>
      <c r="SYV54"/>
      <c r="SYW54"/>
      <c r="SYX54"/>
      <c r="SYY54"/>
      <c r="SYZ54"/>
      <c r="SZA54"/>
      <c r="SZB54"/>
      <c r="SZC54"/>
      <c r="SZD54"/>
      <c r="SZE54"/>
      <c r="SZF54"/>
      <c r="SZG54"/>
      <c r="SZH54"/>
      <c r="SZI54"/>
      <c r="SZJ54"/>
      <c r="SZK54"/>
      <c r="SZL54"/>
      <c r="SZM54"/>
      <c r="SZN54"/>
      <c r="SZO54"/>
      <c r="SZP54"/>
      <c r="SZQ54"/>
      <c r="SZR54"/>
      <c r="SZS54"/>
      <c r="SZT54"/>
      <c r="SZU54"/>
      <c r="SZV54"/>
      <c r="SZW54"/>
      <c r="SZX54"/>
      <c r="SZY54"/>
      <c r="SZZ54"/>
      <c r="TAA54"/>
      <c r="TAB54"/>
      <c r="TAC54"/>
      <c r="TAD54"/>
      <c r="TAE54"/>
      <c r="TAF54"/>
      <c r="TAG54"/>
      <c r="TAH54"/>
      <c r="TAI54"/>
      <c r="TAJ54"/>
      <c r="TAK54"/>
      <c r="TAL54"/>
      <c r="TAM54"/>
      <c r="TAN54"/>
      <c r="TAO54"/>
      <c r="TAP54"/>
      <c r="TAQ54"/>
      <c r="TAR54"/>
      <c r="TAS54"/>
      <c r="TAT54"/>
      <c r="TAU54"/>
      <c r="TAV54"/>
      <c r="TAW54"/>
      <c r="TAX54"/>
      <c r="TAY54"/>
      <c r="TAZ54"/>
      <c r="TBA54"/>
      <c r="TBB54"/>
      <c r="TBC54"/>
      <c r="TBD54"/>
      <c r="TBE54"/>
      <c r="TBF54"/>
      <c r="TBG54"/>
      <c r="TBH54"/>
      <c r="TBI54"/>
      <c r="TBJ54"/>
      <c r="TBK54"/>
      <c r="TBL54"/>
      <c r="TBM54"/>
      <c r="TBN54"/>
      <c r="TBO54"/>
      <c r="TBP54"/>
      <c r="TBQ54"/>
      <c r="TBR54"/>
      <c r="TBS54"/>
      <c r="TBT54"/>
      <c r="TBU54"/>
      <c r="TBV54"/>
      <c r="TBW54"/>
      <c r="TBX54"/>
      <c r="TBY54"/>
      <c r="TBZ54"/>
      <c r="TCA54"/>
      <c r="TCB54"/>
      <c r="TCC54"/>
      <c r="TCD54"/>
      <c r="TCE54"/>
      <c r="TCF54"/>
      <c r="TCG54"/>
      <c r="TCH54"/>
      <c r="TCI54"/>
      <c r="TCJ54"/>
      <c r="TCK54"/>
      <c r="TCL54"/>
      <c r="TCM54"/>
      <c r="TCN54"/>
      <c r="TCO54"/>
      <c r="TCP54"/>
      <c r="TCQ54"/>
      <c r="TCR54"/>
      <c r="TCS54"/>
      <c r="TCT54"/>
      <c r="TCU54"/>
      <c r="TCV54"/>
      <c r="TCW54"/>
      <c r="TCX54"/>
      <c r="TCY54"/>
      <c r="TCZ54"/>
      <c r="TDA54"/>
      <c r="TDB54"/>
      <c r="TDC54"/>
      <c r="TDD54"/>
      <c r="TDE54"/>
      <c r="TDF54"/>
      <c r="TDG54"/>
      <c r="TDH54"/>
      <c r="TDI54"/>
      <c r="TDJ54"/>
      <c r="TDK54"/>
      <c r="TDL54"/>
      <c r="TDM54"/>
      <c r="TDN54"/>
      <c r="TDO54"/>
      <c r="TDP54"/>
      <c r="TDQ54"/>
      <c r="TDR54"/>
      <c r="TDS54"/>
      <c r="TDT54"/>
      <c r="TDU54"/>
      <c r="TDV54"/>
      <c r="TDW54"/>
      <c r="TDX54"/>
      <c r="TDY54"/>
      <c r="TDZ54"/>
      <c r="TEA54"/>
      <c r="TEB54"/>
      <c r="TEC54"/>
      <c r="TED54"/>
      <c r="TEE54"/>
      <c r="TEF54"/>
      <c r="TEG54"/>
      <c r="TEH54"/>
      <c r="TEI54"/>
      <c r="TEJ54"/>
      <c r="TEK54"/>
      <c r="TEL54"/>
      <c r="TEM54"/>
      <c r="TEN54"/>
      <c r="TEO54"/>
      <c r="TEP54"/>
      <c r="TEQ54"/>
      <c r="TER54"/>
      <c r="TES54"/>
      <c r="TET54"/>
      <c r="TEU54"/>
      <c r="TEV54"/>
      <c r="TEW54"/>
      <c r="TEX54"/>
      <c r="TEY54"/>
      <c r="TEZ54"/>
      <c r="TFA54"/>
      <c r="TFB54"/>
      <c r="TFC54"/>
      <c r="TFD54"/>
      <c r="TFE54"/>
      <c r="TFF54"/>
      <c r="TFG54"/>
      <c r="TFH54"/>
      <c r="TFI54"/>
      <c r="TFJ54"/>
      <c r="TFK54"/>
      <c r="TFL54"/>
      <c r="TFM54"/>
      <c r="TFN54"/>
      <c r="TFO54"/>
      <c r="TFP54"/>
      <c r="TFQ54"/>
      <c r="TFR54"/>
      <c r="TFS54"/>
      <c r="TFT54"/>
      <c r="TFU54"/>
      <c r="TFV54"/>
      <c r="TFW54"/>
      <c r="TFX54"/>
      <c r="TFY54"/>
      <c r="TFZ54"/>
      <c r="TGA54"/>
      <c r="TGB54"/>
      <c r="TGC54"/>
      <c r="TGD54"/>
      <c r="TGE54"/>
      <c r="TGF54"/>
      <c r="TGG54"/>
      <c r="TGH54"/>
      <c r="TGI54"/>
      <c r="TGJ54"/>
      <c r="TGK54"/>
      <c r="TGL54"/>
      <c r="TGM54"/>
      <c r="TGN54"/>
      <c r="TGO54"/>
      <c r="TGP54"/>
      <c r="TGQ54"/>
      <c r="TGR54"/>
      <c r="TGS54"/>
      <c r="TGT54"/>
      <c r="TGU54"/>
      <c r="TGV54"/>
      <c r="TGW54"/>
      <c r="TGX54"/>
      <c r="TGY54"/>
      <c r="TGZ54"/>
      <c r="THA54"/>
      <c r="THB54"/>
      <c r="THC54"/>
      <c r="THD54"/>
      <c r="THE54"/>
      <c r="THF54"/>
      <c r="THG54"/>
      <c r="THH54"/>
      <c r="THI54"/>
      <c r="THJ54"/>
      <c r="THK54"/>
      <c r="THL54"/>
      <c r="THM54"/>
      <c r="THN54"/>
      <c r="THO54"/>
      <c r="THP54"/>
      <c r="THQ54"/>
      <c r="THR54"/>
      <c r="THS54"/>
      <c r="THT54"/>
      <c r="THU54"/>
      <c r="THV54"/>
      <c r="THW54"/>
      <c r="THX54"/>
      <c r="THY54"/>
      <c r="THZ54"/>
      <c r="TIA54"/>
      <c r="TIB54"/>
      <c r="TIC54"/>
      <c r="TID54"/>
      <c r="TIE54"/>
      <c r="TIF54"/>
      <c r="TIG54"/>
      <c r="TIH54"/>
      <c r="TII54"/>
      <c r="TIJ54"/>
      <c r="TIK54"/>
      <c r="TIL54"/>
      <c r="TIM54"/>
      <c r="TIN54"/>
      <c r="TIO54"/>
      <c r="TIP54"/>
      <c r="TIQ54"/>
      <c r="TIR54"/>
      <c r="TIS54"/>
      <c r="TIT54"/>
      <c r="TIU54"/>
      <c r="TIV54"/>
      <c r="TIW54"/>
      <c r="TIX54"/>
      <c r="TIY54"/>
      <c r="TIZ54"/>
      <c r="TJA54"/>
      <c r="TJB54"/>
      <c r="TJC54"/>
      <c r="TJD54"/>
      <c r="TJE54"/>
      <c r="TJF54"/>
      <c r="TJG54"/>
      <c r="TJH54"/>
      <c r="TJI54"/>
      <c r="TJJ54"/>
      <c r="TJK54"/>
      <c r="TJL54"/>
      <c r="TJM54"/>
      <c r="TJN54"/>
      <c r="TJO54"/>
      <c r="TJP54"/>
      <c r="TJQ54"/>
      <c r="TJR54"/>
      <c r="TJS54"/>
      <c r="TJT54"/>
      <c r="TJU54"/>
      <c r="TJV54"/>
      <c r="TJW54"/>
      <c r="TJX54"/>
      <c r="TJY54"/>
      <c r="TJZ54"/>
      <c r="TKA54"/>
      <c r="TKB54"/>
      <c r="TKC54"/>
      <c r="TKD54"/>
      <c r="TKE54"/>
      <c r="TKF54"/>
      <c r="TKG54"/>
      <c r="TKH54"/>
      <c r="TKI54"/>
      <c r="TKJ54"/>
      <c r="TKK54"/>
      <c r="TKL54"/>
      <c r="TKM54"/>
      <c r="TKN54"/>
      <c r="TKO54"/>
      <c r="TKP54"/>
      <c r="TKQ54"/>
      <c r="TKR54"/>
      <c r="TKS54"/>
      <c r="TKT54"/>
      <c r="TKU54"/>
      <c r="TKV54"/>
      <c r="TKW54"/>
      <c r="TKX54"/>
      <c r="TKY54"/>
      <c r="TKZ54"/>
      <c r="TLA54"/>
      <c r="TLB54"/>
      <c r="TLC54"/>
      <c r="TLD54"/>
      <c r="TLE54"/>
      <c r="TLF54"/>
      <c r="TLG54"/>
      <c r="TLH54"/>
      <c r="TLI54"/>
      <c r="TLJ54"/>
      <c r="TLK54"/>
      <c r="TLL54"/>
      <c r="TLM54"/>
      <c r="TLN54"/>
      <c r="TLO54"/>
      <c r="TLP54"/>
      <c r="TLQ54"/>
      <c r="TLR54"/>
      <c r="TLS54"/>
      <c r="TLT54"/>
      <c r="TLU54"/>
      <c r="TLV54"/>
      <c r="TLW54"/>
      <c r="TLX54"/>
      <c r="TLY54"/>
      <c r="TLZ54"/>
      <c r="TMA54"/>
      <c r="TMB54"/>
      <c r="TMC54"/>
      <c r="TMD54"/>
      <c r="TME54"/>
      <c r="TMF54"/>
      <c r="TMG54"/>
      <c r="TMH54"/>
      <c r="TMI54"/>
      <c r="TMJ54"/>
      <c r="TMK54"/>
      <c r="TML54"/>
      <c r="TMM54"/>
      <c r="TMN54"/>
      <c r="TMO54"/>
      <c r="TMP54"/>
      <c r="TMQ54"/>
      <c r="TMR54"/>
      <c r="TMS54"/>
      <c r="TMT54"/>
      <c r="TMU54"/>
      <c r="TMV54"/>
      <c r="TMW54"/>
      <c r="TMX54"/>
      <c r="TMY54"/>
      <c r="TMZ54"/>
      <c r="TNA54"/>
      <c r="TNB54"/>
      <c r="TNC54"/>
      <c r="TND54"/>
      <c r="TNE54"/>
      <c r="TNF54"/>
      <c r="TNG54"/>
      <c r="TNH54"/>
      <c r="TNI54"/>
      <c r="TNJ54"/>
      <c r="TNK54"/>
      <c r="TNL54"/>
      <c r="TNM54"/>
      <c r="TNN54"/>
      <c r="TNO54"/>
      <c r="TNP54"/>
      <c r="TNQ54"/>
      <c r="TNR54"/>
      <c r="TNS54"/>
      <c r="TNT54"/>
      <c r="TNU54"/>
      <c r="TNV54"/>
      <c r="TNW54"/>
      <c r="TNX54"/>
      <c r="TNY54"/>
      <c r="TNZ54"/>
      <c r="TOA54"/>
      <c r="TOB54"/>
      <c r="TOC54"/>
      <c r="TOD54"/>
      <c r="TOE54"/>
      <c r="TOF54"/>
      <c r="TOG54"/>
      <c r="TOH54"/>
      <c r="TOI54"/>
      <c r="TOJ54"/>
      <c r="TOK54"/>
      <c r="TOL54"/>
      <c r="TOM54"/>
      <c r="TON54"/>
      <c r="TOO54"/>
      <c r="TOP54"/>
      <c r="TOQ54"/>
      <c r="TOR54"/>
      <c r="TOS54"/>
      <c r="TOT54"/>
      <c r="TOU54"/>
      <c r="TOV54"/>
      <c r="TOW54"/>
      <c r="TOX54"/>
      <c r="TOY54"/>
      <c r="TOZ54"/>
      <c r="TPA54"/>
      <c r="TPB54"/>
      <c r="TPC54"/>
      <c r="TPD54"/>
      <c r="TPE54"/>
      <c r="TPF54"/>
      <c r="TPG54"/>
      <c r="TPH54"/>
      <c r="TPI54"/>
      <c r="TPJ54"/>
      <c r="TPK54"/>
      <c r="TPL54"/>
      <c r="TPM54"/>
      <c r="TPN54"/>
      <c r="TPO54"/>
      <c r="TPP54"/>
      <c r="TPQ54"/>
      <c r="TPR54"/>
      <c r="TPS54"/>
      <c r="TPT54"/>
      <c r="TPU54"/>
      <c r="TPV54"/>
      <c r="TPW54"/>
      <c r="TPX54"/>
      <c r="TPY54"/>
      <c r="TPZ54"/>
      <c r="TQA54"/>
      <c r="TQB54"/>
      <c r="TQC54"/>
      <c r="TQD54"/>
      <c r="TQE54"/>
      <c r="TQF54"/>
      <c r="TQG54"/>
      <c r="TQH54"/>
      <c r="TQI54"/>
      <c r="TQJ54"/>
      <c r="TQK54"/>
      <c r="TQL54"/>
      <c r="TQM54"/>
      <c r="TQN54"/>
      <c r="TQO54"/>
      <c r="TQP54"/>
      <c r="TQQ54"/>
      <c r="TQR54"/>
      <c r="TQS54"/>
      <c r="TQT54"/>
      <c r="TQU54"/>
      <c r="TQV54"/>
      <c r="TQW54"/>
      <c r="TQX54"/>
      <c r="TQY54"/>
      <c r="TQZ54"/>
      <c r="TRA54"/>
      <c r="TRB54"/>
      <c r="TRC54"/>
      <c r="TRD54"/>
      <c r="TRE54"/>
      <c r="TRF54"/>
      <c r="TRG54"/>
      <c r="TRH54"/>
      <c r="TRI54"/>
      <c r="TRJ54"/>
      <c r="TRK54"/>
      <c r="TRL54"/>
      <c r="TRM54"/>
      <c r="TRN54"/>
      <c r="TRO54"/>
      <c r="TRP54"/>
      <c r="TRQ54"/>
      <c r="TRR54"/>
      <c r="TRS54"/>
      <c r="TRT54"/>
      <c r="TRU54"/>
      <c r="TRV54"/>
      <c r="TRW54"/>
      <c r="TRX54"/>
      <c r="TRY54"/>
      <c r="TRZ54"/>
      <c r="TSA54"/>
      <c r="TSB54"/>
      <c r="TSC54"/>
      <c r="TSD54"/>
      <c r="TSE54"/>
      <c r="TSF54"/>
      <c r="TSG54"/>
      <c r="TSH54"/>
      <c r="TSI54"/>
      <c r="TSJ54"/>
      <c r="TSK54"/>
      <c r="TSL54"/>
      <c r="TSM54"/>
      <c r="TSN54"/>
      <c r="TSO54"/>
      <c r="TSP54"/>
      <c r="TSQ54"/>
      <c r="TSR54"/>
      <c r="TSS54"/>
      <c r="TST54"/>
      <c r="TSU54"/>
      <c r="TSV54"/>
      <c r="TSW54"/>
      <c r="TSX54"/>
      <c r="TSY54"/>
      <c r="TSZ54"/>
      <c r="TTA54"/>
      <c r="TTB54"/>
      <c r="TTC54"/>
      <c r="TTD54"/>
      <c r="TTE54"/>
      <c r="TTF54"/>
      <c r="TTG54"/>
      <c r="TTH54"/>
      <c r="TTI54"/>
      <c r="TTJ54"/>
      <c r="TTK54"/>
      <c r="TTL54"/>
      <c r="TTM54"/>
      <c r="TTN54"/>
      <c r="TTO54"/>
      <c r="TTP54"/>
      <c r="TTQ54"/>
      <c r="TTR54"/>
      <c r="TTS54"/>
      <c r="TTT54"/>
      <c r="TTU54"/>
      <c r="TTV54"/>
      <c r="TTW54"/>
      <c r="TTX54"/>
      <c r="TTY54"/>
      <c r="TTZ54"/>
      <c r="TUA54"/>
      <c r="TUB54"/>
      <c r="TUC54"/>
      <c r="TUD54"/>
      <c r="TUE54"/>
      <c r="TUF54"/>
      <c r="TUG54"/>
      <c r="TUH54"/>
      <c r="TUI54"/>
      <c r="TUJ54"/>
      <c r="TUK54"/>
      <c r="TUL54"/>
      <c r="TUM54"/>
      <c r="TUN54"/>
      <c r="TUO54"/>
      <c r="TUP54"/>
      <c r="TUQ54"/>
      <c r="TUR54"/>
      <c r="TUS54"/>
      <c r="TUT54"/>
      <c r="TUU54"/>
      <c r="TUV54"/>
      <c r="TUW54"/>
      <c r="TUX54"/>
      <c r="TUY54"/>
      <c r="TUZ54"/>
      <c r="TVA54"/>
      <c r="TVB54"/>
      <c r="TVC54"/>
      <c r="TVD54"/>
      <c r="TVE54"/>
      <c r="TVF54"/>
      <c r="TVG54"/>
      <c r="TVH54"/>
      <c r="TVI54"/>
      <c r="TVJ54"/>
      <c r="TVK54"/>
      <c r="TVL54"/>
      <c r="TVM54"/>
      <c r="TVN54"/>
      <c r="TVO54"/>
      <c r="TVP54"/>
      <c r="TVQ54"/>
      <c r="TVR54"/>
      <c r="TVS54"/>
      <c r="TVT54"/>
      <c r="TVU54"/>
      <c r="TVV54"/>
      <c r="TVW54"/>
      <c r="TVX54"/>
      <c r="TVY54"/>
      <c r="TVZ54"/>
      <c r="TWA54"/>
      <c r="TWB54"/>
      <c r="TWC54"/>
      <c r="TWD54"/>
      <c r="TWE54"/>
      <c r="TWF54"/>
      <c r="TWG54"/>
      <c r="TWH54"/>
      <c r="TWI54"/>
      <c r="TWJ54"/>
      <c r="TWK54"/>
      <c r="TWL54"/>
      <c r="TWM54"/>
      <c r="TWN54"/>
      <c r="TWO54"/>
      <c r="TWP54"/>
      <c r="TWQ54"/>
      <c r="TWR54"/>
      <c r="TWS54"/>
      <c r="TWT54"/>
      <c r="TWU54"/>
      <c r="TWV54"/>
      <c r="TWW54"/>
      <c r="TWX54"/>
      <c r="TWY54"/>
      <c r="TWZ54"/>
      <c r="TXA54"/>
      <c r="TXB54"/>
      <c r="TXC54"/>
      <c r="TXD54"/>
      <c r="TXE54"/>
      <c r="TXF54"/>
      <c r="TXG54"/>
      <c r="TXH54"/>
      <c r="TXI54"/>
      <c r="TXJ54"/>
      <c r="TXK54"/>
      <c r="TXL54"/>
      <c r="TXM54"/>
      <c r="TXN54"/>
      <c r="TXO54"/>
      <c r="TXP54"/>
      <c r="TXQ54"/>
      <c r="TXR54"/>
      <c r="TXS54"/>
      <c r="TXT54"/>
      <c r="TXU54"/>
      <c r="TXV54"/>
      <c r="TXW54"/>
      <c r="TXX54"/>
      <c r="TXY54"/>
      <c r="TXZ54"/>
      <c r="TYA54"/>
      <c r="TYB54"/>
      <c r="TYC54"/>
      <c r="TYD54"/>
      <c r="TYE54"/>
      <c r="TYF54"/>
      <c r="TYG54"/>
      <c r="TYH54"/>
      <c r="TYI54"/>
      <c r="TYJ54"/>
      <c r="TYK54"/>
      <c r="TYL54"/>
      <c r="TYM54"/>
      <c r="TYN54"/>
      <c r="TYO54"/>
      <c r="TYP54"/>
      <c r="TYQ54"/>
      <c r="TYR54"/>
      <c r="TYS54"/>
      <c r="TYT54"/>
      <c r="TYU54"/>
      <c r="TYV54"/>
      <c r="TYW54"/>
      <c r="TYX54"/>
      <c r="TYY54"/>
      <c r="TYZ54"/>
      <c r="TZA54"/>
      <c r="TZB54"/>
      <c r="TZC54"/>
      <c r="TZD54"/>
      <c r="TZE54"/>
      <c r="TZF54"/>
      <c r="TZG54"/>
      <c r="TZH54"/>
      <c r="TZI54"/>
      <c r="TZJ54"/>
      <c r="TZK54"/>
      <c r="TZL54"/>
      <c r="TZM54"/>
      <c r="TZN54"/>
      <c r="TZO54"/>
      <c r="TZP54"/>
      <c r="TZQ54"/>
      <c r="TZR54"/>
      <c r="TZS54"/>
      <c r="TZT54"/>
      <c r="TZU54"/>
      <c r="TZV54"/>
      <c r="TZW54"/>
      <c r="TZX54"/>
      <c r="TZY54"/>
      <c r="TZZ54"/>
      <c r="UAA54"/>
      <c r="UAB54"/>
      <c r="UAC54"/>
      <c r="UAD54"/>
      <c r="UAE54"/>
      <c r="UAF54"/>
      <c r="UAG54"/>
      <c r="UAH54"/>
      <c r="UAI54"/>
      <c r="UAJ54"/>
      <c r="UAK54"/>
      <c r="UAL54"/>
      <c r="UAM54"/>
      <c r="UAN54"/>
      <c r="UAO54"/>
      <c r="UAP54"/>
      <c r="UAQ54"/>
      <c r="UAR54"/>
      <c r="UAS54"/>
      <c r="UAT54"/>
      <c r="UAU54"/>
      <c r="UAV54"/>
      <c r="UAW54"/>
      <c r="UAX54"/>
      <c r="UAY54"/>
      <c r="UAZ54"/>
      <c r="UBA54"/>
      <c r="UBB54"/>
      <c r="UBC54"/>
      <c r="UBD54"/>
      <c r="UBE54"/>
      <c r="UBF54"/>
      <c r="UBG54"/>
      <c r="UBH54"/>
      <c r="UBI54"/>
      <c r="UBJ54"/>
      <c r="UBK54"/>
      <c r="UBL54"/>
      <c r="UBM54"/>
      <c r="UBN54"/>
      <c r="UBO54"/>
      <c r="UBP54"/>
      <c r="UBQ54"/>
      <c r="UBR54"/>
      <c r="UBS54"/>
      <c r="UBT54"/>
      <c r="UBU54"/>
      <c r="UBV54"/>
      <c r="UBW54"/>
      <c r="UBX54"/>
      <c r="UBY54"/>
      <c r="UBZ54"/>
      <c r="UCA54"/>
      <c r="UCB54"/>
      <c r="UCC54"/>
      <c r="UCD54"/>
      <c r="UCE54"/>
      <c r="UCF54"/>
      <c r="UCG54"/>
      <c r="UCH54"/>
      <c r="UCI54"/>
      <c r="UCJ54"/>
      <c r="UCK54"/>
      <c r="UCL54"/>
      <c r="UCM54"/>
      <c r="UCN54"/>
      <c r="UCO54"/>
      <c r="UCP54"/>
      <c r="UCQ54"/>
      <c r="UCR54"/>
      <c r="UCS54"/>
      <c r="UCT54"/>
      <c r="UCU54"/>
      <c r="UCV54"/>
      <c r="UCW54"/>
      <c r="UCX54"/>
      <c r="UCY54"/>
      <c r="UCZ54"/>
      <c r="UDA54"/>
      <c r="UDB54"/>
      <c r="UDC54"/>
      <c r="UDD54"/>
      <c r="UDE54"/>
      <c r="UDF54"/>
      <c r="UDG54"/>
      <c r="UDH54"/>
      <c r="UDI54"/>
      <c r="UDJ54"/>
      <c r="UDK54"/>
      <c r="UDL54"/>
      <c r="UDM54"/>
      <c r="UDN54"/>
      <c r="UDO54"/>
      <c r="UDP54"/>
      <c r="UDQ54"/>
      <c r="UDR54"/>
      <c r="UDS54"/>
      <c r="UDT54"/>
      <c r="UDU54"/>
      <c r="UDV54"/>
      <c r="UDW54"/>
      <c r="UDX54"/>
      <c r="UDY54"/>
      <c r="UDZ54"/>
      <c r="UEA54"/>
      <c r="UEB54"/>
      <c r="UEC54"/>
      <c r="UED54"/>
      <c r="UEE54"/>
      <c r="UEF54"/>
      <c r="UEG54"/>
      <c r="UEH54"/>
      <c r="UEI54"/>
      <c r="UEJ54"/>
      <c r="UEK54"/>
      <c r="UEL54"/>
      <c r="UEM54"/>
      <c r="UEN54"/>
      <c r="UEO54"/>
      <c r="UEP54"/>
      <c r="UEQ54"/>
      <c r="UER54"/>
      <c r="UES54"/>
      <c r="UET54"/>
      <c r="UEU54"/>
      <c r="UEV54"/>
      <c r="UEW54"/>
      <c r="UEX54"/>
      <c r="UEY54"/>
      <c r="UEZ54"/>
      <c r="UFA54"/>
      <c r="UFB54"/>
      <c r="UFC54"/>
      <c r="UFD54"/>
      <c r="UFE54"/>
      <c r="UFF54"/>
      <c r="UFG54"/>
      <c r="UFH54"/>
      <c r="UFI54"/>
      <c r="UFJ54"/>
      <c r="UFK54"/>
      <c r="UFL54"/>
      <c r="UFM54"/>
      <c r="UFN54"/>
      <c r="UFO54"/>
      <c r="UFP54"/>
      <c r="UFQ54"/>
      <c r="UFR54"/>
      <c r="UFS54"/>
      <c r="UFT54"/>
      <c r="UFU54"/>
      <c r="UFV54"/>
      <c r="UFW54"/>
      <c r="UFX54"/>
      <c r="UFY54"/>
      <c r="UFZ54"/>
      <c r="UGA54"/>
      <c r="UGB54"/>
      <c r="UGC54"/>
      <c r="UGD54"/>
      <c r="UGE54"/>
      <c r="UGF54"/>
      <c r="UGG54"/>
      <c r="UGH54"/>
      <c r="UGI54"/>
      <c r="UGJ54"/>
      <c r="UGK54"/>
      <c r="UGL54"/>
      <c r="UGM54"/>
      <c r="UGN54"/>
      <c r="UGO54"/>
      <c r="UGP54"/>
      <c r="UGQ54"/>
      <c r="UGR54"/>
      <c r="UGS54"/>
      <c r="UGT54"/>
      <c r="UGU54"/>
      <c r="UGV54"/>
      <c r="UGW54"/>
      <c r="UGX54"/>
      <c r="UGY54"/>
      <c r="UGZ54"/>
      <c r="UHA54"/>
      <c r="UHB54"/>
      <c r="UHC54"/>
      <c r="UHD54"/>
      <c r="UHE54"/>
      <c r="UHF54"/>
      <c r="UHG54"/>
      <c r="UHH54"/>
      <c r="UHI54"/>
      <c r="UHJ54"/>
      <c r="UHK54"/>
      <c r="UHL54"/>
      <c r="UHM54"/>
      <c r="UHN54"/>
      <c r="UHO54"/>
      <c r="UHP54"/>
      <c r="UHQ54"/>
      <c r="UHR54"/>
      <c r="UHS54"/>
      <c r="UHT54"/>
      <c r="UHU54"/>
      <c r="UHV54"/>
      <c r="UHW54"/>
      <c r="UHX54"/>
      <c r="UHY54"/>
      <c r="UHZ54"/>
      <c r="UIA54"/>
      <c r="UIB54"/>
      <c r="UIC54"/>
      <c r="UID54"/>
      <c r="UIE54"/>
      <c r="UIF54"/>
      <c r="UIG54"/>
      <c r="UIH54"/>
      <c r="UII54"/>
      <c r="UIJ54"/>
      <c r="UIK54"/>
      <c r="UIL54"/>
      <c r="UIM54"/>
      <c r="UIN54"/>
      <c r="UIO54"/>
      <c r="UIP54"/>
      <c r="UIQ54"/>
      <c r="UIR54"/>
      <c r="UIS54"/>
      <c r="UIT54"/>
      <c r="UIU54"/>
      <c r="UIV54"/>
      <c r="UIW54"/>
      <c r="UIX54"/>
      <c r="UIY54"/>
      <c r="UIZ54"/>
      <c r="UJA54"/>
      <c r="UJB54"/>
      <c r="UJC54"/>
      <c r="UJD54"/>
      <c r="UJE54"/>
      <c r="UJF54"/>
      <c r="UJG54"/>
      <c r="UJH54"/>
      <c r="UJI54"/>
      <c r="UJJ54"/>
      <c r="UJK54"/>
      <c r="UJL54"/>
      <c r="UJM54"/>
      <c r="UJN54"/>
      <c r="UJO54"/>
      <c r="UJP54"/>
      <c r="UJQ54"/>
      <c r="UJR54"/>
      <c r="UJS54"/>
      <c r="UJT54"/>
      <c r="UJU54"/>
      <c r="UJV54"/>
      <c r="UJW54"/>
      <c r="UJX54"/>
      <c r="UJY54"/>
      <c r="UJZ54"/>
      <c r="UKA54"/>
      <c r="UKB54"/>
      <c r="UKC54"/>
      <c r="UKD54"/>
      <c r="UKE54"/>
      <c r="UKF54"/>
      <c r="UKG54"/>
      <c r="UKH54"/>
      <c r="UKI54"/>
      <c r="UKJ54"/>
      <c r="UKK54"/>
      <c r="UKL54"/>
      <c r="UKM54"/>
      <c r="UKN54"/>
      <c r="UKO54"/>
      <c r="UKP54"/>
      <c r="UKQ54"/>
      <c r="UKR54"/>
      <c r="UKS54"/>
      <c r="UKT54"/>
      <c r="UKU54"/>
      <c r="UKV54"/>
      <c r="UKW54"/>
      <c r="UKX54"/>
      <c r="UKY54"/>
      <c r="UKZ54"/>
      <c r="ULA54"/>
      <c r="ULB54"/>
      <c r="ULC54"/>
      <c r="ULD54"/>
      <c r="ULE54"/>
      <c r="ULF54"/>
      <c r="ULG54"/>
      <c r="ULH54"/>
      <c r="ULI54"/>
      <c r="ULJ54"/>
      <c r="ULK54"/>
      <c r="ULL54"/>
      <c r="ULM54"/>
      <c r="ULN54"/>
      <c r="ULO54"/>
      <c r="ULP54"/>
      <c r="ULQ54"/>
      <c r="ULR54"/>
      <c r="ULS54"/>
      <c r="ULT54"/>
      <c r="ULU54"/>
      <c r="ULV54"/>
      <c r="ULW54"/>
      <c r="ULX54"/>
      <c r="ULY54"/>
      <c r="ULZ54"/>
      <c r="UMA54"/>
      <c r="UMB54"/>
      <c r="UMC54"/>
      <c r="UMD54"/>
      <c r="UME54"/>
      <c r="UMF54"/>
      <c r="UMG54"/>
      <c r="UMH54"/>
      <c r="UMI54"/>
      <c r="UMJ54"/>
      <c r="UMK54"/>
      <c r="UML54"/>
      <c r="UMM54"/>
      <c r="UMN54"/>
      <c r="UMO54"/>
      <c r="UMP54"/>
      <c r="UMQ54"/>
      <c r="UMR54"/>
      <c r="UMS54"/>
      <c r="UMT54"/>
      <c r="UMU54"/>
      <c r="UMV54"/>
      <c r="UMW54"/>
      <c r="UMX54"/>
      <c r="UMY54"/>
      <c r="UMZ54"/>
      <c r="UNA54"/>
      <c r="UNB54"/>
      <c r="UNC54"/>
      <c r="UND54"/>
      <c r="UNE54"/>
      <c r="UNF54"/>
      <c r="UNG54"/>
      <c r="UNH54"/>
      <c r="UNI54"/>
      <c r="UNJ54"/>
      <c r="UNK54"/>
      <c r="UNL54"/>
      <c r="UNM54"/>
      <c r="UNN54"/>
      <c r="UNO54"/>
      <c r="UNP54"/>
      <c r="UNQ54"/>
      <c r="UNR54"/>
      <c r="UNS54"/>
      <c r="UNT54"/>
      <c r="UNU54"/>
      <c r="UNV54"/>
      <c r="UNW54"/>
      <c r="UNX54"/>
      <c r="UNY54"/>
      <c r="UNZ54"/>
      <c r="UOA54"/>
      <c r="UOB54"/>
      <c r="UOC54"/>
      <c r="UOD54"/>
      <c r="UOE54"/>
      <c r="UOF54"/>
      <c r="UOG54"/>
      <c r="UOH54"/>
      <c r="UOI54"/>
      <c r="UOJ54"/>
      <c r="UOK54"/>
      <c r="UOL54"/>
      <c r="UOM54"/>
      <c r="UON54"/>
      <c r="UOO54"/>
      <c r="UOP54"/>
      <c r="UOQ54"/>
      <c r="UOR54"/>
      <c r="UOS54"/>
      <c r="UOT54"/>
      <c r="UOU54"/>
      <c r="UOV54"/>
      <c r="UOW54"/>
      <c r="UOX54"/>
      <c r="UOY54"/>
      <c r="UOZ54"/>
      <c r="UPA54"/>
      <c r="UPB54"/>
      <c r="UPC54"/>
      <c r="UPD54"/>
      <c r="UPE54"/>
      <c r="UPF54"/>
      <c r="UPG54"/>
      <c r="UPH54"/>
      <c r="UPI54"/>
      <c r="UPJ54"/>
      <c r="UPK54"/>
      <c r="UPL54"/>
      <c r="UPM54"/>
      <c r="UPN54"/>
      <c r="UPO54"/>
      <c r="UPP54"/>
      <c r="UPQ54"/>
      <c r="UPR54"/>
      <c r="UPS54"/>
      <c r="UPT54"/>
      <c r="UPU54"/>
      <c r="UPV54"/>
      <c r="UPW54"/>
      <c r="UPX54"/>
      <c r="UPY54"/>
      <c r="UPZ54"/>
      <c r="UQA54"/>
      <c r="UQB54"/>
      <c r="UQC54"/>
      <c r="UQD54"/>
      <c r="UQE54"/>
      <c r="UQF54"/>
      <c r="UQG54"/>
      <c r="UQH54"/>
      <c r="UQI54"/>
      <c r="UQJ54"/>
      <c r="UQK54"/>
      <c r="UQL54"/>
      <c r="UQM54"/>
      <c r="UQN54"/>
      <c r="UQO54"/>
      <c r="UQP54"/>
      <c r="UQQ54"/>
      <c r="UQR54"/>
      <c r="UQS54"/>
      <c r="UQT54"/>
      <c r="UQU54"/>
      <c r="UQV54"/>
      <c r="UQW54"/>
      <c r="UQX54"/>
      <c r="UQY54"/>
      <c r="UQZ54"/>
      <c r="URA54"/>
      <c r="URB54"/>
      <c r="URC54"/>
      <c r="URD54"/>
      <c r="URE54"/>
      <c r="URF54"/>
      <c r="URG54"/>
      <c r="URH54"/>
      <c r="URI54"/>
      <c r="URJ54"/>
      <c r="URK54"/>
      <c r="URL54"/>
      <c r="URM54"/>
      <c r="URN54"/>
      <c r="URO54"/>
      <c r="URP54"/>
      <c r="URQ54"/>
      <c r="URR54"/>
      <c r="URS54"/>
      <c r="URT54"/>
      <c r="URU54"/>
      <c r="URV54"/>
      <c r="URW54"/>
      <c r="URX54"/>
      <c r="URY54"/>
      <c r="URZ54"/>
      <c r="USA54"/>
      <c r="USB54"/>
      <c r="USC54"/>
      <c r="USD54"/>
      <c r="USE54"/>
      <c r="USF54"/>
      <c r="USG54"/>
      <c r="USH54"/>
      <c r="USI54"/>
      <c r="USJ54"/>
      <c r="USK54"/>
      <c r="USL54"/>
      <c r="USM54"/>
      <c r="USN54"/>
      <c r="USO54"/>
      <c r="USP54"/>
      <c r="USQ54"/>
      <c r="USR54"/>
      <c r="USS54"/>
      <c r="UST54"/>
      <c r="USU54"/>
      <c r="USV54"/>
      <c r="USW54"/>
      <c r="USX54"/>
      <c r="USY54"/>
      <c r="USZ54"/>
      <c r="UTA54"/>
      <c r="UTB54"/>
      <c r="UTC54"/>
      <c r="UTD54"/>
      <c r="UTE54"/>
      <c r="UTF54"/>
      <c r="UTG54"/>
      <c r="UTH54"/>
      <c r="UTI54"/>
      <c r="UTJ54"/>
      <c r="UTK54"/>
      <c r="UTL54"/>
      <c r="UTM54"/>
      <c r="UTN54"/>
      <c r="UTO54"/>
      <c r="UTP54"/>
      <c r="UTQ54"/>
      <c r="UTR54"/>
      <c r="UTS54"/>
      <c r="UTT54"/>
      <c r="UTU54"/>
      <c r="UTV54"/>
      <c r="UTW54"/>
      <c r="UTX54"/>
      <c r="UTY54"/>
      <c r="UTZ54"/>
      <c r="UUA54"/>
      <c r="UUB54"/>
      <c r="UUC54"/>
      <c r="UUD54"/>
      <c r="UUE54"/>
      <c r="UUF54"/>
      <c r="UUG54"/>
      <c r="UUH54"/>
      <c r="UUI54"/>
      <c r="UUJ54"/>
      <c r="UUK54"/>
      <c r="UUL54"/>
      <c r="UUM54"/>
      <c r="UUN54"/>
      <c r="UUO54"/>
      <c r="UUP54"/>
      <c r="UUQ54"/>
      <c r="UUR54"/>
      <c r="UUS54"/>
      <c r="UUT54"/>
      <c r="UUU54"/>
      <c r="UUV54"/>
      <c r="UUW54"/>
      <c r="UUX54"/>
      <c r="UUY54"/>
      <c r="UUZ54"/>
      <c r="UVA54"/>
      <c r="UVB54"/>
      <c r="UVC54"/>
      <c r="UVD54"/>
      <c r="UVE54"/>
      <c r="UVF54"/>
      <c r="UVG54"/>
      <c r="UVH54"/>
      <c r="UVI54"/>
      <c r="UVJ54"/>
      <c r="UVK54"/>
      <c r="UVL54"/>
      <c r="UVM54"/>
      <c r="UVN54"/>
      <c r="UVO54"/>
      <c r="UVP54"/>
      <c r="UVQ54"/>
      <c r="UVR54"/>
      <c r="UVS54"/>
      <c r="UVT54"/>
      <c r="UVU54"/>
      <c r="UVV54"/>
      <c r="UVW54"/>
      <c r="UVX54"/>
      <c r="UVY54"/>
      <c r="UVZ54"/>
      <c r="UWA54"/>
      <c r="UWB54"/>
      <c r="UWC54"/>
      <c r="UWD54"/>
      <c r="UWE54"/>
      <c r="UWF54"/>
      <c r="UWG54"/>
      <c r="UWH54"/>
      <c r="UWI54"/>
      <c r="UWJ54"/>
      <c r="UWK54"/>
      <c r="UWL54"/>
      <c r="UWM54"/>
      <c r="UWN54"/>
      <c r="UWO54"/>
      <c r="UWP54"/>
      <c r="UWQ54"/>
      <c r="UWR54"/>
      <c r="UWS54"/>
      <c r="UWT54"/>
      <c r="UWU54"/>
      <c r="UWV54"/>
      <c r="UWW54"/>
      <c r="UWX54"/>
      <c r="UWY54"/>
      <c r="UWZ54"/>
      <c r="UXA54"/>
      <c r="UXB54"/>
      <c r="UXC54"/>
      <c r="UXD54"/>
      <c r="UXE54"/>
      <c r="UXF54"/>
      <c r="UXG54"/>
      <c r="UXH54"/>
      <c r="UXI54"/>
      <c r="UXJ54"/>
      <c r="UXK54"/>
      <c r="UXL54"/>
      <c r="UXM54"/>
      <c r="UXN54"/>
      <c r="UXO54"/>
      <c r="UXP54"/>
      <c r="UXQ54"/>
      <c r="UXR54"/>
      <c r="UXS54"/>
      <c r="UXT54"/>
      <c r="UXU54"/>
      <c r="UXV54"/>
      <c r="UXW54"/>
      <c r="UXX54"/>
      <c r="UXY54"/>
      <c r="UXZ54"/>
      <c r="UYA54"/>
      <c r="UYB54"/>
      <c r="UYC54"/>
      <c r="UYD54"/>
      <c r="UYE54"/>
      <c r="UYF54"/>
      <c r="UYG54"/>
      <c r="UYH54"/>
      <c r="UYI54"/>
      <c r="UYJ54"/>
      <c r="UYK54"/>
      <c r="UYL54"/>
      <c r="UYM54"/>
      <c r="UYN54"/>
      <c r="UYO54"/>
      <c r="UYP54"/>
      <c r="UYQ54"/>
      <c r="UYR54"/>
      <c r="UYS54"/>
      <c r="UYT54"/>
      <c r="UYU54"/>
      <c r="UYV54"/>
      <c r="UYW54"/>
      <c r="UYX54"/>
      <c r="UYY54"/>
      <c r="UYZ54"/>
      <c r="UZA54"/>
      <c r="UZB54"/>
      <c r="UZC54"/>
      <c r="UZD54"/>
      <c r="UZE54"/>
      <c r="UZF54"/>
      <c r="UZG54"/>
      <c r="UZH54"/>
      <c r="UZI54"/>
      <c r="UZJ54"/>
      <c r="UZK54"/>
      <c r="UZL54"/>
      <c r="UZM54"/>
      <c r="UZN54"/>
      <c r="UZO54"/>
      <c r="UZP54"/>
      <c r="UZQ54"/>
      <c r="UZR54"/>
      <c r="UZS54"/>
      <c r="UZT54"/>
      <c r="UZU54"/>
      <c r="UZV54"/>
      <c r="UZW54"/>
      <c r="UZX54"/>
      <c r="UZY54"/>
      <c r="UZZ54"/>
      <c r="VAA54"/>
      <c r="VAB54"/>
      <c r="VAC54"/>
      <c r="VAD54"/>
      <c r="VAE54"/>
      <c r="VAF54"/>
      <c r="VAG54"/>
      <c r="VAH54"/>
      <c r="VAI54"/>
      <c r="VAJ54"/>
      <c r="VAK54"/>
      <c r="VAL54"/>
      <c r="VAM54"/>
      <c r="VAN54"/>
      <c r="VAO54"/>
      <c r="VAP54"/>
      <c r="VAQ54"/>
      <c r="VAR54"/>
      <c r="VAS54"/>
      <c r="VAT54"/>
      <c r="VAU54"/>
      <c r="VAV54"/>
      <c r="VAW54"/>
      <c r="VAX54"/>
      <c r="VAY54"/>
      <c r="VAZ54"/>
      <c r="VBA54"/>
      <c r="VBB54"/>
      <c r="VBC54"/>
      <c r="VBD54"/>
      <c r="VBE54"/>
      <c r="VBF54"/>
      <c r="VBG54"/>
      <c r="VBH54"/>
      <c r="VBI54"/>
      <c r="VBJ54"/>
      <c r="VBK54"/>
      <c r="VBL54"/>
      <c r="VBM54"/>
      <c r="VBN54"/>
      <c r="VBO54"/>
      <c r="VBP54"/>
      <c r="VBQ54"/>
      <c r="VBR54"/>
      <c r="VBS54"/>
      <c r="VBT54"/>
      <c r="VBU54"/>
      <c r="VBV54"/>
      <c r="VBW54"/>
      <c r="VBX54"/>
      <c r="VBY54"/>
      <c r="VBZ54"/>
      <c r="VCA54"/>
      <c r="VCB54"/>
      <c r="VCC54"/>
      <c r="VCD54"/>
      <c r="VCE54"/>
      <c r="VCF54"/>
      <c r="VCG54"/>
      <c r="VCH54"/>
      <c r="VCI54"/>
      <c r="VCJ54"/>
      <c r="VCK54"/>
      <c r="VCL54"/>
      <c r="VCM54"/>
      <c r="VCN54"/>
      <c r="VCO54"/>
      <c r="VCP54"/>
      <c r="VCQ54"/>
      <c r="VCR54"/>
      <c r="VCS54"/>
      <c r="VCT54"/>
      <c r="VCU54"/>
      <c r="VCV54"/>
      <c r="VCW54"/>
      <c r="VCX54"/>
      <c r="VCY54"/>
      <c r="VCZ54"/>
      <c r="VDA54"/>
      <c r="VDB54"/>
      <c r="VDC54"/>
      <c r="VDD54"/>
      <c r="VDE54"/>
      <c r="VDF54"/>
      <c r="VDG54"/>
      <c r="VDH54"/>
      <c r="VDI54"/>
      <c r="VDJ54"/>
      <c r="VDK54"/>
      <c r="VDL54"/>
      <c r="VDM54"/>
      <c r="VDN54"/>
      <c r="VDO54"/>
      <c r="VDP54"/>
      <c r="VDQ54"/>
      <c r="VDR54"/>
      <c r="VDS54"/>
      <c r="VDT54"/>
      <c r="VDU54"/>
      <c r="VDV54"/>
      <c r="VDW54"/>
      <c r="VDX54"/>
      <c r="VDY54"/>
      <c r="VDZ54"/>
      <c r="VEA54"/>
      <c r="VEB54"/>
      <c r="VEC54"/>
      <c r="VED54"/>
      <c r="VEE54"/>
      <c r="VEF54"/>
      <c r="VEG54"/>
      <c r="VEH54"/>
      <c r="VEI54"/>
      <c r="VEJ54"/>
      <c r="VEK54"/>
      <c r="VEL54"/>
      <c r="VEM54"/>
      <c r="VEN54"/>
      <c r="VEO54"/>
      <c r="VEP54"/>
      <c r="VEQ54"/>
      <c r="VER54"/>
      <c r="VES54"/>
      <c r="VET54"/>
      <c r="VEU54"/>
      <c r="VEV54"/>
      <c r="VEW54"/>
      <c r="VEX54"/>
      <c r="VEY54"/>
      <c r="VEZ54"/>
      <c r="VFA54"/>
      <c r="VFB54"/>
      <c r="VFC54"/>
      <c r="VFD54"/>
      <c r="VFE54"/>
      <c r="VFF54"/>
      <c r="VFG54"/>
      <c r="VFH54"/>
      <c r="VFI54"/>
      <c r="VFJ54"/>
      <c r="VFK54"/>
      <c r="VFL54"/>
      <c r="VFM54"/>
      <c r="VFN54"/>
      <c r="VFO54"/>
      <c r="VFP54"/>
      <c r="VFQ54"/>
      <c r="VFR54"/>
      <c r="VFS54"/>
      <c r="VFT54"/>
      <c r="VFU54"/>
      <c r="VFV54"/>
      <c r="VFW54"/>
      <c r="VFX54"/>
      <c r="VFY54"/>
      <c r="VFZ54"/>
      <c r="VGA54"/>
      <c r="VGB54"/>
      <c r="VGC54"/>
      <c r="VGD54"/>
      <c r="VGE54"/>
      <c r="VGF54"/>
      <c r="VGG54"/>
      <c r="VGH54"/>
      <c r="VGI54"/>
      <c r="VGJ54"/>
      <c r="VGK54"/>
      <c r="VGL54"/>
      <c r="VGM54"/>
      <c r="VGN54"/>
      <c r="VGO54"/>
      <c r="VGP54"/>
      <c r="VGQ54"/>
      <c r="VGR54"/>
      <c r="VGS54"/>
      <c r="VGT54"/>
      <c r="VGU54"/>
      <c r="VGV54"/>
      <c r="VGW54"/>
      <c r="VGX54"/>
      <c r="VGY54"/>
      <c r="VGZ54"/>
      <c r="VHA54"/>
      <c r="VHB54"/>
      <c r="VHC54"/>
      <c r="VHD54"/>
      <c r="VHE54"/>
      <c r="VHF54"/>
      <c r="VHG54"/>
      <c r="VHH54"/>
      <c r="VHI54"/>
      <c r="VHJ54"/>
      <c r="VHK54"/>
      <c r="VHL54"/>
      <c r="VHM54"/>
      <c r="VHN54"/>
      <c r="VHO54"/>
      <c r="VHP54"/>
      <c r="VHQ54"/>
      <c r="VHR54"/>
      <c r="VHS54"/>
      <c r="VHT54"/>
      <c r="VHU54"/>
      <c r="VHV54"/>
      <c r="VHW54"/>
      <c r="VHX54"/>
      <c r="VHY54"/>
      <c r="VHZ54"/>
      <c r="VIA54"/>
      <c r="VIB54"/>
      <c r="VIC54"/>
      <c r="VID54"/>
      <c r="VIE54"/>
      <c r="VIF54"/>
      <c r="VIG54"/>
      <c r="VIH54"/>
      <c r="VII54"/>
      <c r="VIJ54"/>
      <c r="VIK54"/>
      <c r="VIL54"/>
      <c r="VIM54"/>
      <c r="VIN54"/>
      <c r="VIO54"/>
      <c r="VIP54"/>
      <c r="VIQ54"/>
      <c r="VIR54"/>
      <c r="VIS54"/>
      <c r="VIT54"/>
      <c r="VIU54"/>
      <c r="VIV54"/>
      <c r="VIW54"/>
      <c r="VIX54"/>
      <c r="VIY54"/>
      <c r="VIZ54"/>
      <c r="VJA54"/>
      <c r="VJB54"/>
      <c r="VJC54"/>
      <c r="VJD54"/>
      <c r="VJE54"/>
      <c r="VJF54"/>
      <c r="VJG54"/>
      <c r="VJH54"/>
      <c r="VJI54"/>
      <c r="VJJ54"/>
      <c r="VJK54"/>
      <c r="VJL54"/>
      <c r="VJM54"/>
      <c r="VJN54"/>
      <c r="VJO54"/>
      <c r="VJP54"/>
      <c r="VJQ54"/>
      <c r="VJR54"/>
      <c r="VJS54"/>
      <c r="VJT54"/>
      <c r="VJU54"/>
      <c r="VJV54"/>
      <c r="VJW54"/>
      <c r="VJX54"/>
      <c r="VJY54"/>
      <c r="VJZ54"/>
      <c r="VKA54"/>
      <c r="VKB54"/>
      <c r="VKC54"/>
      <c r="VKD54"/>
      <c r="VKE54"/>
      <c r="VKF54"/>
      <c r="VKG54"/>
      <c r="VKH54"/>
      <c r="VKI54"/>
      <c r="VKJ54"/>
      <c r="VKK54"/>
      <c r="VKL54"/>
      <c r="VKM54"/>
      <c r="VKN54"/>
      <c r="VKO54"/>
      <c r="VKP54"/>
      <c r="VKQ54"/>
      <c r="VKR54"/>
      <c r="VKS54"/>
      <c r="VKT54"/>
      <c r="VKU54"/>
      <c r="VKV54"/>
      <c r="VKW54"/>
      <c r="VKX54"/>
      <c r="VKY54"/>
      <c r="VKZ54"/>
      <c r="VLA54"/>
      <c r="VLB54"/>
      <c r="VLC54"/>
      <c r="VLD54"/>
      <c r="VLE54"/>
      <c r="VLF54"/>
      <c r="VLG54"/>
      <c r="VLH54"/>
      <c r="VLI54"/>
      <c r="VLJ54"/>
      <c r="VLK54"/>
      <c r="VLL54"/>
      <c r="VLM54"/>
      <c r="VLN54"/>
      <c r="VLO54"/>
      <c r="VLP54"/>
      <c r="VLQ54"/>
      <c r="VLR54"/>
      <c r="VLS54"/>
      <c r="VLT54"/>
      <c r="VLU54"/>
      <c r="VLV54"/>
      <c r="VLW54"/>
      <c r="VLX54"/>
      <c r="VLY54"/>
      <c r="VLZ54"/>
      <c r="VMA54"/>
      <c r="VMB54"/>
      <c r="VMC54"/>
      <c r="VMD54"/>
      <c r="VME54"/>
      <c r="VMF54"/>
      <c r="VMG54"/>
      <c r="VMH54"/>
      <c r="VMI54"/>
      <c r="VMJ54"/>
      <c r="VMK54"/>
      <c r="VML54"/>
      <c r="VMM54"/>
      <c r="VMN54"/>
      <c r="VMO54"/>
      <c r="VMP54"/>
      <c r="VMQ54"/>
      <c r="VMR54"/>
      <c r="VMS54"/>
      <c r="VMT54"/>
      <c r="VMU54"/>
      <c r="VMV54"/>
      <c r="VMW54"/>
      <c r="VMX54"/>
      <c r="VMY54"/>
      <c r="VMZ54"/>
      <c r="VNA54"/>
      <c r="VNB54"/>
      <c r="VNC54"/>
      <c r="VND54"/>
      <c r="VNE54"/>
      <c r="VNF54"/>
      <c r="VNG54"/>
      <c r="VNH54"/>
      <c r="VNI54"/>
      <c r="VNJ54"/>
      <c r="VNK54"/>
      <c r="VNL54"/>
      <c r="VNM54"/>
      <c r="VNN54"/>
      <c r="VNO54"/>
      <c r="VNP54"/>
      <c r="VNQ54"/>
      <c r="VNR54"/>
      <c r="VNS54"/>
      <c r="VNT54"/>
      <c r="VNU54"/>
      <c r="VNV54"/>
      <c r="VNW54"/>
      <c r="VNX54"/>
      <c r="VNY54"/>
      <c r="VNZ54"/>
      <c r="VOA54"/>
      <c r="VOB54"/>
      <c r="VOC54"/>
      <c r="VOD54"/>
      <c r="VOE54"/>
      <c r="VOF54"/>
      <c r="VOG54"/>
      <c r="VOH54"/>
      <c r="VOI54"/>
      <c r="VOJ54"/>
      <c r="VOK54"/>
      <c r="VOL54"/>
      <c r="VOM54"/>
      <c r="VON54"/>
      <c r="VOO54"/>
      <c r="VOP54"/>
      <c r="VOQ54"/>
      <c r="VOR54"/>
      <c r="VOS54"/>
      <c r="VOT54"/>
      <c r="VOU54"/>
      <c r="VOV54"/>
      <c r="VOW54"/>
      <c r="VOX54"/>
      <c r="VOY54"/>
      <c r="VOZ54"/>
      <c r="VPA54"/>
      <c r="VPB54"/>
      <c r="VPC54"/>
      <c r="VPD54"/>
      <c r="VPE54"/>
      <c r="VPF54"/>
      <c r="VPG54"/>
      <c r="VPH54"/>
      <c r="VPI54"/>
      <c r="VPJ54"/>
      <c r="VPK54"/>
      <c r="VPL54"/>
      <c r="VPM54"/>
      <c r="VPN54"/>
      <c r="VPO54"/>
      <c r="VPP54"/>
      <c r="VPQ54"/>
      <c r="VPR54"/>
      <c r="VPS54"/>
      <c r="VPT54"/>
      <c r="VPU54"/>
      <c r="VPV54"/>
      <c r="VPW54"/>
      <c r="VPX54"/>
      <c r="VPY54"/>
      <c r="VPZ54"/>
      <c r="VQA54"/>
      <c r="VQB54"/>
      <c r="VQC54"/>
      <c r="VQD54"/>
      <c r="VQE54"/>
      <c r="VQF54"/>
      <c r="VQG54"/>
      <c r="VQH54"/>
      <c r="VQI54"/>
      <c r="VQJ54"/>
      <c r="VQK54"/>
      <c r="VQL54"/>
      <c r="VQM54"/>
      <c r="VQN54"/>
      <c r="VQO54"/>
      <c r="VQP54"/>
      <c r="VQQ54"/>
      <c r="VQR54"/>
      <c r="VQS54"/>
      <c r="VQT54"/>
      <c r="VQU54"/>
      <c r="VQV54"/>
      <c r="VQW54"/>
      <c r="VQX54"/>
      <c r="VQY54"/>
      <c r="VQZ54"/>
      <c r="VRA54"/>
      <c r="VRB54"/>
      <c r="VRC54"/>
      <c r="VRD54"/>
      <c r="VRE54"/>
      <c r="VRF54"/>
      <c r="VRG54"/>
      <c r="VRH54"/>
      <c r="VRI54"/>
      <c r="VRJ54"/>
      <c r="VRK54"/>
      <c r="VRL54"/>
      <c r="VRM54"/>
      <c r="VRN54"/>
      <c r="VRO54"/>
      <c r="VRP54"/>
      <c r="VRQ54"/>
      <c r="VRR54"/>
      <c r="VRS54"/>
      <c r="VRT54"/>
      <c r="VRU54"/>
      <c r="VRV54"/>
      <c r="VRW54"/>
      <c r="VRX54"/>
      <c r="VRY54"/>
      <c r="VRZ54"/>
      <c r="VSA54"/>
      <c r="VSB54"/>
      <c r="VSC54"/>
      <c r="VSD54"/>
      <c r="VSE54"/>
      <c r="VSF54"/>
      <c r="VSG54"/>
      <c r="VSH54"/>
      <c r="VSI54"/>
      <c r="VSJ54"/>
      <c r="VSK54"/>
      <c r="VSL54"/>
      <c r="VSM54"/>
      <c r="VSN54"/>
      <c r="VSO54"/>
      <c r="VSP54"/>
      <c r="VSQ54"/>
      <c r="VSR54"/>
      <c r="VSS54"/>
      <c r="VST54"/>
      <c r="VSU54"/>
      <c r="VSV54"/>
      <c r="VSW54"/>
      <c r="VSX54"/>
      <c r="VSY54"/>
      <c r="VSZ54"/>
      <c r="VTA54"/>
      <c r="VTB54"/>
      <c r="VTC54"/>
      <c r="VTD54"/>
      <c r="VTE54"/>
      <c r="VTF54"/>
      <c r="VTG54"/>
      <c r="VTH54"/>
      <c r="VTI54"/>
      <c r="VTJ54"/>
      <c r="VTK54"/>
      <c r="VTL54"/>
      <c r="VTM54"/>
      <c r="VTN54"/>
      <c r="VTO54"/>
      <c r="VTP54"/>
      <c r="VTQ54"/>
      <c r="VTR54"/>
      <c r="VTS54"/>
      <c r="VTT54"/>
      <c r="VTU54"/>
      <c r="VTV54"/>
      <c r="VTW54"/>
      <c r="VTX54"/>
      <c r="VTY54"/>
      <c r="VTZ54"/>
      <c r="VUA54"/>
      <c r="VUB54"/>
      <c r="VUC54"/>
      <c r="VUD54"/>
      <c r="VUE54"/>
      <c r="VUF54"/>
      <c r="VUG54"/>
      <c r="VUH54"/>
      <c r="VUI54"/>
      <c r="VUJ54"/>
      <c r="VUK54"/>
      <c r="VUL54"/>
      <c r="VUM54"/>
      <c r="VUN54"/>
      <c r="VUO54"/>
      <c r="VUP54"/>
      <c r="VUQ54"/>
      <c r="VUR54"/>
      <c r="VUS54"/>
      <c r="VUT54"/>
      <c r="VUU54"/>
      <c r="VUV54"/>
      <c r="VUW54"/>
      <c r="VUX54"/>
      <c r="VUY54"/>
      <c r="VUZ54"/>
      <c r="VVA54"/>
      <c r="VVB54"/>
      <c r="VVC54"/>
      <c r="VVD54"/>
      <c r="VVE54"/>
      <c r="VVF54"/>
      <c r="VVG54"/>
      <c r="VVH54"/>
      <c r="VVI54"/>
      <c r="VVJ54"/>
      <c r="VVK54"/>
      <c r="VVL54"/>
      <c r="VVM54"/>
      <c r="VVN54"/>
      <c r="VVO54"/>
      <c r="VVP54"/>
      <c r="VVQ54"/>
      <c r="VVR54"/>
      <c r="VVS54"/>
      <c r="VVT54"/>
      <c r="VVU54"/>
      <c r="VVV54"/>
      <c r="VVW54"/>
      <c r="VVX54"/>
      <c r="VVY54"/>
      <c r="VVZ54"/>
      <c r="VWA54"/>
      <c r="VWB54"/>
      <c r="VWC54"/>
      <c r="VWD54"/>
      <c r="VWE54"/>
      <c r="VWF54"/>
      <c r="VWG54"/>
      <c r="VWH54"/>
      <c r="VWI54"/>
      <c r="VWJ54"/>
      <c r="VWK54"/>
      <c r="VWL54"/>
      <c r="VWM54"/>
      <c r="VWN54"/>
      <c r="VWO54"/>
      <c r="VWP54"/>
      <c r="VWQ54"/>
      <c r="VWR54"/>
      <c r="VWS54"/>
      <c r="VWT54"/>
      <c r="VWU54"/>
      <c r="VWV54"/>
      <c r="VWW54"/>
      <c r="VWX54"/>
      <c r="VWY54"/>
      <c r="VWZ54"/>
      <c r="VXA54"/>
      <c r="VXB54"/>
      <c r="VXC54"/>
      <c r="VXD54"/>
      <c r="VXE54"/>
      <c r="VXF54"/>
      <c r="VXG54"/>
      <c r="VXH54"/>
      <c r="VXI54"/>
      <c r="VXJ54"/>
      <c r="VXK54"/>
      <c r="VXL54"/>
      <c r="VXM54"/>
      <c r="VXN54"/>
      <c r="VXO54"/>
      <c r="VXP54"/>
      <c r="VXQ54"/>
      <c r="VXR54"/>
      <c r="VXS54"/>
      <c r="VXT54"/>
      <c r="VXU54"/>
      <c r="VXV54"/>
      <c r="VXW54"/>
      <c r="VXX54"/>
      <c r="VXY54"/>
      <c r="VXZ54"/>
      <c r="VYA54"/>
      <c r="VYB54"/>
      <c r="VYC54"/>
      <c r="VYD54"/>
      <c r="VYE54"/>
      <c r="VYF54"/>
      <c r="VYG54"/>
      <c r="VYH54"/>
      <c r="VYI54"/>
      <c r="VYJ54"/>
      <c r="VYK54"/>
      <c r="VYL54"/>
      <c r="VYM54"/>
      <c r="VYN54"/>
      <c r="VYO54"/>
      <c r="VYP54"/>
      <c r="VYQ54"/>
      <c r="VYR54"/>
      <c r="VYS54"/>
      <c r="VYT54"/>
      <c r="VYU54"/>
      <c r="VYV54"/>
      <c r="VYW54"/>
      <c r="VYX54"/>
      <c r="VYY54"/>
      <c r="VYZ54"/>
      <c r="VZA54"/>
      <c r="VZB54"/>
      <c r="VZC54"/>
      <c r="VZD54"/>
      <c r="VZE54"/>
      <c r="VZF54"/>
      <c r="VZG54"/>
      <c r="VZH54"/>
      <c r="VZI54"/>
      <c r="VZJ54"/>
      <c r="VZK54"/>
      <c r="VZL54"/>
      <c r="VZM54"/>
      <c r="VZN54"/>
      <c r="VZO54"/>
      <c r="VZP54"/>
      <c r="VZQ54"/>
      <c r="VZR54"/>
      <c r="VZS54"/>
      <c r="VZT54"/>
      <c r="VZU54"/>
      <c r="VZV54"/>
      <c r="VZW54"/>
      <c r="VZX54"/>
      <c r="VZY54"/>
      <c r="VZZ54"/>
      <c r="WAA54"/>
      <c r="WAB54"/>
      <c r="WAC54"/>
      <c r="WAD54"/>
      <c r="WAE54"/>
      <c r="WAF54"/>
      <c r="WAG54"/>
      <c r="WAH54"/>
      <c r="WAI54"/>
      <c r="WAJ54"/>
      <c r="WAK54"/>
      <c r="WAL54"/>
      <c r="WAM54"/>
      <c r="WAN54"/>
      <c r="WAO54"/>
      <c r="WAP54"/>
      <c r="WAQ54"/>
      <c r="WAR54"/>
      <c r="WAS54"/>
      <c r="WAT54"/>
      <c r="WAU54"/>
      <c r="WAV54"/>
      <c r="WAW54"/>
      <c r="WAX54"/>
      <c r="WAY54"/>
      <c r="WAZ54"/>
      <c r="WBA54"/>
      <c r="WBB54"/>
      <c r="WBC54"/>
      <c r="WBD54"/>
      <c r="WBE54"/>
      <c r="WBF54"/>
      <c r="WBG54"/>
      <c r="WBH54"/>
      <c r="WBI54"/>
      <c r="WBJ54"/>
      <c r="WBK54"/>
      <c r="WBL54"/>
      <c r="WBM54"/>
      <c r="WBN54"/>
      <c r="WBO54"/>
      <c r="WBP54"/>
      <c r="WBQ54"/>
      <c r="WBR54"/>
      <c r="WBS54"/>
      <c r="WBT54"/>
      <c r="WBU54"/>
      <c r="WBV54"/>
      <c r="WBW54"/>
      <c r="WBX54"/>
      <c r="WBY54"/>
      <c r="WBZ54"/>
      <c r="WCA54"/>
      <c r="WCB54"/>
      <c r="WCC54"/>
      <c r="WCD54"/>
      <c r="WCE54"/>
      <c r="WCF54"/>
      <c r="WCG54"/>
      <c r="WCH54"/>
      <c r="WCI54"/>
      <c r="WCJ54"/>
      <c r="WCK54"/>
      <c r="WCL54"/>
      <c r="WCM54"/>
      <c r="WCN54"/>
      <c r="WCO54"/>
      <c r="WCP54"/>
      <c r="WCQ54"/>
      <c r="WCR54"/>
      <c r="WCS54"/>
      <c r="WCT54"/>
      <c r="WCU54"/>
      <c r="WCV54"/>
      <c r="WCW54"/>
      <c r="WCX54"/>
      <c r="WCY54"/>
      <c r="WCZ54"/>
      <c r="WDA54"/>
      <c r="WDB54"/>
      <c r="WDC54"/>
      <c r="WDD54"/>
      <c r="WDE54"/>
      <c r="WDF54"/>
      <c r="WDG54"/>
      <c r="WDH54"/>
      <c r="WDI54"/>
      <c r="WDJ54"/>
      <c r="WDK54"/>
      <c r="WDL54"/>
      <c r="WDM54"/>
      <c r="WDN54"/>
      <c r="WDO54"/>
      <c r="WDP54"/>
      <c r="WDQ54"/>
      <c r="WDR54"/>
      <c r="WDS54"/>
      <c r="WDT54"/>
      <c r="WDU54"/>
      <c r="WDV54"/>
      <c r="WDW54"/>
      <c r="WDX54"/>
      <c r="WDY54"/>
      <c r="WDZ54"/>
      <c r="WEA54"/>
      <c r="WEB54"/>
      <c r="WEC54"/>
      <c r="WED54"/>
      <c r="WEE54"/>
      <c r="WEF54"/>
      <c r="WEG54"/>
      <c r="WEH54"/>
      <c r="WEI54"/>
      <c r="WEJ54"/>
      <c r="WEK54"/>
      <c r="WEL54"/>
      <c r="WEM54"/>
      <c r="WEN54"/>
      <c r="WEO54"/>
      <c r="WEP54"/>
      <c r="WEQ54"/>
      <c r="WER54"/>
      <c r="WES54"/>
      <c r="WET54"/>
      <c r="WEU54"/>
      <c r="WEV54"/>
      <c r="WEW54"/>
      <c r="WEX54"/>
      <c r="WEY54"/>
      <c r="WEZ54"/>
      <c r="WFA54"/>
      <c r="WFB54"/>
      <c r="WFC54"/>
      <c r="WFD54"/>
      <c r="WFE54"/>
      <c r="WFF54"/>
      <c r="WFG54"/>
      <c r="WFH54"/>
      <c r="WFI54"/>
      <c r="WFJ54"/>
      <c r="WFK54"/>
      <c r="WFL54"/>
      <c r="WFM54"/>
      <c r="WFN54"/>
      <c r="WFO54"/>
      <c r="WFP54"/>
      <c r="WFQ54"/>
      <c r="WFR54"/>
      <c r="WFS54"/>
      <c r="WFT54"/>
      <c r="WFU54"/>
      <c r="WFV54"/>
      <c r="WFW54"/>
      <c r="WFX54"/>
      <c r="WFY54"/>
      <c r="WFZ54"/>
      <c r="WGA54"/>
      <c r="WGB54"/>
      <c r="WGC54"/>
      <c r="WGD54"/>
      <c r="WGE54"/>
      <c r="WGF54"/>
      <c r="WGG54"/>
      <c r="WGH54"/>
      <c r="WGI54"/>
      <c r="WGJ54"/>
      <c r="WGK54"/>
      <c r="WGL54"/>
      <c r="WGM54"/>
      <c r="WGN54"/>
      <c r="WGO54"/>
      <c r="WGP54"/>
      <c r="WGQ54"/>
      <c r="WGR54"/>
      <c r="WGS54"/>
      <c r="WGT54"/>
      <c r="WGU54"/>
      <c r="WGV54"/>
      <c r="WGW54"/>
      <c r="WGX54"/>
      <c r="WGY54"/>
      <c r="WGZ54"/>
      <c r="WHA54"/>
      <c r="WHB54"/>
      <c r="WHC54"/>
      <c r="WHD54"/>
      <c r="WHE54"/>
      <c r="WHF54"/>
      <c r="WHG54"/>
      <c r="WHH54"/>
      <c r="WHI54"/>
      <c r="WHJ54"/>
      <c r="WHK54"/>
      <c r="WHL54"/>
      <c r="WHM54"/>
      <c r="WHN54"/>
      <c r="WHO54"/>
      <c r="WHP54"/>
      <c r="WHQ54"/>
      <c r="WHR54"/>
      <c r="WHS54"/>
      <c r="WHT54"/>
      <c r="WHU54"/>
      <c r="WHV54"/>
      <c r="WHW54"/>
      <c r="WHX54"/>
      <c r="WHY54"/>
      <c r="WHZ54"/>
      <c r="WIA54"/>
      <c r="WIB54"/>
      <c r="WIC54"/>
      <c r="WID54"/>
      <c r="WIE54"/>
      <c r="WIF54"/>
      <c r="WIG54"/>
      <c r="WIH54"/>
      <c r="WII54"/>
      <c r="WIJ54"/>
      <c r="WIK54"/>
      <c r="WIL54"/>
      <c r="WIM54"/>
      <c r="WIN54"/>
      <c r="WIO54"/>
      <c r="WIP54"/>
      <c r="WIQ54"/>
      <c r="WIR54"/>
      <c r="WIS54"/>
      <c r="WIT54"/>
      <c r="WIU54"/>
      <c r="WIV54"/>
      <c r="WIW54"/>
      <c r="WIX54"/>
      <c r="WIY54"/>
      <c r="WIZ54"/>
      <c r="WJA54"/>
      <c r="WJB54"/>
      <c r="WJC54"/>
      <c r="WJD54"/>
      <c r="WJE54"/>
      <c r="WJF54"/>
      <c r="WJG54"/>
      <c r="WJH54"/>
      <c r="WJI54"/>
      <c r="WJJ54"/>
      <c r="WJK54"/>
      <c r="WJL54"/>
      <c r="WJM54"/>
      <c r="WJN54"/>
      <c r="WJO54"/>
      <c r="WJP54"/>
      <c r="WJQ54"/>
      <c r="WJR54"/>
      <c r="WJS54"/>
      <c r="WJT54"/>
      <c r="WJU54"/>
      <c r="WJV54"/>
      <c r="WJW54"/>
      <c r="WJX54"/>
      <c r="WJY54"/>
      <c r="WJZ54"/>
      <c r="WKA54"/>
      <c r="WKB54"/>
      <c r="WKC54"/>
      <c r="WKD54"/>
      <c r="WKE54"/>
      <c r="WKF54"/>
      <c r="WKG54"/>
      <c r="WKH54"/>
      <c r="WKI54"/>
      <c r="WKJ54"/>
      <c r="WKK54"/>
      <c r="WKL54"/>
      <c r="WKM54"/>
      <c r="WKN54"/>
      <c r="WKO54"/>
      <c r="WKP54"/>
      <c r="WKQ54"/>
      <c r="WKR54"/>
      <c r="WKS54"/>
      <c r="WKT54"/>
      <c r="WKU54"/>
      <c r="WKV54"/>
      <c r="WKW54"/>
      <c r="WKX54"/>
      <c r="WKY54"/>
      <c r="WKZ54"/>
      <c r="WLA54"/>
      <c r="WLB54"/>
      <c r="WLC54"/>
      <c r="WLD54"/>
      <c r="WLE54"/>
      <c r="WLF54"/>
      <c r="WLG54"/>
      <c r="WLH54"/>
      <c r="WLI54"/>
      <c r="WLJ54"/>
      <c r="WLK54"/>
      <c r="WLL54"/>
      <c r="WLM54"/>
      <c r="WLN54"/>
      <c r="WLO54"/>
      <c r="WLP54"/>
      <c r="WLQ54"/>
      <c r="WLR54"/>
      <c r="WLS54"/>
      <c r="WLT54"/>
      <c r="WLU54"/>
      <c r="WLV54"/>
      <c r="WLW54"/>
      <c r="WLX54"/>
      <c r="WLY54"/>
      <c r="WLZ54"/>
      <c r="WMA54"/>
      <c r="WMB54"/>
      <c r="WMC54"/>
      <c r="WMD54"/>
      <c r="WME54"/>
      <c r="WMF54"/>
      <c r="WMG54"/>
      <c r="WMH54"/>
      <c r="WMI54"/>
      <c r="WMJ54"/>
      <c r="WMK54"/>
      <c r="WML54"/>
      <c r="WMM54"/>
      <c r="WMN54"/>
      <c r="WMO54"/>
      <c r="WMP54"/>
      <c r="WMQ54"/>
      <c r="WMR54"/>
      <c r="WMS54"/>
      <c r="WMT54"/>
      <c r="WMU54"/>
      <c r="WMV54"/>
      <c r="WMW54"/>
      <c r="WMX54"/>
      <c r="WMY54"/>
      <c r="WMZ54"/>
      <c r="WNA54"/>
      <c r="WNB54"/>
      <c r="WNC54"/>
      <c r="WND54"/>
      <c r="WNE54"/>
      <c r="WNF54"/>
      <c r="WNG54"/>
      <c r="WNH54"/>
      <c r="WNI54"/>
      <c r="WNJ54"/>
      <c r="WNK54"/>
      <c r="WNL54"/>
      <c r="WNM54"/>
      <c r="WNN54"/>
      <c r="WNO54"/>
      <c r="WNP54"/>
      <c r="WNQ54"/>
      <c r="WNR54"/>
      <c r="WNS54"/>
      <c r="WNT54"/>
      <c r="WNU54"/>
      <c r="WNV54"/>
      <c r="WNW54"/>
      <c r="WNX54"/>
      <c r="WNY54"/>
      <c r="WNZ54"/>
      <c r="WOA54"/>
      <c r="WOB54"/>
      <c r="WOC54"/>
      <c r="WOD54"/>
      <c r="WOE54"/>
      <c r="WOF54"/>
      <c r="WOG54"/>
      <c r="WOH54"/>
      <c r="WOI54"/>
      <c r="WOJ54"/>
      <c r="WOK54"/>
      <c r="WOL54"/>
      <c r="WOM54"/>
      <c r="WON54"/>
      <c r="WOO54"/>
      <c r="WOP54"/>
      <c r="WOQ54"/>
      <c r="WOR54"/>
      <c r="WOS54"/>
      <c r="WOT54"/>
      <c r="WOU54"/>
      <c r="WOV54"/>
      <c r="WOW54"/>
      <c r="WOX54"/>
      <c r="WOY54"/>
      <c r="WOZ54"/>
      <c r="WPA54"/>
      <c r="WPB54"/>
      <c r="WPC54"/>
      <c r="WPD54"/>
      <c r="WPE54"/>
      <c r="WPF54"/>
      <c r="WPG54"/>
      <c r="WPH54"/>
      <c r="WPI54"/>
      <c r="WPJ54"/>
      <c r="WPK54"/>
      <c r="WPL54"/>
      <c r="WPM54"/>
      <c r="WPN54"/>
      <c r="WPO54"/>
      <c r="WPP54"/>
      <c r="WPQ54"/>
      <c r="WPR54"/>
      <c r="WPS54"/>
      <c r="WPT54"/>
      <c r="WPU54"/>
      <c r="WPV54"/>
      <c r="WPW54"/>
      <c r="WPX54"/>
      <c r="WPY54"/>
      <c r="WPZ54"/>
      <c r="WQA54"/>
      <c r="WQB54"/>
      <c r="WQC54"/>
      <c r="WQD54"/>
      <c r="WQE54"/>
      <c r="WQF54"/>
      <c r="WQG54"/>
      <c r="WQH54"/>
      <c r="WQI54"/>
      <c r="WQJ54"/>
      <c r="WQK54"/>
      <c r="WQL54"/>
      <c r="WQM54"/>
      <c r="WQN54"/>
      <c r="WQO54"/>
      <c r="WQP54"/>
      <c r="WQQ54"/>
      <c r="WQR54"/>
      <c r="WQS54"/>
      <c r="WQT54"/>
      <c r="WQU54"/>
      <c r="WQV54"/>
      <c r="WQW54"/>
      <c r="WQX54"/>
      <c r="WQY54"/>
      <c r="WQZ54"/>
      <c r="WRA54"/>
      <c r="WRB54"/>
      <c r="WRC54"/>
      <c r="WRD54"/>
      <c r="WRE54"/>
      <c r="WRF54"/>
      <c r="WRG54"/>
      <c r="WRH54"/>
      <c r="WRI54"/>
      <c r="WRJ54"/>
      <c r="WRK54"/>
      <c r="WRL54"/>
      <c r="WRM54"/>
      <c r="WRN54"/>
      <c r="WRO54"/>
      <c r="WRP54"/>
      <c r="WRQ54"/>
      <c r="WRR54"/>
      <c r="WRS54"/>
      <c r="WRT54"/>
      <c r="WRU54"/>
      <c r="WRV54"/>
      <c r="WRW54"/>
      <c r="WRX54"/>
      <c r="WRY54"/>
      <c r="WRZ54"/>
      <c r="WSA54"/>
      <c r="WSB54"/>
      <c r="WSC54"/>
      <c r="WSD54"/>
      <c r="WSE54"/>
      <c r="WSF54"/>
      <c r="WSG54"/>
      <c r="WSH54"/>
      <c r="WSI54"/>
      <c r="WSJ54"/>
      <c r="WSK54"/>
      <c r="WSL54"/>
      <c r="WSM54"/>
      <c r="WSN54"/>
      <c r="WSO54"/>
      <c r="WSP54"/>
      <c r="WSQ54"/>
      <c r="WSR54"/>
      <c r="WSS54"/>
      <c r="WST54"/>
      <c r="WSU54"/>
      <c r="WSV54"/>
      <c r="WSW54"/>
      <c r="WSX54"/>
      <c r="WSY54"/>
      <c r="WSZ54"/>
      <c r="WTA54"/>
      <c r="WTB54"/>
      <c r="WTC54"/>
      <c r="WTD54"/>
      <c r="WTE54"/>
      <c r="WTF54"/>
      <c r="WTG54"/>
      <c r="WTH54"/>
      <c r="WTI54"/>
      <c r="WTJ54"/>
      <c r="WTK54"/>
      <c r="WTL54"/>
      <c r="WTM54"/>
      <c r="WTN54"/>
      <c r="WTO54"/>
      <c r="WTP54"/>
      <c r="WTQ54"/>
      <c r="WTR54"/>
      <c r="WTS54"/>
      <c r="WTT54"/>
      <c r="WTU54"/>
      <c r="WTV54"/>
      <c r="WTW54"/>
      <c r="WTX54"/>
      <c r="WTY54"/>
      <c r="WTZ54"/>
      <c r="WUA54"/>
      <c r="WUB54"/>
      <c r="WUC54"/>
      <c r="WUD54"/>
      <c r="WUE54"/>
      <c r="WUF54"/>
      <c r="WUG54"/>
      <c r="WUH54"/>
      <c r="WUI54"/>
      <c r="WUJ54"/>
      <c r="WUK54"/>
      <c r="WUL54"/>
      <c r="WUM54"/>
      <c r="WUN54"/>
      <c r="WUO54"/>
      <c r="WUP54"/>
      <c r="WUQ54"/>
      <c r="WUR54"/>
      <c r="WUS54"/>
      <c r="WUT54"/>
      <c r="WUU54"/>
      <c r="WUV54"/>
      <c r="WUW54"/>
      <c r="WUX54"/>
      <c r="WUY54"/>
      <c r="WUZ54"/>
      <c r="WVA54"/>
      <c r="WVB54"/>
      <c r="WVC54"/>
      <c r="WVD54"/>
      <c r="WVE54"/>
      <c r="WVF54"/>
      <c r="WVG54"/>
      <c r="WVH54"/>
      <c r="WVI54"/>
      <c r="WVJ54"/>
      <c r="WVK54"/>
      <c r="WVL54"/>
      <c r="WVM54"/>
      <c r="WVN54"/>
      <c r="WVO54"/>
      <c r="WVP54"/>
      <c r="WVQ54"/>
      <c r="WVR54"/>
      <c r="WVS54"/>
      <c r="WVT54"/>
      <c r="WVU54"/>
      <c r="WVV54"/>
      <c r="WVW54"/>
      <c r="WVX54"/>
      <c r="WVY54"/>
      <c r="WVZ54"/>
      <c r="WWA54"/>
      <c r="WWB54"/>
      <c r="WWC54"/>
      <c r="WWD54"/>
      <c r="WWE54"/>
      <c r="WWF54"/>
      <c r="WWG54"/>
      <c r="WWH54"/>
      <c r="WWI54"/>
      <c r="WWJ54"/>
      <c r="WWK54"/>
      <c r="WWL54"/>
      <c r="WWM54"/>
      <c r="WWN54"/>
      <c r="WWO54"/>
      <c r="WWP54"/>
      <c r="WWQ54"/>
      <c r="WWR54"/>
      <c r="WWS54"/>
      <c r="WWT54"/>
      <c r="WWU54"/>
      <c r="WWV54"/>
      <c r="WWW54"/>
      <c r="WWX54"/>
      <c r="WWY54"/>
      <c r="WWZ54"/>
      <c r="WXA54"/>
      <c r="WXB54"/>
      <c r="WXC54"/>
      <c r="WXD54"/>
      <c r="WXE54"/>
      <c r="WXF54"/>
      <c r="WXG54"/>
      <c r="WXH54"/>
      <c r="WXI54"/>
      <c r="WXJ54"/>
      <c r="WXK54"/>
      <c r="WXL54"/>
      <c r="WXM54"/>
      <c r="WXN54"/>
      <c r="WXO54"/>
      <c r="WXP54"/>
      <c r="WXQ54"/>
      <c r="WXR54"/>
      <c r="WXS54"/>
      <c r="WXT54"/>
      <c r="WXU54"/>
      <c r="WXV54"/>
      <c r="WXW54"/>
      <c r="WXX54"/>
      <c r="WXY54"/>
      <c r="WXZ54"/>
      <c r="WYA54"/>
      <c r="WYB54"/>
      <c r="WYC54"/>
      <c r="WYD54"/>
      <c r="WYE54"/>
      <c r="WYF54"/>
      <c r="WYG54"/>
      <c r="WYH54"/>
      <c r="WYI54"/>
      <c r="WYJ54"/>
      <c r="WYK54"/>
      <c r="WYL54"/>
      <c r="WYM54"/>
      <c r="WYN54"/>
      <c r="WYO54"/>
      <c r="WYP54"/>
      <c r="WYQ54"/>
      <c r="WYR54"/>
      <c r="WYS54"/>
      <c r="WYT54"/>
      <c r="WYU54"/>
      <c r="WYV54"/>
      <c r="WYW54"/>
      <c r="WYX54"/>
      <c r="WYY54"/>
      <c r="WYZ54"/>
      <c r="WZA54"/>
      <c r="WZB54"/>
      <c r="WZC54"/>
      <c r="WZD54"/>
      <c r="WZE54"/>
      <c r="WZF54"/>
      <c r="WZG54"/>
      <c r="WZH54"/>
      <c r="WZI54"/>
      <c r="WZJ54"/>
      <c r="WZK54"/>
      <c r="WZL54"/>
      <c r="WZM54"/>
      <c r="WZN54"/>
      <c r="WZO54"/>
      <c r="WZP54"/>
      <c r="WZQ54"/>
      <c r="WZR54"/>
      <c r="WZS54"/>
      <c r="WZT54"/>
      <c r="WZU54"/>
      <c r="WZV54"/>
      <c r="WZW54"/>
      <c r="WZX54"/>
      <c r="WZY54"/>
      <c r="WZZ54"/>
      <c r="XAA54"/>
      <c r="XAB54"/>
      <c r="XAC54"/>
      <c r="XAD54"/>
      <c r="XAE54"/>
      <c r="XAF54"/>
      <c r="XAG54"/>
      <c r="XAH54"/>
      <c r="XAI54"/>
      <c r="XAJ54"/>
      <c r="XAK54"/>
      <c r="XAL54"/>
      <c r="XAM54"/>
      <c r="XAN54"/>
      <c r="XAO54"/>
      <c r="XAP54"/>
      <c r="XAQ54"/>
      <c r="XAR54"/>
      <c r="XAS54"/>
      <c r="XAT54"/>
      <c r="XAU54"/>
      <c r="XAV54"/>
      <c r="XAW54"/>
      <c r="XAX54"/>
      <c r="XAY54"/>
      <c r="XAZ54"/>
      <c r="XBA54"/>
      <c r="XBB54"/>
      <c r="XBC54"/>
      <c r="XBD54"/>
      <c r="XBE54"/>
      <c r="XBF54"/>
      <c r="XBG54"/>
      <c r="XBH54"/>
      <c r="XBI54"/>
      <c r="XBJ54"/>
      <c r="XBK54"/>
      <c r="XBL54"/>
      <c r="XBM54"/>
      <c r="XBN54"/>
      <c r="XBO54"/>
      <c r="XBP54"/>
      <c r="XBQ54"/>
      <c r="XBR54"/>
      <c r="XBS54"/>
      <c r="XBT54"/>
      <c r="XBU54"/>
      <c r="XBV54"/>
      <c r="XBW54"/>
      <c r="XBX54"/>
      <c r="XBY54"/>
      <c r="XBZ54"/>
      <c r="XCA54"/>
      <c r="XCB54"/>
      <c r="XCC54"/>
      <c r="XCD54"/>
      <c r="XCE54"/>
      <c r="XCF54"/>
      <c r="XCG54"/>
      <c r="XCH54"/>
      <c r="XCI54"/>
      <c r="XCJ54"/>
      <c r="XCK54"/>
      <c r="XCL54"/>
      <c r="XCM54"/>
      <c r="XCN54"/>
      <c r="XCO54"/>
      <c r="XCP54"/>
      <c r="XCQ54"/>
      <c r="XCR54"/>
      <c r="XCS54"/>
      <c r="XCT54"/>
      <c r="XCU54"/>
      <c r="XCV54"/>
      <c r="XCW54"/>
      <c r="XCX54"/>
      <c r="XCY54"/>
      <c r="XCZ54"/>
      <c r="XDA54"/>
      <c r="XDB54"/>
      <c r="XDC54"/>
      <c r="XDD54"/>
      <c r="XDE54"/>
      <c r="XDF54"/>
      <c r="XDG54"/>
      <c r="XDH54"/>
      <c r="XDI54"/>
      <c r="XDJ54"/>
      <c r="XDK54"/>
      <c r="XDL54"/>
      <c r="XDM54"/>
      <c r="XDN54"/>
      <c r="XDO54"/>
      <c r="XDP54"/>
      <c r="XDQ54"/>
      <c r="XDR54"/>
      <c r="XDS54"/>
      <c r="XDT54"/>
      <c r="XDU54"/>
      <c r="XDV54"/>
      <c r="XDW54"/>
      <c r="XDX54"/>
      <c r="XDY54"/>
      <c r="XDZ54"/>
      <c r="XEA54"/>
      <c r="XEB54"/>
      <c r="XEC54"/>
      <c r="XED54"/>
      <c r="XEE54"/>
      <c r="XEF54"/>
      <c r="XEG54"/>
      <c r="XEH54"/>
      <c r="XEI54"/>
      <c r="XEJ54"/>
      <c r="XEK54"/>
      <c r="XEL54"/>
      <c r="XEM54"/>
      <c r="XEN54"/>
      <c r="XEO54"/>
      <c r="XEP54"/>
      <c r="XEQ54"/>
      <c r="XER54"/>
      <c r="XES54"/>
      <c r="XET54"/>
      <c r="XEU54"/>
      <c r="XEV54"/>
      <c r="XEW54"/>
      <c r="XEX54"/>
      <c r="XEY54"/>
      <c r="XEZ54"/>
      <c r="XFA54"/>
      <c r="XFB54"/>
      <c r="XFC54"/>
    </row>
    <row r="55" spans="2:16383">
      <c r="B55" t="s">
        <v>186</v>
      </c>
      <c r="C55" s="7">
        <f>+INDEX(Model!$A:$AQ,MATCH("Gross Revenue",Model!$A:$A,0),MATCH(DCF!C$51,Model!$3:$3,0))</f>
        <v>973.01332677713503</v>
      </c>
      <c r="D55" s="7">
        <f>+INDEX(Model!$A:$AQ,MATCH("Gross Revenue",Model!$A:$A,0),MATCH(DCF!D$51,Model!$3:$3,0))</f>
        <v>1307.6340461486454</v>
      </c>
      <c r="E55" s="7">
        <f>+INDEX(Model!$A:$AQ,MATCH("Gross Revenue",Model!$A:$A,0),MATCH(DCF!E$51,Model!$3:$3,0))</f>
        <v>1716.126004348077</v>
      </c>
      <c r="F55" s="7">
        <f>+INDEX(Model!$A:$AQ,MATCH("Gross Revenue",Model!$A:$A,0),MATCH(DCF!F$51,Model!$3:$3,0))</f>
        <v>2196.5809316535965</v>
      </c>
      <c r="G55" s="7">
        <f>+INDEX(Model!$A:$AQ,MATCH("Gross Revenue",Model!$A:$A,0),MATCH(DCF!G$51,Model!$3:$3,0))</f>
        <v>2741.0753150269111</v>
      </c>
      <c r="H55" s="7">
        <f>+INDEX(Model!$A:$AQ,MATCH("Gross Revenue",Model!$A:$A,0),MATCH(DCF!H$51,Model!$3:$3,0))</f>
        <v>3335.9900392887948</v>
      </c>
      <c r="I55" s="7">
        <f>+INDEX(Model!$A:$AQ,MATCH("Gross Revenue",Model!$A:$A,0),MATCH(DCF!I$51,Model!$3:$3,0))</f>
        <v>3969.7143242455481</v>
      </c>
      <c r="J55" s="7">
        <f>+INDEX(Model!$A:$AQ,MATCH("Gross Revenue",Model!$A:$A,0),MATCH(DCF!J$51,Model!$3:$3,0))</f>
        <v>4634.6285586109307</v>
      </c>
      <c r="K55" s="7">
        <f>+INDEX(Model!$A:$AQ,MATCH("Gross Revenue",Model!$A:$A,0),MATCH(DCF!K$51,Model!$3:$3,0))</f>
        <v>5306.5212882285059</v>
      </c>
      <c r="L55" s="7">
        <f>+INDEX(Model!$A:$AQ,MATCH("Gross Revenue",Model!$A:$A,0),MATCH(DCF!L$51,Model!$3:$3,0))</f>
        <v>5973.8773832338611</v>
      </c>
      <c r="M55" s="58">
        <f>+L55*(1+$K$36)</f>
        <v>6242.7018654793847</v>
      </c>
      <c r="AH55" s="15"/>
      <c r="AI55" s="15"/>
      <c r="AJ55" s="15"/>
      <c r="AK55" s="15"/>
      <c r="AL55" s="15"/>
      <c r="AM55" s="15"/>
      <c r="AN55" s="15"/>
      <c r="AO55" s="15"/>
      <c r="AP55" s="15"/>
      <c r="AQ55" s="15"/>
      <c r="AR55" s="15"/>
      <c r="AS55" s="15"/>
      <c r="AT55" s="15"/>
      <c r="AU55" s="15"/>
      <c r="AV55" s="15"/>
      <c r="AW55" s="15"/>
      <c r="AX55" s="15"/>
      <c r="AY55" s="15"/>
      <c r="AZ55" s="15"/>
      <c r="BA55" s="15"/>
      <c r="BB55" s="15"/>
      <c r="BC55" s="15"/>
      <c r="BD55" s="15"/>
      <c r="BE55" s="15"/>
      <c r="BF55" s="15"/>
      <c r="BG55" s="15"/>
      <c r="BH55" s="15"/>
      <c r="BI55" s="15"/>
      <c r="BJ55" s="15"/>
      <c r="BK55" s="15"/>
      <c r="BL55" s="15"/>
      <c r="BM55" s="15"/>
      <c r="BN55" s="15"/>
      <c r="BO55" s="15"/>
      <c r="BP55" s="15"/>
      <c r="BQ55" s="15"/>
      <c r="BR55" s="15"/>
      <c r="BS55" s="15"/>
      <c r="BT55" s="15"/>
      <c r="BU55" s="15"/>
      <c r="BV55" s="15"/>
      <c r="BW55" s="15"/>
      <c r="BX55" s="15"/>
      <c r="BY55" s="15"/>
      <c r="BZ55" s="15"/>
      <c r="CA55" s="15"/>
      <c r="CB55" s="15"/>
      <c r="CC55" s="15"/>
      <c r="CD55" s="15"/>
      <c r="CE55" s="15"/>
      <c r="CF55" s="15"/>
      <c r="CG55" s="15"/>
      <c r="CH55" s="15"/>
      <c r="CI55" s="15"/>
      <c r="CJ55" s="15"/>
      <c r="CK55" s="15"/>
      <c r="CL55" s="15"/>
      <c r="CM55" s="15"/>
      <c r="CN55" s="15"/>
      <c r="CO55" s="15"/>
      <c r="CP55" s="15"/>
      <c r="CQ55" s="15"/>
      <c r="CR55" s="15"/>
      <c r="CS55" s="15"/>
      <c r="CT55" s="15"/>
      <c r="CU55" s="15"/>
      <c r="CV55" s="15"/>
      <c r="CW55" s="15"/>
      <c r="CX55" s="15"/>
      <c r="CY55" s="15"/>
      <c r="CZ55" s="15"/>
      <c r="DA55" s="15"/>
      <c r="DB55" s="15"/>
      <c r="DC55" s="15"/>
      <c r="DD55" s="15"/>
      <c r="DE55" s="15"/>
      <c r="DF55" s="15"/>
      <c r="DG55" s="15"/>
      <c r="DH55" s="15"/>
      <c r="DI55" s="15"/>
      <c r="DJ55" s="15"/>
      <c r="DK55" s="15"/>
      <c r="DL55" s="15"/>
      <c r="DM55" s="15"/>
      <c r="DN55" s="15"/>
      <c r="DO55" s="15"/>
      <c r="DP55" s="15"/>
      <c r="DQ55" s="15"/>
      <c r="DR55" s="15"/>
      <c r="DS55" s="15"/>
      <c r="DT55" s="15"/>
      <c r="DU55" s="15"/>
      <c r="DV55" s="15"/>
      <c r="DW55" s="15"/>
      <c r="DX55" s="15"/>
      <c r="DY55" s="15"/>
      <c r="DZ55" s="15"/>
      <c r="EA55" s="15"/>
      <c r="EB55" s="15"/>
      <c r="EC55" s="15"/>
      <c r="ED55" s="15"/>
      <c r="EE55" s="15"/>
      <c r="EF55" s="15"/>
      <c r="EG55" s="15"/>
      <c r="EH55" s="15"/>
      <c r="EI55" s="15"/>
      <c r="EJ55" s="15"/>
      <c r="EK55" s="15"/>
      <c r="EL55" s="15"/>
      <c r="EM55" s="15"/>
      <c r="EN55" s="15"/>
      <c r="EO55" s="15"/>
      <c r="EP55" s="15"/>
      <c r="EQ55" s="15"/>
      <c r="ER55" s="15"/>
      <c r="ES55" s="15"/>
      <c r="ET55" s="15"/>
      <c r="EU55" s="15"/>
      <c r="EV55" s="15"/>
      <c r="EW55" s="15"/>
      <c r="EX55" s="15"/>
      <c r="EY55" s="15"/>
      <c r="EZ55" s="15"/>
      <c r="FA55" s="15"/>
      <c r="FB55" s="15"/>
      <c r="FC55" s="15"/>
      <c r="FD55" s="15"/>
      <c r="FE55" s="15"/>
      <c r="FF55" s="15"/>
      <c r="FG55" s="15"/>
      <c r="FH55" s="15"/>
      <c r="FI55" s="15"/>
      <c r="FJ55" s="15"/>
      <c r="FK55" s="15"/>
      <c r="FL55" s="15"/>
      <c r="FM55" s="15"/>
      <c r="FN55" s="15"/>
      <c r="FO55" s="15"/>
      <c r="FP55" s="15"/>
      <c r="FQ55" s="15"/>
      <c r="FR55" s="15"/>
      <c r="FS55" s="15"/>
      <c r="FT55" s="15"/>
      <c r="FU55" s="15"/>
      <c r="FV55" s="15"/>
      <c r="FW55" s="15"/>
      <c r="FX55" s="15"/>
      <c r="FY55" s="15"/>
      <c r="FZ55" s="15"/>
      <c r="GA55" s="15"/>
      <c r="GB55" s="15"/>
      <c r="GC55" s="15"/>
      <c r="GD55" s="15"/>
      <c r="GE55" s="15"/>
      <c r="GF55" s="15"/>
      <c r="GG55" s="15"/>
      <c r="GH55" s="15"/>
      <c r="GI55" s="15"/>
      <c r="GJ55" s="15"/>
      <c r="GK55" s="15"/>
      <c r="GL55" s="15"/>
      <c r="GM55" s="15"/>
      <c r="GN55" s="15"/>
      <c r="GO55" s="15"/>
      <c r="GP55" s="15"/>
      <c r="GQ55" s="15"/>
      <c r="GR55" s="15"/>
      <c r="GS55" s="15"/>
      <c r="GT55" s="15"/>
      <c r="GU55" s="15"/>
      <c r="GV55" s="15"/>
      <c r="GW55" s="15"/>
      <c r="GX55" s="15"/>
      <c r="GY55" s="15"/>
      <c r="GZ55" s="15"/>
      <c r="HA55" s="15"/>
      <c r="HB55" s="15"/>
      <c r="HC55" s="15"/>
      <c r="HD55" s="15"/>
      <c r="HE55" s="15"/>
      <c r="HF55" s="15"/>
      <c r="HG55" s="15"/>
      <c r="HH55" s="15"/>
      <c r="HI55" s="15"/>
      <c r="HJ55" s="15"/>
      <c r="HK55" s="15"/>
      <c r="HL55" s="15"/>
      <c r="HM55" s="15"/>
      <c r="HN55" s="15"/>
      <c r="HO55" s="15"/>
      <c r="HP55" s="15"/>
      <c r="HQ55" s="15"/>
      <c r="HR55" s="15"/>
      <c r="HS55" s="15"/>
      <c r="HT55" s="15"/>
      <c r="HU55" s="15"/>
      <c r="HV55" s="15"/>
      <c r="HW55" s="15"/>
      <c r="HX55" s="15"/>
      <c r="HY55" s="15"/>
      <c r="HZ55" s="15"/>
      <c r="IA55" s="15"/>
      <c r="IB55" s="15"/>
      <c r="IC55" s="15"/>
      <c r="ID55" s="15"/>
      <c r="IE55" s="15"/>
      <c r="IF55" s="15"/>
      <c r="IG55" s="15"/>
      <c r="IH55" s="15"/>
      <c r="II55" s="15"/>
      <c r="IJ55" s="15"/>
      <c r="IK55" s="15"/>
      <c r="IL55" s="15"/>
      <c r="IM55" s="15"/>
      <c r="IN55" s="15"/>
      <c r="IO55" s="15"/>
      <c r="IP55" s="15"/>
      <c r="IQ55" s="15"/>
      <c r="IR55" s="15"/>
      <c r="IS55" s="15"/>
      <c r="IT55" s="15"/>
      <c r="IU55" s="15"/>
      <c r="IV55" s="15"/>
      <c r="IW55" s="15"/>
      <c r="IX55" s="15"/>
      <c r="IY55" s="15"/>
      <c r="IZ55" s="15"/>
      <c r="JA55" s="15"/>
      <c r="JB55" s="15"/>
      <c r="JC55" s="15"/>
      <c r="JD55" s="15"/>
      <c r="JE55" s="15"/>
      <c r="JF55" s="15"/>
      <c r="JG55" s="15"/>
      <c r="JH55" s="15"/>
      <c r="JI55" s="15"/>
      <c r="JJ55" s="15"/>
      <c r="JK55" s="15"/>
      <c r="JL55" s="15"/>
      <c r="JM55" s="15"/>
      <c r="JN55" s="15"/>
      <c r="JO55" s="15"/>
      <c r="JP55" s="15"/>
      <c r="JQ55" s="15"/>
      <c r="JR55" s="15"/>
      <c r="JS55" s="15"/>
      <c r="JT55" s="15"/>
      <c r="JU55" s="15"/>
      <c r="JV55" s="15"/>
      <c r="JW55" s="15"/>
      <c r="JX55" s="15"/>
      <c r="JY55" s="15"/>
      <c r="JZ55" s="15"/>
      <c r="KA55" s="15"/>
      <c r="KB55" s="15"/>
      <c r="KC55" s="15"/>
      <c r="KD55" s="15"/>
      <c r="KE55" s="15"/>
      <c r="KF55" s="15"/>
      <c r="KG55" s="15"/>
      <c r="KH55" s="15"/>
      <c r="KI55" s="15"/>
      <c r="KJ55" s="15"/>
      <c r="KK55" s="15"/>
      <c r="KL55" s="15"/>
      <c r="KM55" s="15"/>
      <c r="KN55" s="15"/>
      <c r="KO55" s="15"/>
      <c r="KP55" s="15"/>
      <c r="KQ55" s="15"/>
      <c r="KR55" s="15"/>
      <c r="KS55" s="15"/>
      <c r="KT55" s="15"/>
      <c r="KU55" s="15"/>
      <c r="KV55" s="15"/>
      <c r="KW55" s="15"/>
      <c r="KX55" s="15"/>
      <c r="KY55" s="15"/>
      <c r="KZ55" s="15"/>
      <c r="LA55" s="15"/>
      <c r="LB55" s="15"/>
      <c r="LC55" s="15"/>
      <c r="LD55" s="15"/>
      <c r="LE55" s="15"/>
      <c r="LF55" s="15"/>
      <c r="LG55" s="15"/>
      <c r="LH55" s="15"/>
      <c r="LI55" s="15"/>
      <c r="LJ55" s="15"/>
      <c r="LK55" s="15"/>
      <c r="LL55" s="15"/>
      <c r="LM55" s="15"/>
      <c r="LN55" s="15"/>
      <c r="LO55" s="15"/>
      <c r="LP55" s="15"/>
      <c r="LQ55" s="15"/>
      <c r="LR55" s="15"/>
      <c r="LS55" s="15"/>
      <c r="LT55" s="15"/>
      <c r="LU55" s="15"/>
      <c r="LV55" s="15"/>
      <c r="LW55" s="15"/>
      <c r="LX55" s="15"/>
      <c r="LY55" s="15"/>
      <c r="LZ55" s="15"/>
      <c r="MA55" s="15"/>
      <c r="MB55" s="15"/>
      <c r="MC55" s="15"/>
      <c r="MD55" s="15"/>
      <c r="ME55" s="15"/>
      <c r="MF55" s="15"/>
      <c r="MG55" s="15"/>
      <c r="MH55" s="15"/>
      <c r="MI55" s="15"/>
      <c r="MJ55" s="15"/>
      <c r="MK55" s="15"/>
      <c r="ML55" s="15"/>
      <c r="MM55" s="15"/>
      <c r="MN55" s="15"/>
      <c r="MO55" s="15"/>
      <c r="MP55" s="15"/>
      <c r="MQ55" s="15"/>
      <c r="MR55" s="15"/>
      <c r="MS55" s="15"/>
      <c r="MT55" s="15"/>
      <c r="MU55" s="15"/>
      <c r="MV55" s="15"/>
      <c r="MW55" s="15"/>
      <c r="MX55" s="15"/>
      <c r="MY55" s="15"/>
      <c r="MZ55" s="15"/>
      <c r="NA55" s="15"/>
      <c r="NB55" s="15"/>
      <c r="NC55" s="15"/>
      <c r="ND55" s="15"/>
      <c r="NE55" s="15"/>
      <c r="NF55" s="15"/>
      <c r="NG55" s="15"/>
      <c r="NH55" s="15"/>
      <c r="NI55" s="15"/>
      <c r="NJ55" s="15"/>
      <c r="NK55" s="15"/>
      <c r="NL55" s="15"/>
      <c r="NM55" s="15"/>
      <c r="NN55" s="15"/>
      <c r="NO55" s="15"/>
      <c r="NP55" s="15"/>
      <c r="NQ55" s="15"/>
      <c r="NR55" s="15"/>
      <c r="NS55" s="15"/>
      <c r="NT55" s="15"/>
      <c r="NU55" s="15"/>
      <c r="NV55" s="15"/>
      <c r="NW55" s="15"/>
      <c r="NX55" s="15"/>
      <c r="NY55" s="15"/>
      <c r="NZ55" s="15"/>
      <c r="OA55" s="15"/>
      <c r="OB55" s="15"/>
      <c r="OC55" s="15"/>
      <c r="OD55" s="15"/>
      <c r="OE55" s="15"/>
      <c r="OF55" s="15"/>
      <c r="OG55" s="15"/>
      <c r="OH55" s="15"/>
      <c r="OI55" s="15"/>
      <c r="OJ55" s="15"/>
      <c r="OK55" s="15"/>
      <c r="OL55" s="15"/>
      <c r="OM55" s="15"/>
      <c r="ON55" s="15"/>
      <c r="OO55" s="15"/>
      <c r="OP55" s="15"/>
      <c r="OQ55" s="15"/>
      <c r="OR55" s="15"/>
      <c r="OS55" s="15"/>
      <c r="OT55" s="15"/>
      <c r="OU55" s="15"/>
      <c r="OV55" s="15"/>
      <c r="OW55" s="15"/>
      <c r="OX55" s="15"/>
      <c r="OY55" s="15"/>
      <c r="OZ55" s="15"/>
      <c r="PA55" s="15"/>
      <c r="PB55" s="15"/>
      <c r="PC55" s="15"/>
      <c r="PD55" s="15"/>
      <c r="PE55" s="15"/>
      <c r="PF55" s="15"/>
      <c r="PG55" s="15"/>
      <c r="PH55" s="15"/>
      <c r="PI55" s="15"/>
      <c r="PJ55" s="15"/>
      <c r="PK55" s="15"/>
      <c r="PL55" s="15"/>
      <c r="PM55" s="15"/>
      <c r="PN55" s="15"/>
      <c r="PO55" s="15"/>
      <c r="PP55" s="15"/>
      <c r="PQ55" s="15"/>
      <c r="PR55" s="15"/>
      <c r="PS55" s="15"/>
      <c r="PT55" s="15"/>
      <c r="PU55" s="15"/>
      <c r="PV55" s="15"/>
      <c r="PW55" s="15"/>
      <c r="PX55" s="15"/>
      <c r="PY55" s="15"/>
      <c r="PZ55" s="15"/>
      <c r="QA55" s="15"/>
      <c r="QB55" s="15"/>
      <c r="QC55" s="15"/>
      <c r="QD55" s="15"/>
      <c r="QE55" s="15"/>
      <c r="QF55" s="15"/>
      <c r="QG55" s="15"/>
      <c r="QH55" s="15"/>
      <c r="QI55" s="15"/>
      <c r="QJ55" s="15"/>
      <c r="QK55" s="15"/>
      <c r="QL55" s="15"/>
      <c r="QM55" s="15"/>
      <c r="QN55" s="15"/>
      <c r="QO55" s="15"/>
      <c r="QP55" s="15"/>
      <c r="QQ55" s="15"/>
      <c r="QR55" s="15"/>
      <c r="QS55" s="15"/>
      <c r="QT55" s="15"/>
      <c r="QU55" s="15"/>
      <c r="QV55" s="15"/>
      <c r="QW55" s="15"/>
      <c r="QX55" s="15"/>
      <c r="QY55" s="15"/>
      <c r="QZ55" s="15"/>
      <c r="RA55" s="15"/>
      <c r="RB55" s="15"/>
      <c r="RC55" s="15"/>
      <c r="RD55" s="15"/>
      <c r="RE55" s="15"/>
      <c r="RF55" s="15"/>
      <c r="RG55" s="15"/>
      <c r="RH55" s="15"/>
      <c r="RI55" s="15"/>
      <c r="RJ55" s="15"/>
      <c r="RK55" s="15"/>
      <c r="RL55" s="15"/>
      <c r="RM55" s="15"/>
      <c r="RN55" s="15"/>
      <c r="RO55" s="15"/>
      <c r="RP55" s="15"/>
      <c r="RQ55" s="15"/>
      <c r="RR55" s="15"/>
      <c r="RS55" s="15"/>
      <c r="RT55" s="15"/>
      <c r="RU55" s="15"/>
      <c r="RV55" s="15"/>
      <c r="RW55" s="15"/>
      <c r="RX55" s="15"/>
      <c r="RY55" s="15"/>
      <c r="RZ55" s="15"/>
      <c r="SA55" s="15"/>
      <c r="SB55" s="15"/>
      <c r="SC55" s="15"/>
      <c r="SD55" s="15"/>
      <c r="SE55" s="15"/>
      <c r="SF55" s="15"/>
      <c r="SG55" s="15"/>
      <c r="SH55" s="15"/>
      <c r="SI55" s="15"/>
      <c r="SJ55" s="15"/>
      <c r="SK55" s="15"/>
      <c r="SL55" s="15"/>
      <c r="SM55" s="15"/>
      <c r="SN55" s="15"/>
      <c r="SO55" s="15"/>
      <c r="SP55" s="15"/>
      <c r="SQ55" s="15"/>
      <c r="SR55" s="15"/>
      <c r="SS55" s="15"/>
      <c r="ST55" s="15"/>
      <c r="SU55" s="15"/>
      <c r="SV55" s="15"/>
      <c r="SW55" s="15"/>
      <c r="SX55" s="15"/>
      <c r="SY55" s="15"/>
      <c r="SZ55" s="15"/>
      <c r="TA55" s="15"/>
      <c r="TB55" s="15"/>
      <c r="TC55" s="15"/>
      <c r="TD55" s="15"/>
      <c r="TE55" s="15"/>
      <c r="TF55" s="15"/>
      <c r="TG55" s="15"/>
      <c r="TH55" s="15"/>
      <c r="TI55" s="15"/>
      <c r="TJ55" s="15"/>
      <c r="TK55" s="15"/>
      <c r="TL55" s="15"/>
      <c r="TM55" s="15"/>
      <c r="TN55" s="15"/>
      <c r="TO55" s="15"/>
      <c r="TP55" s="15"/>
      <c r="TQ55" s="15"/>
      <c r="TR55" s="15"/>
      <c r="TS55" s="15"/>
      <c r="TT55" s="15"/>
      <c r="TU55" s="15"/>
      <c r="TV55" s="15"/>
      <c r="TW55" s="15"/>
      <c r="TX55" s="15"/>
      <c r="TY55" s="15"/>
      <c r="TZ55" s="15"/>
      <c r="UA55" s="15"/>
      <c r="UB55" s="15"/>
      <c r="UC55" s="15"/>
      <c r="UD55" s="15"/>
      <c r="UE55" s="15"/>
      <c r="UF55" s="15"/>
      <c r="UG55" s="15"/>
      <c r="UH55" s="15"/>
      <c r="UI55" s="15"/>
      <c r="UJ55" s="15"/>
      <c r="UK55" s="15"/>
      <c r="UL55" s="15"/>
      <c r="UM55" s="15"/>
      <c r="UN55" s="15"/>
      <c r="UO55" s="15"/>
      <c r="UP55" s="15"/>
      <c r="UQ55" s="15"/>
      <c r="UR55" s="15"/>
      <c r="US55" s="15"/>
      <c r="UT55" s="15"/>
      <c r="UU55" s="15"/>
      <c r="UV55" s="15"/>
      <c r="UW55" s="15"/>
      <c r="UX55" s="15"/>
      <c r="UY55" s="15"/>
      <c r="UZ55" s="15"/>
      <c r="VA55" s="15"/>
      <c r="VB55" s="15"/>
      <c r="VC55" s="15"/>
      <c r="VD55" s="15"/>
      <c r="VE55" s="15"/>
      <c r="VF55" s="15"/>
      <c r="VG55" s="15"/>
      <c r="VH55" s="15"/>
      <c r="VI55" s="15"/>
      <c r="VJ55" s="15"/>
      <c r="VK55" s="15"/>
      <c r="VL55" s="15"/>
      <c r="VM55" s="15"/>
      <c r="VN55" s="15"/>
      <c r="VO55" s="15"/>
      <c r="VP55" s="15"/>
      <c r="VQ55" s="15"/>
      <c r="VR55" s="15"/>
      <c r="VS55" s="15"/>
      <c r="VT55" s="15"/>
      <c r="VU55" s="15"/>
      <c r="VV55" s="15"/>
      <c r="VW55" s="15"/>
      <c r="VX55" s="15"/>
      <c r="VY55" s="15"/>
      <c r="VZ55" s="15"/>
      <c r="WA55" s="15"/>
      <c r="WB55" s="15"/>
      <c r="WC55" s="15"/>
      <c r="WD55" s="15"/>
      <c r="WE55" s="15"/>
      <c r="WF55" s="15"/>
      <c r="WG55" s="15"/>
      <c r="WH55" s="15"/>
      <c r="WI55" s="15"/>
      <c r="WJ55" s="15"/>
      <c r="WK55" s="15"/>
      <c r="WL55" s="15"/>
      <c r="WM55" s="15"/>
      <c r="WN55" s="15"/>
      <c r="WO55" s="15"/>
      <c r="WP55" s="15"/>
      <c r="WQ55" s="15"/>
      <c r="WR55" s="15"/>
      <c r="WS55" s="15"/>
      <c r="WT55" s="15"/>
      <c r="WU55" s="15"/>
      <c r="WV55" s="15"/>
      <c r="WW55" s="15"/>
      <c r="WX55" s="15"/>
      <c r="WY55" s="15"/>
      <c r="WZ55" s="15"/>
      <c r="XA55" s="15"/>
      <c r="XB55" s="15"/>
      <c r="XC55" s="15"/>
      <c r="XD55" s="15"/>
      <c r="XE55" s="15"/>
      <c r="XF55" s="15"/>
      <c r="XG55" s="15"/>
      <c r="XH55" s="15"/>
      <c r="XI55" s="15"/>
      <c r="XJ55" s="15"/>
      <c r="XK55" s="15"/>
      <c r="XL55" s="15"/>
      <c r="XM55" s="15"/>
      <c r="XN55" s="15"/>
      <c r="XO55" s="15"/>
      <c r="XP55" s="15"/>
      <c r="XQ55" s="15"/>
      <c r="XR55" s="15"/>
      <c r="XS55" s="15"/>
      <c r="XT55" s="15"/>
      <c r="XU55" s="15"/>
      <c r="XV55" s="15"/>
      <c r="XW55" s="15"/>
      <c r="XX55" s="15"/>
      <c r="XY55" s="15"/>
      <c r="XZ55" s="15"/>
      <c r="YA55" s="15"/>
      <c r="YB55" s="15"/>
      <c r="YC55" s="15"/>
      <c r="YD55" s="15"/>
      <c r="YE55" s="15"/>
      <c r="YF55" s="15"/>
      <c r="YG55" s="15"/>
      <c r="YH55" s="15"/>
      <c r="YI55" s="15"/>
      <c r="YJ55" s="15"/>
      <c r="YK55" s="15"/>
      <c r="YL55" s="15"/>
      <c r="YM55" s="15"/>
      <c r="YN55" s="15"/>
      <c r="YO55" s="15"/>
      <c r="YP55" s="15"/>
      <c r="YQ55" s="15"/>
      <c r="YR55" s="15"/>
      <c r="YS55" s="15"/>
      <c r="YT55" s="15"/>
      <c r="YU55" s="15"/>
      <c r="YV55" s="15"/>
      <c r="YW55" s="15"/>
      <c r="YX55" s="15"/>
      <c r="YY55" s="15"/>
      <c r="YZ55" s="15"/>
      <c r="ZA55" s="15"/>
      <c r="ZB55" s="15"/>
      <c r="ZC55" s="15"/>
      <c r="ZD55" s="15"/>
      <c r="ZE55" s="15"/>
      <c r="ZF55" s="15"/>
      <c r="ZG55" s="15"/>
      <c r="ZH55" s="15"/>
      <c r="ZI55" s="15"/>
      <c r="ZJ55" s="15"/>
      <c r="ZK55" s="15"/>
      <c r="ZL55" s="15"/>
      <c r="ZM55" s="15"/>
      <c r="ZN55" s="15"/>
      <c r="ZO55" s="15"/>
      <c r="ZP55" s="15"/>
      <c r="ZQ55" s="15"/>
      <c r="ZR55" s="15"/>
      <c r="ZS55" s="15"/>
      <c r="ZT55" s="15"/>
      <c r="ZU55" s="15"/>
      <c r="ZV55" s="15"/>
      <c r="ZW55" s="15"/>
      <c r="ZX55" s="15"/>
      <c r="ZY55" s="15"/>
      <c r="ZZ55" s="15"/>
      <c r="AAA55" s="15"/>
      <c r="AAB55" s="15"/>
      <c r="AAC55" s="15"/>
      <c r="AAD55" s="15"/>
      <c r="AAE55" s="15"/>
      <c r="AAF55" s="15"/>
      <c r="AAG55" s="15"/>
      <c r="AAH55" s="15"/>
      <c r="AAI55" s="15"/>
      <c r="AAJ55" s="15"/>
      <c r="AAK55" s="15"/>
      <c r="AAL55" s="15"/>
      <c r="AAM55" s="15"/>
      <c r="AAN55" s="15"/>
      <c r="AAO55" s="15"/>
      <c r="AAP55" s="15"/>
      <c r="AAQ55" s="15"/>
      <c r="AAR55" s="15"/>
      <c r="AAS55" s="15"/>
      <c r="AAT55" s="15"/>
      <c r="AAU55" s="15"/>
      <c r="AAV55" s="15"/>
      <c r="AAW55" s="15"/>
      <c r="AAX55" s="15"/>
      <c r="AAY55" s="15"/>
      <c r="AAZ55" s="15"/>
      <c r="ABA55" s="15"/>
      <c r="ABB55" s="15"/>
      <c r="ABC55" s="15"/>
      <c r="ABD55" s="15"/>
      <c r="ABE55" s="15"/>
      <c r="ABF55" s="15"/>
      <c r="ABG55" s="15"/>
      <c r="ABH55" s="15"/>
      <c r="ABI55" s="15"/>
      <c r="ABJ55" s="15"/>
      <c r="ABK55" s="15"/>
      <c r="ABL55" s="15"/>
      <c r="ABM55" s="15"/>
      <c r="ABN55" s="15"/>
      <c r="ABO55" s="15"/>
      <c r="ABP55" s="15"/>
      <c r="ABQ55" s="15"/>
      <c r="ABR55" s="15"/>
      <c r="ABS55" s="15"/>
      <c r="ABT55" s="15"/>
      <c r="ABU55" s="15"/>
      <c r="ABV55" s="15"/>
      <c r="ABW55" s="15"/>
      <c r="ABX55" s="15"/>
      <c r="ABY55" s="15"/>
      <c r="ABZ55" s="15"/>
      <c r="ACA55" s="15"/>
      <c r="ACB55" s="15"/>
      <c r="ACC55" s="15"/>
      <c r="ACD55" s="15"/>
      <c r="ACE55" s="15"/>
      <c r="ACF55" s="15"/>
      <c r="ACG55" s="15"/>
      <c r="ACH55" s="15"/>
      <c r="ACI55" s="15"/>
      <c r="ACJ55" s="15"/>
      <c r="ACK55" s="15"/>
      <c r="ACL55" s="15"/>
      <c r="ACM55" s="15"/>
      <c r="ACN55" s="15"/>
      <c r="ACO55" s="15"/>
      <c r="ACP55" s="15"/>
      <c r="ACQ55" s="15"/>
      <c r="ACR55" s="15"/>
      <c r="ACS55" s="15"/>
      <c r="ACT55" s="15"/>
      <c r="ACU55" s="15"/>
      <c r="ACV55" s="15"/>
      <c r="ACW55" s="15"/>
      <c r="ACX55" s="15"/>
      <c r="ACY55" s="15"/>
      <c r="ACZ55" s="15"/>
      <c r="ADA55" s="15"/>
      <c r="ADB55" s="15"/>
      <c r="ADC55" s="15"/>
      <c r="ADD55" s="15"/>
      <c r="ADE55" s="15"/>
      <c r="ADF55" s="15"/>
      <c r="ADG55" s="15"/>
      <c r="ADH55" s="15"/>
      <c r="ADI55" s="15"/>
      <c r="ADJ55" s="15"/>
      <c r="ADK55" s="15"/>
      <c r="ADL55" s="15"/>
      <c r="ADM55" s="15"/>
      <c r="ADN55" s="15"/>
      <c r="ADO55" s="15"/>
      <c r="ADP55" s="15"/>
      <c r="ADQ55" s="15"/>
      <c r="ADR55" s="15"/>
      <c r="ADS55" s="15"/>
      <c r="ADT55" s="15"/>
      <c r="ADU55" s="15"/>
      <c r="ADV55" s="15"/>
      <c r="ADW55" s="15"/>
      <c r="ADX55" s="15"/>
      <c r="ADY55" s="15"/>
      <c r="ADZ55" s="15"/>
      <c r="AEA55" s="15"/>
      <c r="AEB55" s="15"/>
      <c r="AEC55" s="15"/>
      <c r="AED55" s="15"/>
      <c r="AEE55" s="15"/>
      <c r="AEF55" s="15"/>
      <c r="AEG55" s="15"/>
      <c r="AEH55" s="15"/>
      <c r="AEI55" s="15"/>
      <c r="AEJ55" s="15"/>
      <c r="AEK55" s="15"/>
      <c r="AEL55" s="15"/>
      <c r="AEM55" s="15"/>
      <c r="AEN55" s="15"/>
      <c r="AEO55" s="15"/>
      <c r="AEP55" s="15"/>
      <c r="AEQ55" s="15"/>
      <c r="AER55" s="15"/>
      <c r="AES55" s="15"/>
      <c r="AET55" s="15"/>
      <c r="AEU55" s="15"/>
      <c r="AEV55" s="15"/>
      <c r="AEW55" s="15"/>
      <c r="AEX55" s="15"/>
      <c r="AEY55" s="15"/>
      <c r="AEZ55" s="15"/>
      <c r="AFA55" s="15"/>
      <c r="AFB55" s="15"/>
      <c r="AFC55" s="15"/>
      <c r="AFD55" s="15"/>
      <c r="AFE55" s="15"/>
      <c r="AFF55" s="15"/>
      <c r="AFG55" s="15"/>
      <c r="AFH55" s="15"/>
      <c r="AFI55" s="15"/>
      <c r="AFJ55" s="15"/>
      <c r="AFK55" s="15"/>
      <c r="AFL55" s="15"/>
      <c r="AFM55" s="15"/>
      <c r="AFN55" s="15"/>
      <c r="AFO55" s="15"/>
      <c r="AFP55" s="15"/>
      <c r="AFQ55" s="15"/>
      <c r="AFR55" s="15"/>
      <c r="AFS55" s="15"/>
      <c r="AFT55" s="15"/>
      <c r="AFU55" s="15"/>
      <c r="AFV55" s="15"/>
      <c r="AFW55" s="15"/>
      <c r="AFX55" s="15"/>
      <c r="AFY55" s="15"/>
      <c r="AFZ55" s="15"/>
      <c r="AGA55" s="15"/>
      <c r="AGB55" s="15"/>
      <c r="AGC55" s="15"/>
      <c r="AGD55" s="15"/>
      <c r="AGE55" s="15"/>
      <c r="AGF55" s="15"/>
      <c r="AGG55" s="15"/>
      <c r="AGH55" s="15"/>
      <c r="AGI55" s="15"/>
      <c r="AGJ55" s="15"/>
      <c r="AGK55" s="15"/>
      <c r="AGL55" s="15"/>
      <c r="AGM55" s="15"/>
      <c r="AGN55" s="15"/>
      <c r="AGO55" s="15"/>
      <c r="AGP55" s="15"/>
      <c r="AGQ55" s="15"/>
      <c r="AGR55" s="15"/>
      <c r="AGS55" s="15"/>
      <c r="AGT55" s="15"/>
      <c r="AGU55" s="15"/>
      <c r="AGV55" s="15"/>
      <c r="AGW55" s="15"/>
      <c r="AGX55" s="15"/>
      <c r="AGY55" s="15"/>
      <c r="AGZ55" s="15"/>
      <c r="AHA55" s="15"/>
      <c r="AHB55" s="15"/>
      <c r="AHC55" s="15"/>
      <c r="AHD55" s="15"/>
      <c r="AHE55" s="15"/>
      <c r="AHF55" s="15"/>
      <c r="AHG55" s="15"/>
      <c r="AHH55" s="15"/>
      <c r="AHI55" s="15"/>
      <c r="AHJ55" s="15"/>
      <c r="AHK55" s="15"/>
      <c r="AHL55" s="15"/>
      <c r="AHM55" s="15"/>
      <c r="AHN55" s="15"/>
      <c r="AHO55" s="15"/>
      <c r="AHP55" s="15"/>
      <c r="AHQ55" s="15"/>
      <c r="AHR55" s="15"/>
      <c r="AHS55" s="15"/>
      <c r="AHT55" s="15"/>
      <c r="AHU55" s="15"/>
      <c r="AHV55" s="15"/>
      <c r="AHW55" s="15"/>
      <c r="AHX55" s="15"/>
      <c r="AHY55" s="15"/>
      <c r="AHZ55" s="15"/>
      <c r="AIA55" s="15"/>
      <c r="AIB55" s="15"/>
      <c r="AIC55" s="15"/>
      <c r="AID55" s="15"/>
      <c r="AIE55" s="15"/>
      <c r="AIF55" s="15"/>
      <c r="AIG55" s="15"/>
      <c r="AIH55" s="15"/>
      <c r="AII55" s="15"/>
      <c r="AIJ55" s="15"/>
      <c r="AIK55" s="15"/>
      <c r="AIL55" s="15"/>
      <c r="AIM55" s="15"/>
      <c r="AIN55" s="15"/>
      <c r="AIO55" s="15"/>
      <c r="AIP55" s="15"/>
      <c r="AIQ55" s="15"/>
      <c r="AIR55" s="15"/>
      <c r="AIS55" s="15"/>
      <c r="AIT55" s="15"/>
      <c r="AIU55" s="15"/>
      <c r="AIV55" s="15"/>
      <c r="AIW55" s="15"/>
      <c r="AIX55" s="15"/>
      <c r="AIY55" s="15"/>
      <c r="AIZ55" s="15"/>
      <c r="AJA55" s="15"/>
      <c r="AJB55" s="15"/>
      <c r="AJC55" s="15"/>
      <c r="AJD55" s="15"/>
      <c r="AJE55" s="15"/>
      <c r="AJF55" s="15"/>
      <c r="AJG55" s="15"/>
      <c r="AJH55" s="15"/>
      <c r="AJI55" s="15"/>
      <c r="AJJ55" s="15"/>
      <c r="AJK55" s="15"/>
      <c r="AJL55" s="15"/>
      <c r="AJM55" s="15"/>
      <c r="AJN55" s="15"/>
      <c r="AJO55" s="15"/>
      <c r="AJP55" s="15"/>
      <c r="AJQ55" s="15"/>
      <c r="AJR55" s="15"/>
      <c r="AJS55" s="15"/>
      <c r="AJT55" s="15"/>
      <c r="AJU55" s="15"/>
      <c r="AJV55" s="15"/>
      <c r="AJW55" s="15"/>
      <c r="AJX55" s="15"/>
      <c r="AJY55" s="15"/>
      <c r="AJZ55" s="15"/>
      <c r="AKA55" s="15"/>
      <c r="AKB55" s="15"/>
      <c r="AKC55" s="15"/>
      <c r="AKD55" s="15"/>
      <c r="AKE55" s="15"/>
      <c r="AKF55" s="15"/>
      <c r="AKG55" s="15"/>
      <c r="AKH55" s="15"/>
      <c r="AKI55" s="15"/>
      <c r="AKJ55" s="15"/>
      <c r="AKK55" s="15"/>
      <c r="AKL55" s="15"/>
      <c r="AKM55" s="15"/>
      <c r="AKN55" s="15"/>
      <c r="AKO55" s="15"/>
      <c r="AKP55" s="15"/>
      <c r="AKQ55" s="15"/>
      <c r="AKR55" s="15"/>
      <c r="AKS55" s="15"/>
      <c r="AKT55" s="15"/>
      <c r="AKU55" s="15"/>
      <c r="AKV55" s="15"/>
      <c r="AKW55" s="15"/>
      <c r="AKX55" s="15"/>
      <c r="AKY55" s="15"/>
      <c r="AKZ55" s="15"/>
      <c r="ALA55" s="15"/>
      <c r="ALB55" s="15"/>
      <c r="ALC55" s="15"/>
      <c r="ALD55" s="15"/>
      <c r="ALE55" s="15"/>
      <c r="ALF55" s="15"/>
      <c r="ALG55" s="15"/>
      <c r="ALH55" s="15"/>
      <c r="ALI55" s="15"/>
      <c r="ALJ55" s="15"/>
      <c r="ALK55" s="15"/>
      <c r="ALL55" s="15"/>
      <c r="ALM55" s="15"/>
      <c r="ALN55" s="15"/>
      <c r="ALO55" s="15"/>
      <c r="ALP55" s="15"/>
      <c r="ALQ55" s="15"/>
      <c r="ALR55" s="15"/>
      <c r="ALS55" s="15"/>
      <c r="ALT55" s="15"/>
      <c r="ALU55" s="15"/>
      <c r="ALV55" s="15"/>
      <c r="ALW55" s="15"/>
      <c r="ALX55" s="15"/>
      <c r="ALY55" s="15"/>
      <c r="ALZ55" s="15"/>
      <c r="AMA55" s="15"/>
      <c r="AMB55" s="15"/>
      <c r="AMC55" s="15"/>
      <c r="AMD55" s="15"/>
      <c r="AME55" s="15"/>
      <c r="AMF55" s="15"/>
      <c r="AMG55" s="15"/>
      <c r="AMH55" s="15"/>
      <c r="AMI55" s="15"/>
      <c r="AMJ55" s="15"/>
      <c r="AMK55" s="15"/>
      <c r="AML55" s="15"/>
      <c r="AMM55" s="15"/>
      <c r="AMN55" s="15"/>
      <c r="AMO55" s="15"/>
      <c r="AMP55" s="15"/>
      <c r="AMQ55" s="15"/>
      <c r="AMR55" s="15"/>
      <c r="AMS55" s="15"/>
      <c r="AMT55" s="15"/>
      <c r="AMU55" s="15"/>
      <c r="AMV55" s="15"/>
      <c r="AMW55" s="15"/>
      <c r="AMX55" s="15"/>
      <c r="AMY55" s="15"/>
      <c r="AMZ55" s="15"/>
      <c r="ANA55" s="15"/>
      <c r="ANB55" s="15"/>
      <c r="ANC55" s="15"/>
      <c r="AND55" s="15"/>
      <c r="ANE55" s="15"/>
      <c r="ANF55" s="15"/>
      <c r="ANG55" s="15"/>
      <c r="ANH55" s="15"/>
      <c r="ANI55" s="15"/>
      <c r="ANJ55" s="15"/>
      <c r="ANK55" s="15"/>
      <c r="ANL55" s="15"/>
      <c r="ANM55" s="15"/>
      <c r="ANN55" s="15"/>
      <c r="ANO55" s="15"/>
      <c r="ANP55" s="15"/>
      <c r="ANQ55" s="15"/>
      <c r="ANR55" s="15"/>
      <c r="ANS55" s="15"/>
      <c r="ANT55" s="15"/>
      <c r="ANU55" s="15"/>
      <c r="ANV55" s="15"/>
      <c r="ANW55" s="15"/>
      <c r="ANX55" s="15"/>
      <c r="ANY55" s="15"/>
      <c r="ANZ55" s="15"/>
      <c r="AOA55" s="15"/>
      <c r="AOB55" s="15"/>
      <c r="AOC55" s="15"/>
      <c r="AOD55" s="15"/>
      <c r="AOE55" s="15"/>
      <c r="AOF55" s="15"/>
      <c r="AOG55" s="15"/>
      <c r="AOH55" s="15"/>
      <c r="AOI55" s="15"/>
      <c r="AOJ55" s="15"/>
      <c r="AOK55" s="15"/>
      <c r="AOL55" s="15"/>
      <c r="AOM55" s="15"/>
      <c r="AON55" s="15"/>
      <c r="AOO55" s="15"/>
      <c r="AOP55" s="15"/>
      <c r="AOQ55" s="15"/>
      <c r="AOR55" s="15"/>
      <c r="AOS55" s="15"/>
      <c r="AOT55" s="15"/>
      <c r="AOU55" s="15"/>
      <c r="AOV55" s="15"/>
      <c r="AOW55" s="15"/>
      <c r="AOX55" s="15"/>
      <c r="AOY55" s="15"/>
      <c r="AOZ55" s="15"/>
      <c r="APA55" s="15"/>
      <c r="APB55" s="15"/>
      <c r="APC55" s="15"/>
      <c r="APD55" s="15"/>
      <c r="APE55" s="15"/>
      <c r="APF55" s="15"/>
      <c r="APG55" s="15"/>
      <c r="APH55" s="15"/>
      <c r="API55" s="15"/>
      <c r="APJ55" s="15"/>
      <c r="APK55" s="15"/>
      <c r="APL55" s="15"/>
      <c r="APM55" s="15"/>
      <c r="APN55" s="15"/>
      <c r="APO55" s="15"/>
      <c r="APP55" s="15"/>
      <c r="APQ55" s="15"/>
      <c r="APR55" s="15"/>
      <c r="APS55" s="15"/>
      <c r="APT55" s="15"/>
      <c r="APU55" s="15"/>
      <c r="APV55" s="15"/>
      <c r="APW55" s="15"/>
      <c r="APX55" s="15"/>
      <c r="APY55" s="15"/>
      <c r="APZ55" s="15"/>
      <c r="AQA55" s="15"/>
      <c r="AQB55" s="15"/>
      <c r="AQC55" s="15"/>
      <c r="AQD55" s="15"/>
      <c r="AQE55" s="15"/>
      <c r="AQF55" s="15"/>
      <c r="AQG55" s="15"/>
      <c r="AQH55" s="15"/>
      <c r="AQI55" s="15"/>
      <c r="AQJ55" s="15"/>
      <c r="AQK55" s="15"/>
      <c r="AQL55" s="15"/>
      <c r="AQM55" s="15"/>
      <c r="AQN55" s="15"/>
      <c r="AQO55" s="15"/>
      <c r="AQP55" s="15"/>
      <c r="AQQ55" s="15"/>
      <c r="AQR55" s="15"/>
      <c r="AQS55" s="15"/>
      <c r="AQT55" s="15"/>
      <c r="AQU55" s="15"/>
      <c r="AQV55" s="15"/>
      <c r="AQW55" s="15"/>
      <c r="AQX55" s="15"/>
      <c r="AQY55" s="15"/>
      <c r="AQZ55" s="15"/>
      <c r="ARA55" s="15"/>
      <c r="ARB55" s="15"/>
      <c r="ARC55" s="15"/>
      <c r="ARD55" s="15"/>
      <c r="ARE55" s="15"/>
      <c r="ARF55" s="15"/>
      <c r="ARG55" s="15"/>
      <c r="ARH55" s="15"/>
      <c r="ARI55" s="15"/>
      <c r="ARJ55" s="15"/>
      <c r="ARK55" s="15"/>
      <c r="ARL55" s="15"/>
      <c r="ARM55" s="15"/>
      <c r="ARN55" s="15"/>
      <c r="ARO55" s="15"/>
      <c r="ARP55" s="15"/>
      <c r="ARQ55" s="15"/>
      <c r="ARR55" s="15"/>
      <c r="ARS55" s="15"/>
      <c r="ART55" s="15"/>
      <c r="ARU55" s="15"/>
      <c r="ARV55" s="15"/>
      <c r="ARW55" s="15"/>
      <c r="ARX55" s="15"/>
      <c r="ARY55" s="15"/>
      <c r="ARZ55" s="15"/>
      <c r="ASA55" s="15"/>
      <c r="ASB55" s="15"/>
      <c r="ASC55" s="15"/>
      <c r="ASD55" s="15"/>
      <c r="ASE55" s="15"/>
      <c r="ASF55" s="15"/>
      <c r="ASG55" s="15"/>
      <c r="ASH55" s="15"/>
      <c r="ASI55" s="15"/>
      <c r="ASJ55" s="15"/>
      <c r="ASK55" s="15"/>
      <c r="ASL55" s="15"/>
      <c r="ASM55" s="15"/>
      <c r="ASN55" s="15"/>
      <c r="ASO55" s="15"/>
      <c r="ASP55" s="15"/>
      <c r="ASQ55" s="15"/>
      <c r="ASR55" s="15"/>
      <c r="ASS55" s="15"/>
      <c r="AST55" s="15"/>
      <c r="ASU55" s="15"/>
      <c r="ASV55" s="15"/>
      <c r="ASW55" s="15"/>
      <c r="ASX55" s="15"/>
      <c r="ASY55" s="15"/>
      <c r="ASZ55" s="15"/>
      <c r="ATA55" s="15"/>
      <c r="ATB55" s="15"/>
      <c r="ATC55" s="15"/>
      <c r="ATD55" s="15"/>
      <c r="ATE55" s="15"/>
      <c r="ATF55" s="15"/>
      <c r="ATG55" s="15"/>
      <c r="ATH55" s="15"/>
      <c r="ATI55" s="15"/>
      <c r="ATJ55" s="15"/>
      <c r="ATK55" s="15"/>
      <c r="ATL55" s="15"/>
      <c r="ATM55" s="15"/>
      <c r="ATN55" s="15"/>
      <c r="ATO55" s="15"/>
      <c r="ATP55" s="15"/>
      <c r="ATQ55" s="15"/>
      <c r="ATR55" s="15"/>
      <c r="ATS55" s="15"/>
      <c r="ATT55" s="15"/>
      <c r="ATU55" s="15"/>
      <c r="ATV55" s="15"/>
      <c r="ATW55" s="15"/>
      <c r="ATX55" s="15"/>
      <c r="ATY55" s="15"/>
      <c r="ATZ55" s="15"/>
      <c r="AUA55" s="15"/>
      <c r="AUB55" s="15"/>
      <c r="AUC55" s="15"/>
      <c r="AUD55" s="15"/>
      <c r="AUE55" s="15"/>
      <c r="AUF55" s="15"/>
      <c r="AUG55" s="15"/>
      <c r="AUH55" s="15"/>
      <c r="AUI55" s="15"/>
      <c r="AUJ55" s="15"/>
      <c r="AUK55" s="15"/>
      <c r="AUL55" s="15"/>
      <c r="AUM55" s="15"/>
      <c r="AUN55" s="15"/>
      <c r="AUO55" s="15"/>
      <c r="AUP55" s="15"/>
      <c r="AUQ55" s="15"/>
      <c r="AUR55" s="15"/>
      <c r="AUS55" s="15"/>
      <c r="AUT55" s="15"/>
      <c r="AUU55" s="15"/>
      <c r="AUV55" s="15"/>
      <c r="AUW55" s="15"/>
      <c r="AUX55" s="15"/>
      <c r="AUY55" s="15"/>
      <c r="AUZ55" s="15"/>
      <c r="AVA55" s="15"/>
      <c r="AVB55" s="15"/>
      <c r="AVC55" s="15"/>
      <c r="AVD55" s="15"/>
      <c r="AVE55" s="15"/>
      <c r="AVF55" s="15"/>
      <c r="AVG55" s="15"/>
      <c r="AVH55" s="15"/>
      <c r="AVI55" s="15"/>
      <c r="AVJ55" s="15"/>
      <c r="AVK55" s="15"/>
      <c r="AVL55" s="15"/>
      <c r="AVM55" s="15"/>
      <c r="AVN55" s="15"/>
      <c r="AVO55" s="15"/>
      <c r="AVP55" s="15"/>
      <c r="AVQ55" s="15"/>
      <c r="AVR55" s="15"/>
      <c r="AVS55" s="15"/>
      <c r="AVT55" s="15"/>
      <c r="AVU55" s="15"/>
      <c r="AVV55" s="15"/>
      <c r="AVW55" s="15"/>
      <c r="AVX55" s="15"/>
      <c r="AVY55" s="15"/>
      <c r="AVZ55" s="15"/>
      <c r="AWA55" s="15"/>
      <c r="AWB55" s="15"/>
      <c r="AWC55" s="15"/>
      <c r="AWD55" s="15"/>
      <c r="AWE55" s="15"/>
      <c r="AWF55" s="15"/>
      <c r="AWG55" s="15"/>
      <c r="AWH55" s="15"/>
      <c r="AWI55" s="15"/>
      <c r="AWJ55" s="15"/>
      <c r="AWK55" s="15"/>
      <c r="AWL55" s="15"/>
      <c r="AWM55" s="15"/>
      <c r="AWN55" s="15"/>
      <c r="AWO55" s="15"/>
      <c r="AWP55" s="15"/>
      <c r="AWQ55" s="15"/>
      <c r="AWR55" s="15"/>
      <c r="AWS55" s="15"/>
      <c r="AWT55" s="15"/>
      <c r="AWU55" s="15"/>
      <c r="AWV55" s="15"/>
      <c r="AWW55" s="15"/>
      <c r="AWX55" s="15"/>
      <c r="AWY55" s="15"/>
      <c r="AWZ55" s="15"/>
      <c r="AXA55" s="15"/>
      <c r="AXB55" s="15"/>
      <c r="AXC55" s="15"/>
      <c r="AXD55" s="15"/>
      <c r="AXE55" s="15"/>
      <c r="AXF55" s="15"/>
      <c r="AXG55" s="15"/>
      <c r="AXH55" s="15"/>
      <c r="AXI55" s="15"/>
      <c r="AXJ55" s="15"/>
      <c r="AXK55" s="15"/>
      <c r="AXL55" s="15"/>
      <c r="AXM55" s="15"/>
      <c r="AXN55" s="15"/>
      <c r="AXO55" s="15"/>
      <c r="AXP55" s="15"/>
      <c r="AXQ55" s="15"/>
      <c r="AXR55" s="15"/>
      <c r="AXS55" s="15"/>
      <c r="AXT55" s="15"/>
      <c r="AXU55" s="15"/>
      <c r="AXV55" s="15"/>
      <c r="AXW55" s="15"/>
      <c r="AXX55" s="15"/>
      <c r="AXY55" s="15"/>
      <c r="AXZ55" s="15"/>
      <c r="AYA55" s="15"/>
      <c r="AYB55" s="15"/>
      <c r="AYC55" s="15"/>
      <c r="AYD55" s="15"/>
      <c r="AYE55" s="15"/>
      <c r="AYF55" s="15"/>
      <c r="AYG55" s="15"/>
      <c r="AYH55" s="15"/>
      <c r="AYI55" s="15"/>
      <c r="AYJ55" s="15"/>
      <c r="AYK55" s="15"/>
      <c r="AYL55" s="15"/>
      <c r="AYM55" s="15"/>
      <c r="AYN55" s="15"/>
      <c r="AYO55" s="15"/>
      <c r="AYP55" s="15"/>
      <c r="AYQ55" s="15"/>
      <c r="AYR55" s="15"/>
      <c r="AYS55" s="15"/>
      <c r="AYT55" s="15"/>
      <c r="AYU55" s="15"/>
      <c r="AYV55" s="15"/>
      <c r="AYW55" s="15"/>
      <c r="AYX55" s="15"/>
      <c r="AYY55" s="15"/>
      <c r="AYZ55" s="15"/>
      <c r="AZA55" s="15"/>
      <c r="AZB55" s="15"/>
      <c r="AZC55" s="15"/>
      <c r="AZD55" s="15"/>
      <c r="AZE55" s="15"/>
      <c r="AZF55" s="15"/>
      <c r="AZG55" s="15"/>
      <c r="AZH55" s="15"/>
      <c r="AZI55" s="15"/>
      <c r="AZJ55" s="15"/>
      <c r="AZK55" s="15"/>
      <c r="AZL55" s="15"/>
      <c r="AZM55" s="15"/>
      <c r="AZN55" s="15"/>
      <c r="AZO55" s="15"/>
      <c r="AZP55" s="15"/>
      <c r="AZQ55" s="15"/>
      <c r="AZR55" s="15"/>
      <c r="AZS55" s="15"/>
      <c r="AZT55" s="15"/>
      <c r="AZU55" s="15"/>
      <c r="AZV55" s="15"/>
      <c r="AZW55" s="15"/>
      <c r="AZX55" s="15"/>
      <c r="AZY55" s="15"/>
      <c r="AZZ55" s="15"/>
      <c r="BAA55" s="15"/>
      <c r="BAB55" s="15"/>
      <c r="BAC55" s="15"/>
      <c r="BAD55" s="15"/>
      <c r="BAE55" s="15"/>
      <c r="BAF55" s="15"/>
      <c r="BAG55" s="15"/>
      <c r="BAH55" s="15"/>
      <c r="BAI55" s="15"/>
      <c r="BAJ55" s="15"/>
      <c r="BAK55" s="15"/>
      <c r="BAL55" s="15"/>
      <c r="BAM55" s="15"/>
      <c r="BAN55" s="15"/>
      <c r="BAO55" s="15"/>
      <c r="BAP55" s="15"/>
      <c r="BAQ55" s="15"/>
      <c r="BAR55" s="15"/>
      <c r="BAS55" s="15"/>
      <c r="BAT55" s="15"/>
      <c r="BAU55" s="15"/>
      <c r="BAV55" s="15"/>
      <c r="BAW55" s="15"/>
      <c r="BAX55" s="15"/>
      <c r="BAY55" s="15"/>
      <c r="BAZ55" s="15"/>
      <c r="BBA55" s="15"/>
      <c r="BBB55" s="15"/>
      <c r="BBC55" s="15"/>
      <c r="BBD55" s="15"/>
      <c r="BBE55" s="15"/>
      <c r="BBF55" s="15"/>
      <c r="BBG55" s="15"/>
      <c r="BBH55" s="15"/>
      <c r="BBI55" s="15"/>
      <c r="BBJ55" s="15"/>
      <c r="BBK55" s="15"/>
      <c r="BBL55" s="15"/>
      <c r="BBM55" s="15"/>
      <c r="BBN55" s="15"/>
      <c r="BBO55" s="15"/>
      <c r="BBP55" s="15"/>
      <c r="BBQ55" s="15"/>
      <c r="BBR55" s="15"/>
      <c r="BBS55" s="15"/>
      <c r="BBT55" s="15"/>
      <c r="BBU55" s="15"/>
      <c r="BBV55" s="15"/>
      <c r="BBW55" s="15"/>
      <c r="BBX55" s="15"/>
      <c r="BBY55" s="15"/>
      <c r="BBZ55" s="15"/>
      <c r="BCA55" s="15"/>
      <c r="BCB55" s="15"/>
      <c r="BCC55" s="15"/>
      <c r="BCD55" s="15"/>
      <c r="BCE55" s="15"/>
      <c r="BCF55" s="15"/>
      <c r="BCG55" s="15"/>
      <c r="BCH55" s="15"/>
      <c r="BCI55" s="15"/>
      <c r="BCJ55" s="15"/>
      <c r="BCK55" s="15"/>
      <c r="BCL55" s="15"/>
      <c r="BCM55" s="15"/>
      <c r="BCN55" s="15"/>
      <c r="BCO55" s="15"/>
      <c r="BCP55" s="15"/>
      <c r="BCQ55" s="15"/>
      <c r="BCR55" s="15"/>
      <c r="BCS55" s="15"/>
      <c r="BCT55" s="15"/>
      <c r="BCU55" s="15"/>
      <c r="BCV55" s="15"/>
      <c r="BCW55" s="15"/>
      <c r="BCX55" s="15"/>
      <c r="BCY55" s="15"/>
      <c r="BCZ55" s="15"/>
      <c r="BDA55" s="15"/>
      <c r="BDB55" s="15"/>
      <c r="BDC55" s="15"/>
      <c r="BDD55" s="15"/>
      <c r="BDE55" s="15"/>
      <c r="BDF55" s="15"/>
      <c r="BDG55" s="15"/>
      <c r="BDH55" s="15"/>
      <c r="BDI55" s="15"/>
      <c r="BDJ55" s="15"/>
      <c r="BDK55" s="15"/>
      <c r="BDL55" s="15"/>
      <c r="BDM55" s="15"/>
      <c r="BDN55" s="15"/>
      <c r="BDO55" s="15"/>
      <c r="BDP55" s="15"/>
      <c r="BDQ55" s="15"/>
      <c r="BDR55" s="15"/>
      <c r="BDS55" s="15"/>
      <c r="BDT55" s="15"/>
      <c r="BDU55" s="15"/>
      <c r="BDV55" s="15"/>
      <c r="BDW55" s="15"/>
      <c r="BDX55" s="15"/>
      <c r="BDY55" s="15"/>
      <c r="BDZ55" s="15"/>
      <c r="BEA55" s="15"/>
      <c r="BEB55" s="15"/>
      <c r="BEC55" s="15"/>
      <c r="BED55" s="15"/>
      <c r="BEE55" s="15"/>
      <c r="BEF55" s="15"/>
      <c r="BEG55" s="15"/>
      <c r="BEH55" s="15"/>
      <c r="BEI55" s="15"/>
      <c r="BEJ55" s="15"/>
      <c r="BEK55" s="15"/>
      <c r="BEL55" s="15"/>
      <c r="BEM55" s="15"/>
      <c r="BEN55" s="15"/>
      <c r="BEO55" s="15"/>
      <c r="BEP55" s="15"/>
      <c r="BEQ55" s="15"/>
      <c r="BER55" s="15"/>
      <c r="BES55" s="15"/>
      <c r="BET55" s="15"/>
      <c r="BEU55" s="15"/>
      <c r="BEV55" s="15"/>
      <c r="BEW55" s="15"/>
      <c r="BEX55" s="15"/>
      <c r="BEY55" s="15"/>
      <c r="BEZ55" s="15"/>
      <c r="BFA55" s="15"/>
      <c r="BFB55" s="15"/>
      <c r="BFC55" s="15"/>
      <c r="BFD55" s="15"/>
      <c r="BFE55" s="15"/>
      <c r="BFF55" s="15"/>
      <c r="BFG55" s="15"/>
      <c r="BFH55" s="15"/>
      <c r="BFI55" s="15"/>
      <c r="BFJ55" s="15"/>
      <c r="BFK55" s="15"/>
      <c r="BFL55" s="15"/>
      <c r="BFM55" s="15"/>
      <c r="BFN55" s="15"/>
      <c r="BFO55" s="15"/>
      <c r="BFP55" s="15"/>
      <c r="BFQ55" s="15"/>
      <c r="BFR55" s="15"/>
      <c r="BFS55" s="15"/>
      <c r="BFT55" s="15"/>
      <c r="BFU55" s="15"/>
      <c r="BFV55" s="15"/>
      <c r="BFW55" s="15"/>
      <c r="BFX55" s="15"/>
      <c r="BFY55" s="15"/>
      <c r="BFZ55" s="15"/>
      <c r="BGA55" s="15"/>
      <c r="BGB55" s="15"/>
      <c r="BGC55" s="15"/>
      <c r="BGD55" s="15"/>
      <c r="BGE55" s="15"/>
      <c r="BGF55" s="15"/>
      <c r="BGG55" s="15"/>
      <c r="BGH55" s="15"/>
      <c r="BGI55" s="15"/>
      <c r="BGJ55" s="15"/>
      <c r="BGK55" s="15"/>
      <c r="BGL55" s="15"/>
      <c r="BGM55" s="15"/>
      <c r="BGN55" s="15"/>
      <c r="BGO55" s="15"/>
      <c r="BGP55" s="15"/>
      <c r="BGQ55" s="15"/>
      <c r="BGR55" s="15"/>
      <c r="BGS55" s="15"/>
      <c r="BGT55" s="15"/>
      <c r="BGU55" s="15"/>
      <c r="BGV55" s="15"/>
      <c r="BGW55" s="15"/>
      <c r="BGX55" s="15"/>
      <c r="BGY55" s="15"/>
      <c r="BGZ55" s="15"/>
      <c r="BHA55" s="15"/>
      <c r="BHB55" s="15"/>
      <c r="BHC55" s="15"/>
      <c r="BHD55" s="15"/>
      <c r="BHE55" s="15"/>
      <c r="BHF55" s="15"/>
      <c r="BHG55" s="15"/>
      <c r="BHH55" s="15"/>
      <c r="BHI55" s="15"/>
      <c r="BHJ55" s="15"/>
      <c r="BHK55" s="15"/>
      <c r="BHL55" s="15"/>
      <c r="BHM55" s="15"/>
      <c r="BHN55" s="15"/>
      <c r="BHO55" s="15"/>
      <c r="BHP55" s="15"/>
      <c r="BHQ55" s="15"/>
      <c r="BHR55" s="15"/>
      <c r="BHS55" s="15"/>
      <c r="BHT55" s="15"/>
      <c r="BHU55" s="15"/>
      <c r="BHV55" s="15"/>
      <c r="BHW55" s="15"/>
      <c r="BHX55" s="15"/>
      <c r="BHY55" s="15"/>
      <c r="BHZ55" s="15"/>
      <c r="BIA55" s="15"/>
      <c r="BIB55" s="15"/>
      <c r="BIC55" s="15"/>
      <c r="BID55" s="15"/>
      <c r="BIE55" s="15"/>
      <c r="BIF55" s="15"/>
      <c r="BIG55" s="15"/>
      <c r="BIH55" s="15"/>
      <c r="BII55" s="15"/>
      <c r="BIJ55" s="15"/>
      <c r="BIK55" s="15"/>
      <c r="BIL55" s="15"/>
      <c r="BIM55" s="15"/>
      <c r="BIN55" s="15"/>
      <c r="BIO55" s="15"/>
      <c r="BIP55" s="15"/>
      <c r="BIQ55" s="15"/>
      <c r="BIR55" s="15"/>
      <c r="BIS55" s="15"/>
      <c r="BIT55" s="15"/>
      <c r="BIU55" s="15"/>
      <c r="BIV55" s="15"/>
      <c r="BIW55" s="15"/>
      <c r="BIX55" s="15"/>
      <c r="BIY55" s="15"/>
      <c r="BIZ55" s="15"/>
      <c r="BJA55" s="15"/>
      <c r="BJB55" s="15"/>
      <c r="BJC55" s="15"/>
      <c r="BJD55" s="15"/>
      <c r="BJE55" s="15"/>
      <c r="BJF55" s="15"/>
      <c r="BJG55" s="15"/>
      <c r="BJH55" s="15"/>
      <c r="BJI55" s="15"/>
      <c r="BJJ55" s="15"/>
      <c r="BJK55" s="15"/>
      <c r="BJL55" s="15"/>
      <c r="BJM55" s="15"/>
      <c r="BJN55" s="15"/>
      <c r="BJO55" s="15"/>
      <c r="BJP55" s="15"/>
      <c r="BJQ55" s="15"/>
      <c r="BJR55" s="15"/>
      <c r="BJS55" s="15"/>
      <c r="BJT55" s="15"/>
      <c r="BJU55" s="15"/>
      <c r="BJV55" s="15"/>
      <c r="BJW55" s="15"/>
      <c r="BJX55" s="15"/>
      <c r="BJY55" s="15"/>
      <c r="BJZ55" s="15"/>
      <c r="BKA55" s="15"/>
      <c r="BKB55" s="15"/>
      <c r="BKC55" s="15"/>
      <c r="BKD55" s="15"/>
      <c r="BKE55" s="15"/>
      <c r="BKF55" s="15"/>
      <c r="BKG55" s="15"/>
      <c r="BKH55" s="15"/>
      <c r="BKI55" s="15"/>
      <c r="BKJ55" s="15"/>
      <c r="BKK55" s="15"/>
      <c r="BKL55" s="15"/>
      <c r="BKM55" s="15"/>
      <c r="BKN55" s="15"/>
      <c r="BKO55" s="15"/>
      <c r="BKP55" s="15"/>
      <c r="BKQ55" s="15"/>
      <c r="BKR55" s="15"/>
      <c r="BKS55" s="15"/>
      <c r="BKT55" s="15"/>
      <c r="BKU55" s="15"/>
      <c r="BKV55" s="15"/>
      <c r="BKW55" s="15"/>
      <c r="BKX55" s="15"/>
      <c r="BKY55" s="15"/>
      <c r="BKZ55" s="15"/>
      <c r="BLA55" s="15"/>
      <c r="BLB55" s="15"/>
      <c r="BLC55" s="15"/>
      <c r="BLD55" s="15"/>
      <c r="BLE55" s="15"/>
      <c r="BLF55" s="15"/>
      <c r="BLG55" s="15"/>
      <c r="BLH55" s="15"/>
      <c r="BLI55" s="15"/>
      <c r="BLJ55" s="15"/>
      <c r="BLK55" s="15"/>
      <c r="BLL55" s="15"/>
      <c r="BLM55" s="15"/>
      <c r="BLN55" s="15"/>
      <c r="BLO55" s="15"/>
      <c r="BLP55" s="15"/>
      <c r="BLQ55" s="15"/>
      <c r="BLR55" s="15"/>
      <c r="BLS55" s="15"/>
      <c r="BLT55" s="15"/>
      <c r="BLU55" s="15"/>
      <c r="BLV55" s="15"/>
      <c r="BLW55" s="15"/>
      <c r="BLX55" s="15"/>
      <c r="BLY55" s="15"/>
      <c r="BLZ55" s="15"/>
      <c r="BMA55" s="15"/>
      <c r="BMB55" s="15"/>
      <c r="BMC55" s="15"/>
      <c r="BMD55" s="15"/>
      <c r="BME55" s="15"/>
      <c r="BMF55" s="15"/>
      <c r="BMG55" s="15"/>
      <c r="BMH55" s="15"/>
      <c r="BMI55" s="15"/>
      <c r="BMJ55" s="15"/>
      <c r="BMK55" s="15"/>
      <c r="BML55" s="15"/>
      <c r="BMM55" s="15"/>
      <c r="BMN55" s="15"/>
      <c r="BMO55" s="15"/>
      <c r="BMP55" s="15"/>
      <c r="BMQ55" s="15"/>
      <c r="BMR55" s="15"/>
      <c r="BMS55" s="15"/>
      <c r="BMT55" s="15"/>
      <c r="BMU55" s="15"/>
      <c r="BMV55" s="15"/>
      <c r="BMW55" s="15"/>
      <c r="BMX55" s="15"/>
      <c r="BMY55" s="15"/>
      <c r="BMZ55" s="15"/>
      <c r="BNA55" s="15"/>
      <c r="BNB55" s="15"/>
      <c r="BNC55" s="15"/>
      <c r="BND55" s="15"/>
      <c r="BNE55" s="15"/>
      <c r="BNF55" s="15"/>
      <c r="BNG55" s="15"/>
      <c r="BNH55" s="15"/>
      <c r="BNI55" s="15"/>
      <c r="BNJ55" s="15"/>
      <c r="BNK55" s="15"/>
      <c r="BNL55" s="15"/>
      <c r="BNM55" s="15"/>
      <c r="BNN55" s="15"/>
      <c r="BNO55" s="15"/>
      <c r="BNP55" s="15"/>
      <c r="BNQ55" s="15"/>
      <c r="BNR55" s="15"/>
      <c r="BNS55" s="15"/>
      <c r="BNT55" s="15"/>
      <c r="BNU55" s="15"/>
      <c r="BNV55" s="15"/>
      <c r="BNW55" s="15"/>
      <c r="BNX55" s="15"/>
      <c r="BNY55" s="15"/>
      <c r="BNZ55" s="15"/>
      <c r="BOA55" s="15"/>
      <c r="BOB55" s="15"/>
      <c r="BOC55" s="15"/>
      <c r="BOD55" s="15"/>
      <c r="BOE55" s="15"/>
      <c r="BOF55" s="15"/>
      <c r="BOG55" s="15"/>
      <c r="BOH55" s="15"/>
      <c r="BOI55" s="15"/>
      <c r="BOJ55" s="15"/>
      <c r="BOK55" s="15"/>
      <c r="BOL55" s="15"/>
      <c r="BOM55" s="15"/>
      <c r="BON55" s="15"/>
      <c r="BOO55" s="15"/>
      <c r="BOP55" s="15"/>
      <c r="BOQ55" s="15"/>
      <c r="BOR55" s="15"/>
      <c r="BOS55" s="15"/>
      <c r="BOT55" s="15"/>
      <c r="BOU55" s="15"/>
      <c r="BOV55" s="15"/>
      <c r="BOW55" s="15"/>
      <c r="BOX55" s="15"/>
      <c r="BOY55" s="15"/>
      <c r="BOZ55" s="15"/>
      <c r="BPA55" s="15"/>
      <c r="BPB55" s="15"/>
      <c r="BPC55" s="15"/>
      <c r="BPD55" s="15"/>
      <c r="BPE55" s="15"/>
      <c r="BPF55" s="15"/>
      <c r="BPG55" s="15"/>
      <c r="BPH55" s="15"/>
      <c r="BPI55" s="15"/>
      <c r="BPJ55" s="15"/>
      <c r="BPK55" s="15"/>
      <c r="BPL55" s="15"/>
      <c r="BPM55" s="15"/>
      <c r="BPN55" s="15"/>
      <c r="BPO55" s="15"/>
      <c r="BPP55" s="15"/>
      <c r="BPQ55" s="15"/>
      <c r="BPR55" s="15"/>
      <c r="BPS55" s="15"/>
      <c r="BPT55" s="15"/>
      <c r="BPU55" s="15"/>
      <c r="BPV55" s="15"/>
      <c r="BPW55" s="15"/>
      <c r="BPX55" s="15"/>
      <c r="BPY55" s="15"/>
      <c r="BPZ55" s="15"/>
      <c r="BQA55" s="15"/>
      <c r="BQB55" s="15"/>
      <c r="BQC55" s="15"/>
      <c r="BQD55" s="15"/>
      <c r="BQE55" s="15"/>
      <c r="BQF55" s="15"/>
      <c r="BQG55" s="15"/>
      <c r="BQH55" s="15"/>
      <c r="BQI55" s="15"/>
      <c r="BQJ55" s="15"/>
      <c r="BQK55" s="15"/>
      <c r="BQL55" s="15"/>
      <c r="BQM55" s="15"/>
      <c r="BQN55" s="15"/>
      <c r="BQO55" s="15"/>
      <c r="BQP55" s="15"/>
      <c r="BQQ55" s="15"/>
      <c r="BQR55" s="15"/>
      <c r="BQS55" s="15"/>
      <c r="BQT55" s="15"/>
      <c r="BQU55" s="15"/>
      <c r="BQV55" s="15"/>
      <c r="BQW55" s="15"/>
      <c r="BQX55" s="15"/>
      <c r="BQY55" s="15"/>
      <c r="BQZ55" s="15"/>
      <c r="BRA55" s="15"/>
      <c r="BRB55" s="15"/>
      <c r="BRC55" s="15"/>
      <c r="BRD55" s="15"/>
      <c r="BRE55" s="15"/>
      <c r="BRF55" s="15"/>
      <c r="BRG55" s="15"/>
      <c r="BRH55" s="15"/>
      <c r="BRI55" s="15"/>
      <c r="BRJ55" s="15"/>
      <c r="BRK55" s="15"/>
      <c r="BRL55" s="15"/>
      <c r="BRM55" s="15"/>
      <c r="BRN55" s="15"/>
      <c r="BRO55" s="15"/>
      <c r="BRP55" s="15"/>
      <c r="BRQ55" s="15"/>
      <c r="BRR55" s="15"/>
      <c r="BRS55" s="15"/>
      <c r="BRT55" s="15"/>
      <c r="BRU55" s="15"/>
      <c r="BRV55" s="15"/>
      <c r="BRW55" s="15"/>
      <c r="BRX55" s="15"/>
      <c r="BRY55" s="15"/>
      <c r="BRZ55" s="15"/>
      <c r="BSA55" s="15"/>
      <c r="BSB55" s="15"/>
      <c r="BSC55" s="15"/>
      <c r="BSD55" s="15"/>
      <c r="BSE55" s="15"/>
      <c r="BSF55" s="15"/>
      <c r="BSG55" s="15"/>
      <c r="BSH55" s="15"/>
      <c r="BSI55" s="15"/>
      <c r="BSJ55" s="15"/>
      <c r="BSK55" s="15"/>
      <c r="BSL55" s="15"/>
      <c r="BSM55" s="15"/>
      <c r="BSN55" s="15"/>
      <c r="BSO55" s="15"/>
      <c r="BSP55" s="15"/>
      <c r="BSQ55" s="15"/>
      <c r="BSR55" s="15"/>
      <c r="BSS55" s="15"/>
      <c r="BST55" s="15"/>
      <c r="BSU55" s="15"/>
      <c r="BSV55" s="15"/>
      <c r="BSW55" s="15"/>
      <c r="BSX55" s="15"/>
      <c r="BSY55" s="15"/>
      <c r="BSZ55" s="15"/>
      <c r="BTA55" s="15"/>
      <c r="BTB55" s="15"/>
      <c r="BTC55" s="15"/>
      <c r="BTD55" s="15"/>
      <c r="BTE55" s="15"/>
      <c r="BTF55" s="15"/>
      <c r="BTG55" s="15"/>
      <c r="BTH55" s="15"/>
      <c r="BTI55" s="15"/>
      <c r="BTJ55" s="15"/>
      <c r="BTK55" s="15"/>
      <c r="BTL55" s="15"/>
      <c r="BTM55" s="15"/>
      <c r="BTN55" s="15"/>
      <c r="BTO55" s="15"/>
      <c r="BTP55" s="15"/>
      <c r="BTQ55" s="15"/>
      <c r="BTR55" s="15"/>
      <c r="BTS55" s="15"/>
      <c r="BTT55" s="15"/>
      <c r="BTU55" s="15"/>
      <c r="BTV55" s="15"/>
      <c r="BTW55" s="15"/>
      <c r="BTX55" s="15"/>
      <c r="BTY55" s="15"/>
      <c r="BTZ55" s="15"/>
      <c r="BUA55" s="15"/>
      <c r="BUB55" s="15"/>
      <c r="BUC55" s="15"/>
      <c r="BUD55" s="15"/>
      <c r="BUE55" s="15"/>
      <c r="BUF55" s="15"/>
      <c r="BUG55" s="15"/>
      <c r="BUH55" s="15"/>
      <c r="BUI55" s="15"/>
      <c r="BUJ55" s="15"/>
      <c r="BUK55" s="15"/>
      <c r="BUL55" s="15"/>
      <c r="BUM55" s="15"/>
      <c r="BUN55" s="15"/>
      <c r="BUO55" s="15"/>
      <c r="BUP55" s="15"/>
      <c r="BUQ55" s="15"/>
      <c r="BUR55" s="15"/>
      <c r="BUS55" s="15"/>
      <c r="BUT55" s="15"/>
      <c r="BUU55" s="15"/>
      <c r="BUV55" s="15"/>
      <c r="BUW55" s="15"/>
      <c r="BUX55" s="15"/>
      <c r="BUY55" s="15"/>
      <c r="BUZ55" s="15"/>
      <c r="BVA55" s="15"/>
      <c r="BVB55" s="15"/>
      <c r="BVC55" s="15"/>
      <c r="BVD55" s="15"/>
      <c r="BVE55" s="15"/>
      <c r="BVF55" s="15"/>
      <c r="BVG55" s="15"/>
      <c r="BVH55" s="15"/>
      <c r="BVI55" s="15"/>
      <c r="BVJ55" s="15"/>
      <c r="BVK55" s="15"/>
      <c r="BVL55" s="15"/>
      <c r="BVM55" s="15"/>
      <c r="BVN55" s="15"/>
      <c r="BVO55" s="15"/>
      <c r="BVP55" s="15"/>
      <c r="BVQ55" s="15"/>
      <c r="BVR55" s="15"/>
      <c r="BVS55" s="15"/>
      <c r="BVT55" s="15"/>
      <c r="BVU55" s="15"/>
      <c r="BVV55" s="15"/>
      <c r="BVW55" s="15"/>
      <c r="BVX55" s="15"/>
      <c r="BVY55" s="15"/>
      <c r="BVZ55" s="15"/>
      <c r="BWA55" s="15"/>
      <c r="BWB55" s="15"/>
      <c r="BWC55" s="15"/>
      <c r="BWD55" s="15"/>
      <c r="BWE55" s="15"/>
      <c r="BWF55" s="15"/>
      <c r="BWG55" s="15"/>
      <c r="BWH55" s="15"/>
      <c r="BWI55" s="15"/>
      <c r="BWJ55" s="15"/>
      <c r="BWK55" s="15"/>
      <c r="BWL55" s="15"/>
      <c r="BWM55" s="15"/>
      <c r="BWN55" s="15"/>
      <c r="BWO55" s="15"/>
      <c r="BWP55" s="15"/>
      <c r="BWQ55" s="15"/>
      <c r="BWR55" s="15"/>
      <c r="BWS55" s="15"/>
      <c r="BWT55" s="15"/>
      <c r="BWU55" s="15"/>
      <c r="BWV55" s="15"/>
      <c r="BWW55" s="15"/>
      <c r="BWX55" s="15"/>
      <c r="BWY55" s="15"/>
      <c r="BWZ55" s="15"/>
      <c r="BXA55" s="15"/>
      <c r="BXB55" s="15"/>
      <c r="BXC55" s="15"/>
      <c r="BXD55" s="15"/>
      <c r="BXE55" s="15"/>
      <c r="BXF55" s="15"/>
      <c r="BXG55" s="15"/>
      <c r="BXH55" s="15"/>
      <c r="BXI55" s="15"/>
      <c r="BXJ55" s="15"/>
      <c r="BXK55" s="15"/>
      <c r="BXL55" s="15"/>
      <c r="BXM55" s="15"/>
      <c r="BXN55" s="15"/>
      <c r="BXO55" s="15"/>
      <c r="BXP55" s="15"/>
      <c r="BXQ55" s="15"/>
      <c r="BXR55" s="15"/>
      <c r="BXS55" s="15"/>
      <c r="BXT55" s="15"/>
      <c r="BXU55" s="15"/>
      <c r="BXV55" s="15"/>
      <c r="BXW55" s="15"/>
      <c r="BXX55" s="15"/>
      <c r="BXY55" s="15"/>
      <c r="BXZ55" s="15"/>
      <c r="BYA55" s="15"/>
      <c r="BYB55" s="15"/>
      <c r="BYC55" s="15"/>
      <c r="BYD55" s="15"/>
      <c r="BYE55" s="15"/>
      <c r="BYF55" s="15"/>
      <c r="BYG55" s="15"/>
      <c r="BYH55" s="15"/>
      <c r="BYI55" s="15"/>
      <c r="BYJ55" s="15"/>
      <c r="BYK55" s="15"/>
      <c r="BYL55" s="15"/>
      <c r="BYM55" s="15"/>
      <c r="BYN55" s="15"/>
      <c r="BYO55" s="15"/>
      <c r="BYP55" s="15"/>
      <c r="BYQ55" s="15"/>
      <c r="BYR55" s="15"/>
      <c r="BYS55" s="15"/>
      <c r="BYT55" s="15"/>
      <c r="BYU55" s="15"/>
      <c r="BYV55" s="15"/>
      <c r="BYW55" s="15"/>
      <c r="BYX55" s="15"/>
      <c r="BYY55" s="15"/>
      <c r="BYZ55" s="15"/>
      <c r="BZA55" s="15"/>
      <c r="BZB55" s="15"/>
      <c r="BZC55" s="15"/>
      <c r="BZD55" s="15"/>
      <c r="BZE55" s="15"/>
      <c r="BZF55" s="15"/>
      <c r="BZG55" s="15"/>
      <c r="BZH55" s="15"/>
      <c r="BZI55" s="15"/>
      <c r="BZJ55" s="15"/>
      <c r="BZK55" s="15"/>
      <c r="BZL55" s="15"/>
      <c r="BZM55" s="15"/>
      <c r="BZN55" s="15"/>
      <c r="BZO55" s="15"/>
      <c r="BZP55" s="15"/>
      <c r="BZQ55" s="15"/>
      <c r="BZR55" s="15"/>
      <c r="BZS55" s="15"/>
      <c r="BZT55" s="15"/>
      <c r="BZU55" s="15"/>
      <c r="BZV55" s="15"/>
      <c r="BZW55" s="15"/>
      <c r="BZX55" s="15"/>
      <c r="BZY55" s="15"/>
      <c r="BZZ55" s="15"/>
      <c r="CAA55" s="15"/>
      <c r="CAB55" s="15"/>
      <c r="CAC55" s="15"/>
      <c r="CAD55" s="15"/>
      <c r="CAE55" s="15"/>
      <c r="CAF55" s="15"/>
      <c r="CAG55" s="15"/>
      <c r="CAH55" s="15"/>
      <c r="CAI55" s="15"/>
      <c r="CAJ55" s="15"/>
      <c r="CAK55" s="15"/>
      <c r="CAL55" s="15"/>
      <c r="CAM55" s="15"/>
      <c r="CAN55" s="15"/>
      <c r="CAO55" s="15"/>
      <c r="CAP55" s="15"/>
      <c r="CAQ55" s="15"/>
      <c r="CAR55" s="15"/>
      <c r="CAS55" s="15"/>
      <c r="CAT55" s="15"/>
      <c r="CAU55" s="15"/>
      <c r="CAV55" s="15"/>
      <c r="CAW55" s="15"/>
      <c r="CAX55" s="15"/>
      <c r="CAY55" s="15"/>
      <c r="CAZ55" s="15"/>
      <c r="CBA55" s="15"/>
      <c r="CBB55" s="15"/>
      <c r="CBC55" s="15"/>
      <c r="CBD55" s="15"/>
      <c r="CBE55" s="15"/>
      <c r="CBF55" s="15"/>
      <c r="CBG55" s="15"/>
      <c r="CBH55" s="15"/>
      <c r="CBI55" s="15"/>
      <c r="CBJ55" s="15"/>
      <c r="CBK55" s="15"/>
      <c r="CBL55" s="15"/>
      <c r="CBM55" s="15"/>
      <c r="CBN55" s="15"/>
      <c r="CBO55" s="15"/>
      <c r="CBP55" s="15"/>
      <c r="CBQ55" s="15"/>
      <c r="CBR55" s="15"/>
      <c r="CBS55" s="15"/>
      <c r="CBT55" s="15"/>
      <c r="CBU55" s="15"/>
      <c r="CBV55" s="15"/>
      <c r="CBW55" s="15"/>
      <c r="CBX55" s="15"/>
      <c r="CBY55" s="15"/>
      <c r="CBZ55" s="15"/>
      <c r="CCA55" s="15"/>
      <c r="CCB55" s="15"/>
      <c r="CCC55" s="15"/>
      <c r="CCD55" s="15"/>
      <c r="CCE55" s="15"/>
      <c r="CCF55" s="15"/>
      <c r="CCG55" s="15"/>
      <c r="CCH55" s="15"/>
      <c r="CCI55" s="15"/>
      <c r="CCJ55" s="15"/>
      <c r="CCK55" s="15"/>
      <c r="CCL55" s="15"/>
      <c r="CCM55" s="15"/>
      <c r="CCN55" s="15"/>
      <c r="CCO55" s="15"/>
      <c r="CCP55" s="15"/>
      <c r="CCQ55" s="15"/>
      <c r="CCR55" s="15"/>
      <c r="CCS55" s="15"/>
      <c r="CCT55" s="15"/>
      <c r="CCU55" s="15"/>
      <c r="CCV55" s="15"/>
      <c r="CCW55" s="15"/>
      <c r="CCX55" s="15"/>
      <c r="CCY55" s="15"/>
      <c r="CCZ55" s="15"/>
      <c r="CDA55" s="15"/>
      <c r="CDB55" s="15"/>
      <c r="CDC55" s="15"/>
      <c r="CDD55" s="15"/>
      <c r="CDE55" s="15"/>
      <c r="CDF55" s="15"/>
      <c r="CDG55" s="15"/>
      <c r="CDH55" s="15"/>
      <c r="CDI55" s="15"/>
      <c r="CDJ55" s="15"/>
      <c r="CDK55" s="15"/>
      <c r="CDL55" s="15"/>
      <c r="CDM55" s="15"/>
      <c r="CDN55" s="15"/>
      <c r="CDO55" s="15"/>
      <c r="CDP55" s="15"/>
      <c r="CDQ55" s="15"/>
      <c r="CDR55" s="15"/>
      <c r="CDS55" s="15"/>
      <c r="CDT55" s="15"/>
      <c r="CDU55" s="15"/>
      <c r="CDV55" s="15"/>
      <c r="CDW55" s="15"/>
      <c r="CDX55" s="15"/>
      <c r="CDY55" s="15"/>
      <c r="CDZ55" s="15"/>
      <c r="CEA55" s="15"/>
      <c r="CEB55" s="15"/>
      <c r="CEC55" s="15"/>
      <c r="CED55" s="15"/>
      <c r="CEE55" s="15"/>
      <c r="CEF55" s="15"/>
      <c r="CEG55" s="15"/>
      <c r="CEH55" s="15"/>
      <c r="CEI55" s="15"/>
      <c r="CEJ55" s="15"/>
      <c r="CEK55" s="15"/>
      <c r="CEL55" s="15"/>
      <c r="CEM55" s="15"/>
      <c r="CEN55" s="15"/>
      <c r="CEO55" s="15"/>
      <c r="CEP55" s="15"/>
      <c r="CEQ55" s="15"/>
      <c r="CER55" s="15"/>
      <c r="CES55" s="15"/>
      <c r="CET55" s="15"/>
      <c r="CEU55" s="15"/>
      <c r="CEV55" s="15"/>
      <c r="CEW55" s="15"/>
      <c r="CEX55" s="15"/>
      <c r="CEY55" s="15"/>
      <c r="CEZ55" s="15"/>
      <c r="CFA55" s="15"/>
      <c r="CFB55" s="15"/>
      <c r="CFC55" s="15"/>
      <c r="CFD55" s="15"/>
      <c r="CFE55" s="15"/>
      <c r="CFF55" s="15"/>
      <c r="CFG55" s="15"/>
      <c r="CFH55" s="15"/>
      <c r="CFI55" s="15"/>
      <c r="CFJ55" s="15"/>
      <c r="CFK55" s="15"/>
      <c r="CFL55" s="15"/>
      <c r="CFM55" s="15"/>
      <c r="CFN55" s="15"/>
      <c r="CFO55" s="15"/>
      <c r="CFP55" s="15"/>
      <c r="CFQ55" s="15"/>
      <c r="CFR55" s="15"/>
      <c r="CFS55" s="15"/>
      <c r="CFT55" s="15"/>
      <c r="CFU55" s="15"/>
      <c r="CFV55" s="15"/>
      <c r="CFW55" s="15"/>
      <c r="CFX55" s="15"/>
      <c r="CFY55" s="15"/>
      <c r="CFZ55" s="15"/>
      <c r="CGA55" s="15"/>
      <c r="CGB55" s="15"/>
      <c r="CGC55" s="15"/>
      <c r="CGD55" s="15"/>
      <c r="CGE55" s="15"/>
      <c r="CGF55" s="15"/>
      <c r="CGG55" s="15"/>
      <c r="CGH55" s="15"/>
      <c r="CGI55" s="15"/>
      <c r="CGJ55" s="15"/>
      <c r="CGK55" s="15"/>
      <c r="CGL55" s="15"/>
      <c r="CGM55" s="15"/>
      <c r="CGN55" s="15"/>
      <c r="CGO55" s="15"/>
      <c r="CGP55" s="15"/>
      <c r="CGQ55" s="15"/>
      <c r="CGR55" s="15"/>
      <c r="CGS55" s="15"/>
      <c r="CGT55" s="15"/>
      <c r="CGU55" s="15"/>
      <c r="CGV55" s="15"/>
      <c r="CGW55" s="15"/>
      <c r="CGX55" s="15"/>
      <c r="CGY55" s="15"/>
      <c r="CGZ55" s="15"/>
      <c r="CHA55" s="15"/>
      <c r="CHB55" s="15"/>
      <c r="CHC55" s="15"/>
      <c r="CHD55" s="15"/>
      <c r="CHE55" s="15"/>
      <c r="CHF55" s="15"/>
      <c r="CHG55" s="15"/>
      <c r="CHH55" s="15"/>
      <c r="CHI55" s="15"/>
      <c r="CHJ55" s="15"/>
      <c r="CHK55" s="15"/>
      <c r="CHL55" s="15"/>
      <c r="CHM55" s="15"/>
      <c r="CHN55" s="15"/>
      <c r="CHO55" s="15"/>
      <c r="CHP55" s="15"/>
      <c r="CHQ55" s="15"/>
      <c r="CHR55" s="15"/>
      <c r="CHS55" s="15"/>
      <c r="CHT55" s="15"/>
      <c r="CHU55" s="15"/>
      <c r="CHV55" s="15"/>
      <c r="CHW55" s="15"/>
      <c r="CHX55" s="15"/>
      <c r="CHY55" s="15"/>
      <c r="CHZ55" s="15"/>
      <c r="CIA55" s="15"/>
      <c r="CIB55" s="15"/>
      <c r="CIC55" s="15"/>
      <c r="CID55" s="15"/>
      <c r="CIE55" s="15"/>
      <c r="CIF55" s="15"/>
      <c r="CIG55" s="15"/>
      <c r="CIH55" s="15"/>
      <c r="CII55" s="15"/>
      <c r="CIJ55" s="15"/>
      <c r="CIK55" s="15"/>
      <c r="CIL55" s="15"/>
      <c r="CIM55" s="15"/>
      <c r="CIN55" s="15"/>
      <c r="CIO55" s="15"/>
      <c r="CIP55" s="15"/>
      <c r="CIQ55" s="15"/>
      <c r="CIR55" s="15"/>
      <c r="CIS55" s="15"/>
      <c r="CIT55" s="15"/>
      <c r="CIU55" s="15"/>
      <c r="CIV55" s="15"/>
      <c r="CIW55" s="15"/>
      <c r="CIX55" s="15"/>
      <c r="CIY55" s="15"/>
      <c r="CIZ55" s="15"/>
      <c r="CJA55" s="15"/>
      <c r="CJB55" s="15"/>
      <c r="CJC55" s="15"/>
      <c r="CJD55" s="15"/>
      <c r="CJE55" s="15"/>
      <c r="CJF55" s="15"/>
      <c r="CJG55" s="15"/>
      <c r="CJH55" s="15"/>
      <c r="CJI55" s="15"/>
      <c r="CJJ55" s="15"/>
      <c r="CJK55" s="15"/>
      <c r="CJL55" s="15"/>
      <c r="CJM55" s="15"/>
      <c r="CJN55" s="15"/>
      <c r="CJO55" s="15"/>
      <c r="CJP55" s="15"/>
      <c r="CJQ55" s="15"/>
      <c r="CJR55" s="15"/>
      <c r="CJS55" s="15"/>
      <c r="CJT55" s="15"/>
      <c r="CJU55" s="15"/>
      <c r="CJV55" s="15"/>
      <c r="CJW55" s="15"/>
      <c r="CJX55" s="15"/>
      <c r="CJY55" s="15"/>
      <c r="CJZ55" s="15"/>
      <c r="CKA55" s="15"/>
      <c r="CKB55" s="15"/>
      <c r="CKC55" s="15"/>
      <c r="CKD55" s="15"/>
      <c r="CKE55" s="15"/>
      <c r="CKF55" s="15"/>
      <c r="CKG55" s="15"/>
      <c r="CKH55" s="15"/>
      <c r="CKI55" s="15"/>
      <c r="CKJ55" s="15"/>
      <c r="CKK55" s="15"/>
      <c r="CKL55" s="15"/>
      <c r="CKM55" s="15"/>
      <c r="CKN55" s="15"/>
      <c r="CKO55" s="15"/>
      <c r="CKP55" s="15"/>
      <c r="CKQ55" s="15"/>
      <c r="CKR55" s="15"/>
      <c r="CKS55" s="15"/>
      <c r="CKT55" s="15"/>
      <c r="CKU55" s="15"/>
      <c r="CKV55" s="15"/>
      <c r="CKW55" s="15"/>
      <c r="CKX55" s="15"/>
      <c r="CKY55" s="15"/>
      <c r="CKZ55" s="15"/>
      <c r="CLA55" s="15"/>
      <c r="CLB55" s="15"/>
      <c r="CLC55" s="15"/>
      <c r="CLD55" s="15"/>
      <c r="CLE55" s="15"/>
      <c r="CLF55" s="15"/>
      <c r="CLG55" s="15"/>
      <c r="CLH55" s="15"/>
      <c r="CLI55" s="15"/>
      <c r="CLJ55" s="15"/>
      <c r="CLK55" s="15"/>
      <c r="CLL55" s="15"/>
      <c r="CLM55" s="15"/>
      <c r="CLN55" s="15"/>
      <c r="CLO55" s="15"/>
      <c r="CLP55" s="15"/>
      <c r="CLQ55" s="15"/>
      <c r="CLR55" s="15"/>
      <c r="CLS55" s="15"/>
      <c r="CLT55" s="15"/>
      <c r="CLU55" s="15"/>
      <c r="CLV55" s="15"/>
      <c r="CLW55" s="15"/>
      <c r="CLX55" s="15"/>
      <c r="CLY55" s="15"/>
      <c r="CLZ55" s="15"/>
      <c r="CMA55" s="15"/>
      <c r="CMB55" s="15"/>
      <c r="CMC55" s="15"/>
      <c r="CMD55" s="15"/>
      <c r="CME55" s="15"/>
      <c r="CMF55" s="15"/>
      <c r="CMG55" s="15"/>
      <c r="CMH55" s="15"/>
      <c r="CMI55" s="15"/>
      <c r="CMJ55" s="15"/>
      <c r="CMK55" s="15"/>
      <c r="CML55" s="15"/>
      <c r="CMM55" s="15"/>
      <c r="CMN55" s="15"/>
      <c r="CMO55" s="15"/>
      <c r="CMP55" s="15"/>
      <c r="CMQ55" s="15"/>
      <c r="CMR55" s="15"/>
      <c r="CMS55" s="15"/>
      <c r="CMT55" s="15"/>
      <c r="CMU55" s="15"/>
      <c r="CMV55" s="15"/>
      <c r="CMW55" s="15"/>
      <c r="CMX55" s="15"/>
      <c r="CMY55" s="15"/>
      <c r="CMZ55" s="15"/>
      <c r="CNA55" s="15"/>
      <c r="CNB55" s="15"/>
      <c r="CNC55" s="15"/>
      <c r="CND55" s="15"/>
      <c r="CNE55" s="15"/>
      <c r="CNF55" s="15"/>
      <c r="CNG55" s="15"/>
      <c r="CNH55" s="15"/>
      <c r="CNI55" s="15"/>
      <c r="CNJ55" s="15"/>
      <c r="CNK55" s="15"/>
      <c r="CNL55" s="15"/>
      <c r="CNM55" s="15"/>
      <c r="CNN55" s="15"/>
      <c r="CNO55" s="15"/>
      <c r="CNP55" s="15"/>
      <c r="CNQ55" s="15"/>
      <c r="CNR55" s="15"/>
      <c r="CNS55" s="15"/>
      <c r="CNT55" s="15"/>
      <c r="CNU55" s="15"/>
      <c r="CNV55" s="15"/>
      <c r="CNW55" s="15"/>
      <c r="CNX55" s="15"/>
      <c r="CNY55" s="15"/>
      <c r="CNZ55" s="15"/>
      <c r="COA55" s="15"/>
      <c r="COB55" s="15"/>
      <c r="COC55" s="15"/>
      <c r="COD55" s="15"/>
      <c r="COE55" s="15"/>
      <c r="COF55" s="15"/>
      <c r="COG55" s="15"/>
      <c r="COH55" s="15"/>
      <c r="COI55" s="15"/>
      <c r="COJ55" s="15"/>
      <c r="COK55" s="15"/>
      <c r="COL55" s="15"/>
      <c r="COM55" s="15"/>
      <c r="CON55" s="15"/>
      <c r="COO55" s="15"/>
      <c r="COP55" s="15"/>
      <c r="COQ55" s="15"/>
      <c r="COR55" s="15"/>
      <c r="COS55" s="15"/>
      <c r="COT55" s="15"/>
      <c r="COU55" s="15"/>
      <c r="COV55" s="15"/>
      <c r="COW55" s="15"/>
      <c r="COX55" s="15"/>
      <c r="COY55" s="15"/>
      <c r="COZ55" s="15"/>
      <c r="CPA55" s="15"/>
      <c r="CPB55" s="15"/>
      <c r="CPC55" s="15"/>
      <c r="CPD55" s="15"/>
      <c r="CPE55" s="15"/>
      <c r="CPF55" s="15"/>
      <c r="CPG55" s="15"/>
      <c r="CPH55" s="15"/>
      <c r="CPI55" s="15"/>
      <c r="CPJ55" s="15"/>
      <c r="CPK55" s="15"/>
      <c r="CPL55" s="15"/>
      <c r="CPM55" s="15"/>
      <c r="CPN55" s="15"/>
      <c r="CPO55" s="15"/>
      <c r="CPP55" s="15"/>
      <c r="CPQ55" s="15"/>
      <c r="CPR55" s="15"/>
      <c r="CPS55" s="15"/>
      <c r="CPT55" s="15"/>
      <c r="CPU55" s="15"/>
      <c r="CPV55" s="15"/>
      <c r="CPW55" s="15"/>
      <c r="CPX55" s="15"/>
      <c r="CPY55" s="15"/>
      <c r="CPZ55" s="15"/>
      <c r="CQA55" s="15"/>
      <c r="CQB55" s="15"/>
      <c r="CQC55" s="15"/>
      <c r="CQD55" s="15"/>
      <c r="CQE55" s="15"/>
      <c r="CQF55" s="15"/>
      <c r="CQG55" s="15"/>
      <c r="CQH55" s="15"/>
      <c r="CQI55" s="15"/>
      <c r="CQJ55" s="15"/>
      <c r="CQK55" s="15"/>
      <c r="CQL55" s="15"/>
      <c r="CQM55" s="15"/>
      <c r="CQN55" s="15"/>
      <c r="CQO55" s="15"/>
      <c r="CQP55" s="15"/>
      <c r="CQQ55" s="15"/>
      <c r="CQR55" s="15"/>
      <c r="CQS55" s="15"/>
      <c r="CQT55" s="15"/>
      <c r="CQU55" s="15"/>
      <c r="CQV55" s="15"/>
      <c r="CQW55" s="15"/>
      <c r="CQX55" s="15"/>
      <c r="CQY55" s="15"/>
      <c r="CQZ55" s="15"/>
      <c r="CRA55" s="15"/>
      <c r="CRB55" s="15"/>
      <c r="CRC55" s="15"/>
      <c r="CRD55" s="15"/>
      <c r="CRE55" s="15"/>
      <c r="CRF55" s="15"/>
      <c r="CRG55" s="15"/>
      <c r="CRH55" s="15"/>
      <c r="CRI55" s="15"/>
      <c r="CRJ55" s="15"/>
      <c r="CRK55" s="15"/>
      <c r="CRL55" s="15"/>
      <c r="CRM55" s="15"/>
      <c r="CRN55" s="15"/>
      <c r="CRO55" s="15"/>
      <c r="CRP55" s="15"/>
      <c r="CRQ55" s="15"/>
      <c r="CRR55" s="15"/>
      <c r="CRS55" s="15"/>
      <c r="CRT55" s="15"/>
      <c r="CRU55" s="15"/>
      <c r="CRV55" s="15"/>
      <c r="CRW55" s="15"/>
      <c r="CRX55" s="15"/>
      <c r="CRY55" s="15"/>
      <c r="CRZ55" s="15"/>
      <c r="CSA55" s="15"/>
      <c r="CSB55" s="15"/>
      <c r="CSC55" s="15"/>
      <c r="CSD55" s="15"/>
      <c r="CSE55" s="15"/>
      <c r="CSF55" s="15"/>
      <c r="CSG55" s="15"/>
      <c r="CSH55" s="15"/>
      <c r="CSI55" s="15"/>
      <c r="CSJ55" s="15"/>
      <c r="CSK55" s="15"/>
      <c r="CSL55" s="15"/>
      <c r="CSM55" s="15"/>
      <c r="CSN55" s="15"/>
      <c r="CSO55" s="15"/>
      <c r="CSP55" s="15"/>
      <c r="CSQ55" s="15"/>
      <c r="CSR55" s="15"/>
      <c r="CSS55" s="15"/>
      <c r="CST55" s="15"/>
      <c r="CSU55" s="15"/>
      <c r="CSV55" s="15"/>
      <c r="CSW55" s="15"/>
      <c r="CSX55" s="15"/>
      <c r="CSY55" s="15"/>
      <c r="CSZ55" s="15"/>
      <c r="CTA55" s="15"/>
      <c r="CTB55" s="15"/>
      <c r="CTC55" s="15"/>
      <c r="CTD55" s="15"/>
      <c r="CTE55" s="15"/>
      <c r="CTF55" s="15"/>
      <c r="CTG55" s="15"/>
      <c r="CTH55" s="15"/>
      <c r="CTI55" s="15"/>
      <c r="CTJ55" s="15"/>
      <c r="CTK55" s="15"/>
      <c r="CTL55" s="15"/>
      <c r="CTM55" s="15"/>
      <c r="CTN55" s="15"/>
      <c r="CTO55" s="15"/>
      <c r="CTP55" s="15"/>
      <c r="CTQ55" s="15"/>
      <c r="CTR55" s="15"/>
      <c r="CTS55" s="15"/>
      <c r="CTT55" s="15"/>
      <c r="CTU55" s="15"/>
      <c r="CTV55" s="15"/>
      <c r="CTW55" s="15"/>
      <c r="CTX55" s="15"/>
      <c r="CTY55" s="15"/>
      <c r="CTZ55" s="15"/>
      <c r="CUA55" s="15"/>
      <c r="CUB55" s="15"/>
      <c r="CUC55" s="15"/>
      <c r="CUD55" s="15"/>
      <c r="CUE55" s="15"/>
      <c r="CUF55" s="15"/>
      <c r="CUG55" s="15"/>
      <c r="CUH55" s="15"/>
      <c r="CUI55" s="15"/>
      <c r="CUJ55" s="15"/>
      <c r="CUK55" s="15"/>
      <c r="CUL55" s="15"/>
      <c r="CUM55" s="15"/>
      <c r="CUN55" s="15"/>
      <c r="CUO55" s="15"/>
      <c r="CUP55" s="15"/>
      <c r="CUQ55" s="15"/>
      <c r="CUR55" s="15"/>
      <c r="CUS55" s="15"/>
      <c r="CUT55" s="15"/>
      <c r="CUU55" s="15"/>
      <c r="CUV55" s="15"/>
      <c r="CUW55" s="15"/>
      <c r="CUX55" s="15"/>
      <c r="CUY55" s="15"/>
      <c r="CUZ55" s="15"/>
      <c r="CVA55" s="15"/>
      <c r="CVB55" s="15"/>
      <c r="CVC55" s="15"/>
      <c r="CVD55" s="15"/>
      <c r="CVE55" s="15"/>
      <c r="CVF55" s="15"/>
      <c r="CVG55" s="15"/>
      <c r="CVH55" s="15"/>
      <c r="CVI55" s="15"/>
      <c r="CVJ55" s="15"/>
      <c r="CVK55" s="15"/>
      <c r="CVL55" s="15"/>
      <c r="CVM55" s="15"/>
      <c r="CVN55" s="15"/>
      <c r="CVO55" s="15"/>
      <c r="CVP55" s="15"/>
      <c r="CVQ55" s="15"/>
      <c r="CVR55" s="15"/>
      <c r="CVS55" s="15"/>
      <c r="CVT55" s="15"/>
      <c r="CVU55" s="15"/>
      <c r="CVV55" s="15"/>
      <c r="CVW55" s="15"/>
      <c r="CVX55" s="15"/>
      <c r="CVY55" s="15"/>
      <c r="CVZ55" s="15"/>
      <c r="CWA55" s="15"/>
      <c r="CWB55" s="15"/>
      <c r="CWC55" s="15"/>
      <c r="CWD55" s="15"/>
      <c r="CWE55" s="15"/>
      <c r="CWF55" s="15"/>
      <c r="CWG55" s="15"/>
      <c r="CWH55" s="15"/>
      <c r="CWI55" s="15"/>
      <c r="CWJ55" s="15"/>
      <c r="CWK55" s="15"/>
      <c r="CWL55" s="15"/>
      <c r="CWM55" s="15"/>
      <c r="CWN55" s="15"/>
      <c r="CWO55" s="15"/>
      <c r="CWP55" s="15"/>
      <c r="CWQ55" s="15"/>
      <c r="CWR55" s="15"/>
      <c r="CWS55" s="15"/>
      <c r="CWT55" s="15"/>
      <c r="CWU55" s="15"/>
      <c r="CWV55" s="15"/>
      <c r="CWW55" s="15"/>
      <c r="CWX55" s="15"/>
      <c r="CWY55" s="15"/>
      <c r="CWZ55" s="15"/>
      <c r="CXA55" s="15"/>
      <c r="CXB55" s="15"/>
      <c r="CXC55" s="15"/>
      <c r="CXD55" s="15"/>
      <c r="CXE55" s="15"/>
      <c r="CXF55" s="15"/>
      <c r="CXG55" s="15"/>
      <c r="CXH55" s="15"/>
      <c r="CXI55" s="15"/>
      <c r="CXJ55" s="15"/>
      <c r="CXK55" s="15"/>
      <c r="CXL55" s="15"/>
      <c r="CXM55" s="15"/>
      <c r="CXN55" s="15"/>
      <c r="CXO55" s="15"/>
      <c r="CXP55" s="15"/>
      <c r="CXQ55" s="15"/>
      <c r="CXR55" s="15"/>
      <c r="CXS55" s="15"/>
      <c r="CXT55" s="15"/>
      <c r="CXU55" s="15"/>
      <c r="CXV55" s="15"/>
      <c r="CXW55" s="15"/>
      <c r="CXX55" s="15"/>
      <c r="CXY55" s="15"/>
      <c r="CXZ55" s="15"/>
      <c r="CYA55" s="15"/>
      <c r="CYB55" s="15"/>
      <c r="CYC55" s="15"/>
      <c r="CYD55" s="15"/>
      <c r="CYE55" s="15"/>
      <c r="CYF55" s="15"/>
      <c r="CYG55" s="15"/>
      <c r="CYH55" s="15"/>
      <c r="CYI55" s="15"/>
      <c r="CYJ55" s="15"/>
      <c r="CYK55" s="15"/>
      <c r="CYL55" s="15"/>
      <c r="CYM55" s="15"/>
      <c r="CYN55" s="15"/>
      <c r="CYO55" s="15"/>
      <c r="CYP55" s="15"/>
      <c r="CYQ55" s="15"/>
      <c r="CYR55" s="15"/>
      <c r="CYS55" s="15"/>
      <c r="CYT55" s="15"/>
      <c r="CYU55" s="15"/>
      <c r="CYV55" s="15"/>
      <c r="CYW55" s="15"/>
      <c r="CYX55" s="15"/>
      <c r="CYY55" s="15"/>
      <c r="CYZ55" s="15"/>
      <c r="CZA55" s="15"/>
      <c r="CZB55" s="15"/>
      <c r="CZC55" s="15"/>
      <c r="CZD55" s="15"/>
      <c r="CZE55" s="15"/>
      <c r="CZF55" s="15"/>
      <c r="CZG55" s="15"/>
      <c r="CZH55" s="15"/>
      <c r="CZI55" s="15"/>
      <c r="CZJ55" s="15"/>
      <c r="CZK55" s="15"/>
      <c r="CZL55" s="15"/>
      <c r="CZM55" s="15"/>
      <c r="CZN55" s="15"/>
      <c r="CZO55" s="15"/>
      <c r="CZP55" s="15"/>
      <c r="CZQ55" s="15"/>
      <c r="CZR55" s="15"/>
      <c r="CZS55" s="15"/>
      <c r="CZT55" s="15"/>
      <c r="CZU55" s="15"/>
      <c r="CZV55" s="15"/>
      <c r="CZW55" s="15"/>
      <c r="CZX55" s="15"/>
      <c r="CZY55" s="15"/>
      <c r="CZZ55" s="15"/>
      <c r="DAA55" s="15"/>
      <c r="DAB55" s="15"/>
      <c r="DAC55" s="15"/>
      <c r="DAD55" s="15"/>
      <c r="DAE55" s="15"/>
      <c r="DAF55" s="15"/>
      <c r="DAG55" s="15"/>
      <c r="DAH55" s="15"/>
      <c r="DAI55" s="15"/>
      <c r="DAJ55" s="15"/>
      <c r="DAK55" s="15"/>
      <c r="DAL55" s="15"/>
      <c r="DAM55" s="15"/>
      <c r="DAN55" s="15"/>
      <c r="DAO55" s="15"/>
      <c r="DAP55" s="15"/>
      <c r="DAQ55" s="15"/>
      <c r="DAR55" s="15"/>
      <c r="DAS55" s="15"/>
      <c r="DAT55" s="15"/>
      <c r="DAU55" s="15"/>
      <c r="DAV55" s="15"/>
      <c r="DAW55" s="15"/>
      <c r="DAX55" s="15"/>
      <c r="DAY55" s="15"/>
      <c r="DAZ55" s="15"/>
      <c r="DBA55" s="15"/>
      <c r="DBB55" s="15"/>
      <c r="DBC55" s="15"/>
      <c r="DBD55" s="15"/>
      <c r="DBE55" s="15"/>
      <c r="DBF55" s="15"/>
      <c r="DBG55" s="15"/>
      <c r="DBH55" s="15"/>
      <c r="DBI55" s="15"/>
      <c r="DBJ55" s="15"/>
      <c r="DBK55" s="15"/>
      <c r="DBL55" s="15"/>
      <c r="DBM55" s="15"/>
      <c r="DBN55" s="15"/>
      <c r="DBO55" s="15"/>
      <c r="DBP55" s="15"/>
      <c r="DBQ55" s="15"/>
      <c r="DBR55" s="15"/>
      <c r="DBS55" s="15"/>
      <c r="DBT55" s="15"/>
      <c r="DBU55" s="15"/>
      <c r="DBV55" s="15"/>
      <c r="DBW55" s="15"/>
      <c r="DBX55" s="15"/>
      <c r="DBY55" s="15"/>
      <c r="DBZ55" s="15"/>
      <c r="DCA55" s="15"/>
      <c r="DCB55" s="15"/>
      <c r="DCC55" s="15"/>
      <c r="DCD55" s="15"/>
      <c r="DCE55" s="15"/>
      <c r="DCF55" s="15"/>
      <c r="DCG55" s="15"/>
      <c r="DCH55" s="15"/>
      <c r="DCI55" s="15"/>
      <c r="DCJ55" s="15"/>
      <c r="DCK55" s="15"/>
      <c r="DCL55" s="15"/>
      <c r="DCM55" s="15"/>
      <c r="DCN55" s="15"/>
      <c r="DCO55" s="15"/>
      <c r="DCP55" s="15"/>
      <c r="DCQ55" s="15"/>
      <c r="DCR55" s="15"/>
      <c r="DCS55" s="15"/>
      <c r="DCT55" s="15"/>
      <c r="DCU55" s="15"/>
      <c r="DCV55" s="15"/>
      <c r="DCW55" s="15"/>
      <c r="DCX55" s="15"/>
      <c r="DCY55" s="15"/>
      <c r="DCZ55" s="15"/>
      <c r="DDA55" s="15"/>
      <c r="DDB55" s="15"/>
      <c r="DDC55" s="15"/>
      <c r="DDD55" s="15"/>
      <c r="DDE55" s="15"/>
      <c r="DDF55" s="15"/>
      <c r="DDG55" s="15"/>
      <c r="DDH55" s="15"/>
      <c r="DDI55" s="15"/>
      <c r="DDJ55" s="15"/>
      <c r="DDK55" s="15"/>
      <c r="DDL55" s="15"/>
      <c r="DDM55" s="15"/>
      <c r="DDN55" s="15"/>
      <c r="DDO55" s="15"/>
      <c r="DDP55" s="15"/>
      <c r="DDQ55" s="15"/>
      <c r="DDR55" s="15"/>
      <c r="DDS55" s="15"/>
      <c r="DDT55" s="15"/>
      <c r="DDU55" s="15"/>
      <c r="DDV55" s="15"/>
      <c r="DDW55" s="15"/>
      <c r="DDX55" s="15"/>
      <c r="DDY55" s="15"/>
      <c r="DDZ55" s="15"/>
      <c r="DEA55" s="15"/>
      <c r="DEB55" s="15"/>
      <c r="DEC55" s="15"/>
      <c r="DED55" s="15"/>
      <c r="DEE55" s="15"/>
      <c r="DEF55" s="15"/>
      <c r="DEG55" s="15"/>
      <c r="DEH55" s="15"/>
      <c r="DEI55" s="15"/>
      <c r="DEJ55" s="15"/>
      <c r="DEK55" s="15"/>
      <c r="DEL55" s="15"/>
      <c r="DEM55" s="15"/>
      <c r="DEN55" s="15"/>
      <c r="DEO55" s="15"/>
      <c r="DEP55" s="15"/>
      <c r="DEQ55" s="15"/>
      <c r="DER55" s="15"/>
      <c r="DES55" s="15"/>
      <c r="DET55" s="15"/>
      <c r="DEU55" s="15"/>
      <c r="DEV55" s="15"/>
      <c r="DEW55" s="15"/>
      <c r="DEX55" s="15"/>
      <c r="DEY55" s="15"/>
      <c r="DEZ55" s="15"/>
      <c r="DFA55" s="15"/>
      <c r="DFB55" s="15"/>
      <c r="DFC55" s="15"/>
      <c r="DFD55" s="15"/>
      <c r="DFE55" s="15"/>
      <c r="DFF55" s="15"/>
      <c r="DFG55" s="15"/>
      <c r="DFH55" s="15"/>
      <c r="DFI55" s="15"/>
      <c r="DFJ55" s="15"/>
      <c r="DFK55" s="15"/>
      <c r="DFL55" s="15"/>
      <c r="DFM55" s="15"/>
      <c r="DFN55" s="15"/>
      <c r="DFO55" s="15"/>
      <c r="DFP55" s="15"/>
      <c r="DFQ55" s="15"/>
      <c r="DFR55" s="15"/>
      <c r="DFS55" s="15"/>
      <c r="DFT55" s="15"/>
      <c r="DFU55" s="15"/>
      <c r="DFV55" s="15"/>
      <c r="DFW55" s="15"/>
      <c r="DFX55" s="15"/>
      <c r="DFY55" s="15"/>
      <c r="DFZ55" s="15"/>
      <c r="DGA55" s="15"/>
      <c r="DGB55" s="15"/>
      <c r="DGC55" s="15"/>
      <c r="DGD55" s="15"/>
      <c r="DGE55" s="15"/>
      <c r="DGF55" s="15"/>
      <c r="DGG55" s="15"/>
      <c r="DGH55" s="15"/>
      <c r="DGI55" s="15"/>
      <c r="DGJ55" s="15"/>
      <c r="DGK55" s="15"/>
      <c r="DGL55" s="15"/>
      <c r="DGM55" s="15"/>
      <c r="DGN55" s="15"/>
      <c r="DGO55" s="15"/>
      <c r="DGP55" s="15"/>
      <c r="DGQ55" s="15"/>
      <c r="DGR55" s="15"/>
      <c r="DGS55" s="15"/>
      <c r="DGT55" s="15"/>
      <c r="DGU55" s="15"/>
      <c r="DGV55" s="15"/>
      <c r="DGW55" s="15"/>
      <c r="DGX55" s="15"/>
      <c r="DGY55" s="15"/>
      <c r="DGZ55" s="15"/>
      <c r="DHA55" s="15"/>
      <c r="DHB55" s="15"/>
      <c r="DHC55" s="15"/>
      <c r="DHD55" s="15"/>
      <c r="DHE55" s="15"/>
      <c r="DHF55" s="15"/>
      <c r="DHG55" s="15"/>
      <c r="DHH55" s="15"/>
      <c r="DHI55" s="15"/>
      <c r="DHJ55" s="15"/>
      <c r="DHK55" s="15"/>
      <c r="DHL55" s="15"/>
      <c r="DHM55" s="15"/>
      <c r="DHN55" s="15"/>
      <c r="DHO55" s="15"/>
      <c r="DHP55" s="15"/>
      <c r="DHQ55" s="15"/>
      <c r="DHR55" s="15"/>
      <c r="DHS55" s="15"/>
      <c r="DHT55" s="15"/>
      <c r="DHU55" s="15"/>
      <c r="DHV55" s="15"/>
      <c r="DHW55" s="15"/>
      <c r="DHX55" s="15"/>
      <c r="DHY55" s="15"/>
      <c r="DHZ55" s="15"/>
      <c r="DIA55" s="15"/>
      <c r="DIB55" s="15"/>
      <c r="DIC55" s="15"/>
      <c r="DID55" s="15"/>
      <c r="DIE55" s="15"/>
      <c r="DIF55" s="15"/>
      <c r="DIG55" s="15"/>
      <c r="DIH55" s="15"/>
      <c r="DII55" s="15"/>
      <c r="DIJ55" s="15"/>
      <c r="DIK55" s="15"/>
      <c r="DIL55" s="15"/>
      <c r="DIM55" s="15"/>
      <c r="DIN55" s="15"/>
      <c r="DIO55" s="15"/>
      <c r="DIP55" s="15"/>
      <c r="DIQ55" s="15"/>
      <c r="DIR55" s="15"/>
      <c r="DIS55" s="15"/>
      <c r="DIT55" s="15"/>
      <c r="DIU55" s="15"/>
      <c r="DIV55" s="15"/>
      <c r="DIW55" s="15"/>
      <c r="DIX55" s="15"/>
      <c r="DIY55" s="15"/>
      <c r="DIZ55" s="15"/>
      <c r="DJA55" s="15"/>
      <c r="DJB55" s="15"/>
      <c r="DJC55" s="15"/>
      <c r="DJD55" s="15"/>
      <c r="DJE55" s="15"/>
      <c r="DJF55" s="15"/>
      <c r="DJG55" s="15"/>
      <c r="DJH55" s="15"/>
      <c r="DJI55" s="15"/>
      <c r="DJJ55" s="15"/>
      <c r="DJK55" s="15"/>
      <c r="DJL55" s="15"/>
      <c r="DJM55" s="15"/>
      <c r="DJN55" s="15"/>
      <c r="DJO55" s="15"/>
      <c r="DJP55" s="15"/>
      <c r="DJQ55" s="15"/>
      <c r="DJR55" s="15"/>
      <c r="DJS55" s="15"/>
      <c r="DJT55" s="15"/>
      <c r="DJU55" s="15"/>
      <c r="DJV55" s="15"/>
      <c r="DJW55" s="15"/>
      <c r="DJX55" s="15"/>
      <c r="DJY55" s="15"/>
      <c r="DJZ55" s="15"/>
      <c r="DKA55" s="15"/>
      <c r="DKB55" s="15"/>
      <c r="DKC55" s="15"/>
      <c r="DKD55" s="15"/>
      <c r="DKE55" s="15"/>
      <c r="DKF55" s="15"/>
      <c r="DKG55" s="15"/>
      <c r="DKH55" s="15"/>
      <c r="DKI55" s="15"/>
      <c r="DKJ55" s="15"/>
      <c r="DKK55" s="15"/>
      <c r="DKL55" s="15"/>
      <c r="DKM55" s="15"/>
      <c r="DKN55" s="15"/>
      <c r="DKO55" s="15"/>
      <c r="DKP55" s="15"/>
      <c r="DKQ55" s="15"/>
      <c r="DKR55" s="15"/>
      <c r="DKS55" s="15"/>
      <c r="DKT55" s="15"/>
      <c r="DKU55" s="15"/>
      <c r="DKV55" s="15"/>
      <c r="DKW55" s="15"/>
      <c r="DKX55" s="15"/>
      <c r="DKY55" s="15"/>
      <c r="DKZ55" s="15"/>
      <c r="DLA55" s="15"/>
      <c r="DLB55" s="15"/>
      <c r="DLC55" s="15"/>
      <c r="DLD55" s="15"/>
      <c r="DLE55" s="15"/>
      <c r="DLF55" s="15"/>
      <c r="DLG55" s="15"/>
      <c r="DLH55" s="15"/>
      <c r="DLI55" s="15"/>
      <c r="DLJ55" s="15"/>
      <c r="DLK55" s="15"/>
      <c r="DLL55" s="15"/>
      <c r="DLM55" s="15"/>
      <c r="DLN55" s="15"/>
      <c r="DLO55" s="15"/>
      <c r="DLP55" s="15"/>
      <c r="DLQ55" s="15"/>
      <c r="DLR55" s="15"/>
      <c r="DLS55" s="15"/>
      <c r="DLT55" s="15"/>
      <c r="DLU55" s="15"/>
      <c r="DLV55" s="15"/>
      <c r="DLW55" s="15"/>
      <c r="DLX55" s="15"/>
      <c r="DLY55" s="15"/>
      <c r="DLZ55" s="15"/>
      <c r="DMA55" s="15"/>
      <c r="DMB55" s="15"/>
      <c r="DMC55" s="15"/>
      <c r="DMD55" s="15"/>
      <c r="DME55" s="15"/>
      <c r="DMF55" s="15"/>
      <c r="DMG55" s="15"/>
      <c r="DMH55" s="15"/>
      <c r="DMI55" s="15"/>
      <c r="DMJ55" s="15"/>
      <c r="DMK55" s="15"/>
      <c r="DML55" s="15"/>
      <c r="DMM55" s="15"/>
      <c r="DMN55" s="15"/>
      <c r="DMO55" s="15"/>
      <c r="DMP55" s="15"/>
      <c r="DMQ55" s="15"/>
      <c r="DMR55" s="15"/>
      <c r="DMS55" s="15"/>
      <c r="DMT55" s="15"/>
      <c r="DMU55" s="15"/>
      <c r="DMV55" s="15"/>
      <c r="DMW55" s="15"/>
      <c r="DMX55" s="15"/>
      <c r="DMY55" s="15"/>
      <c r="DMZ55" s="15"/>
      <c r="DNA55" s="15"/>
      <c r="DNB55" s="15"/>
      <c r="DNC55" s="15"/>
      <c r="DND55" s="15"/>
      <c r="DNE55" s="15"/>
      <c r="DNF55" s="15"/>
      <c r="DNG55" s="15"/>
      <c r="DNH55" s="15"/>
      <c r="DNI55" s="15"/>
      <c r="DNJ55" s="15"/>
      <c r="DNK55" s="15"/>
      <c r="DNL55" s="15"/>
      <c r="DNM55" s="15"/>
      <c r="DNN55" s="15"/>
      <c r="DNO55" s="15"/>
      <c r="DNP55" s="15"/>
      <c r="DNQ55" s="15"/>
      <c r="DNR55" s="15"/>
      <c r="DNS55" s="15"/>
      <c r="DNT55" s="15"/>
      <c r="DNU55" s="15"/>
      <c r="DNV55" s="15"/>
      <c r="DNW55" s="15"/>
      <c r="DNX55" s="15"/>
      <c r="DNY55" s="15"/>
      <c r="DNZ55" s="15"/>
      <c r="DOA55" s="15"/>
      <c r="DOB55" s="15"/>
      <c r="DOC55" s="15"/>
      <c r="DOD55" s="15"/>
      <c r="DOE55" s="15"/>
      <c r="DOF55" s="15"/>
      <c r="DOG55" s="15"/>
      <c r="DOH55" s="15"/>
      <c r="DOI55" s="15"/>
      <c r="DOJ55" s="15"/>
      <c r="DOK55" s="15"/>
      <c r="DOL55" s="15"/>
      <c r="DOM55" s="15"/>
      <c r="DON55" s="15"/>
      <c r="DOO55" s="15"/>
      <c r="DOP55" s="15"/>
      <c r="DOQ55" s="15"/>
      <c r="DOR55" s="15"/>
      <c r="DOS55" s="15"/>
      <c r="DOT55" s="15"/>
      <c r="DOU55" s="15"/>
      <c r="DOV55" s="15"/>
      <c r="DOW55" s="15"/>
      <c r="DOX55" s="15"/>
      <c r="DOY55" s="15"/>
      <c r="DOZ55" s="15"/>
      <c r="DPA55" s="15"/>
      <c r="DPB55" s="15"/>
      <c r="DPC55" s="15"/>
      <c r="DPD55" s="15"/>
      <c r="DPE55" s="15"/>
      <c r="DPF55" s="15"/>
      <c r="DPG55" s="15"/>
      <c r="DPH55" s="15"/>
      <c r="DPI55" s="15"/>
      <c r="DPJ55" s="15"/>
      <c r="DPK55" s="15"/>
      <c r="DPL55" s="15"/>
      <c r="DPM55" s="15"/>
      <c r="DPN55" s="15"/>
      <c r="DPO55" s="15"/>
      <c r="DPP55" s="15"/>
      <c r="DPQ55" s="15"/>
      <c r="DPR55" s="15"/>
      <c r="DPS55" s="15"/>
      <c r="DPT55" s="15"/>
      <c r="DPU55" s="15"/>
      <c r="DPV55" s="15"/>
      <c r="DPW55" s="15"/>
      <c r="DPX55" s="15"/>
      <c r="DPY55" s="15"/>
      <c r="DPZ55" s="15"/>
      <c r="DQA55" s="15"/>
      <c r="DQB55" s="15"/>
      <c r="DQC55" s="15"/>
      <c r="DQD55" s="15"/>
      <c r="DQE55" s="15"/>
      <c r="DQF55" s="15"/>
      <c r="DQG55" s="15"/>
      <c r="DQH55" s="15"/>
      <c r="DQI55" s="15"/>
      <c r="DQJ55" s="15"/>
      <c r="DQK55" s="15"/>
      <c r="DQL55" s="15"/>
      <c r="DQM55" s="15"/>
      <c r="DQN55" s="15"/>
      <c r="DQO55" s="15"/>
      <c r="DQP55" s="15"/>
      <c r="DQQ55" s="15"/>
      <c r="DQR55" s="15"/>
      <c r="DQS55" s="15"/>
      <c r="DQT55" s="15"/>
      <c r="DQU55" s="15"/>
      <c r="DQV55" s="15"/>
      <c r="DQW55" s="15"/>
      <c r="DQX55" s="15"/>
      <c r="DQY55" s="15"/>
      <c r="DQZ55" s="15"/>
      <c r="DRA55" s="15"/>
      <c r="DRB55" s="15"/>
      <c r="DRC55" s="15"/>
      <c r="DRD55" s="15"/>
      <c r="DRE55" s="15"/>
      <c r="DRF55" s="15"/>
      <c r="DRG55" s="15"/>
      <c r="DRH55" s="15"/>
      <c r="DRI55" s="15"/>
      <c r="DRJ55" s="15"/>
      <c r="DRK55" s="15"/>
      <c r="DRL55" s="15"/>
      <c r="DRM55" s="15"/>
      <c r="DRN55" s="15"/>
      <c r="DRO55" s="15"/>
      <c r="DRP55" s="15"/>
      <c r="DRQ55" s="15"/>
      <c r="DRR55" s="15"/>
      <c r="DRS55" s="15"/>
      <c r="DRT55" s="15"/>
      <c r="DRU55" s="15"/>
      <c r="DRV55" s="15"/>
      <c r="DRW55" s="15"/>
      <c r="DRX55" s="15"/>
      <c r="DRY55" s="15"/>
      <c r="DRZ55" s="15"/>
      <c r="DSA55" s="15"/>
      <c r="DSB55" s="15"/>
      <c r="DSC55" s="15"/>
      <c r="DSD55" s="15"/>
      <c r="DSE55" s="15"/>
      <c r="DSF55" s="15"/>
      <c r="DSG55" s="15"/>
      <c r="DSH55" s="15"/>
      <c r="DSI55" s="15"/>
      <c r="DSJ55" s="15"/>
      <c r="DSK55" s="15"/>
      <c r="DSL55" s="15"/>
      <c r="DSM55" s="15"/>
      <c r="DSN55" s="15"/>
      <c r="DSO55" s="15"/>
      <c r="DSP55" s="15"/>
      <c r="DSQ55" s="15"/>
      <c r="DSR55" s="15"/>
      <c r="DSS55" s="15"/>
      <c r="DST55" s="15"/>
      <c r="DSU55" s="15"/>
      <c r="DSV55" s="15"/>
      <c r="DSW55" s="15"/>
      <c r="DSX55" s="15"/>
      <c r="DSY55" s="15"/>
      <c r="DSZ55" s="15"/>
      <c r="DTA55" s="15"/>
      <c r="DTB55" s="15"/>
      <c r="DTC55" s="15"/>
      <c r="DTD55" s="15"/>
      <c r="DTE55" s="15"/>
      <c r="DTF55" s="15"/>
      <c r="DTG55" s="15"/>
      <c r="DTH55" s="15"/>
      <c r="DTI55" s="15"/>
      <c r="DTJ55" s="15"/>
      <c r="DTK55" s="15"/>
      <c r="DTL55" s="15"/>
      <c r="DTM55" s="15"/>
      <c r="DTN55" s="15"/>
      <c r="DTO55" s="15"/>
      <c r="DTP55" s="15"/>
      <c r="DTQ55" s="15"/>
      <c r="DTR55" s="15"/>
      <c r="DTS55" s="15"/>
      <c r="DTT55" s="15"/>
      <c r="DTU55" s="15"/>
      <c r="DTV55" s="15"/>
      <c r="DTW55" s="15"/>
      <c r="DTX55" s="15"/>
      <c r="DTY55" s="15"/>
      <c r="DTZ55" s="15"/>
      <c r="DUA55" s="15"/>
      <c r="DUB55" s="15"/>
      <c r="DUC55" s="15"/>
      <c r="DUD55" s="15"/>
      <c r="DUE55" s="15"/>
      <c r="DUF55" s="15"/>
      <c r="DUG55" s="15"/>
      <c r="DUH55" s="15"/>
      <c r="DUI55" s="15"/>
      <c r="DUJ55" s="15"/>
      <c r="DUK55" s="15"/>
      <c r="DUL55" s="15"/>
      <c r="DUM55" s="15"/>
      <c r="DUN55" s="15"/>
      <c r="DUO55" s="15"/>
      <c r="DUP55" s="15"/>
      <c r="DUQ55" s="15"/>
      <c r="DUR55" s="15"/>
      <c r="DUS55" s="15"/>
      <c r="DUT55" s="15"/>
      <c r="DUU55" s="15"/>
      <c r="DUV55" s="15"/>
      <c r="DUW55" s="15"/>
      <c r="DUX55" s="15"/>
      <c r="DUY55" s="15"/>
      <c r="DUZ55" s="15"/>
      <c r="DVA55" s="15"/>
      <c r="DVB55" s="15"/>
      <c r="DVC55" s="15"/>
      <c r="DVD55" s="15"/>
      <c r="DVE55" s="15"/>
      <c r="DVF55" s="15"/>
      <c r="DVG55" s="15"/>
      <c r="DVH55" s="15"/>
      <c r="DVI55" s="15"/>
      <c r="DVJ55" s="15"/>
      <c r="DVK55" s="15"/>
      <c r="DVL55" s="15"/>
      <c r="DVM55" s="15"/>
      <c r="DVN55" s="15"/>
      <c r="DVO55" s="15"/>
      <c r="DVP55" s="15"/>
      <c r="DVQ55" s="15"/>
      <c r="DVR55" s="15"/>
      <c r="DVS55" s="15"/>
      <c r="DVT55" s="15"/>
      <c r="DVU55" s="15"/>
      <c r="DVV55" s="15"/>
      <c r="DVW55" s="15"/>
      <c r="DVX55" s="15"/>
      <c r="DVY55" s="15"/>
      <c r="DVZ55" s="15"/>
      <c r="DWA55" s="15"/>
      <c r="DWB55" s="15"/>
      <c r="DWC55" s="15"/>
      <c r="DWD55" s="15"/>
      <c r="DWE55" s="15"/>
      <c r="DWF55" s="15"/>
      <c r="DWG55" s="15"/>
      <c r="DWH55" s="15"/>
      <c r="DWI55" s="15"/>
      <c r="DWJ55" s="15"/>
      <c r="DWK55" s="15"/>
      <c r="DWL55" s="15"/>
      <c r="DWM55" s="15"/>
      <c r="DWN55" s="15"/>
      <c r="DWO55" s="15"/>
      <c r="DWP55" s="15"/>
      <c r="DWQ55" s="15"/>
      <c r="DWR55" s="15"/>
      <c r="DWS55" s="15"/>
      <c r="DWT55" s="15"/>
      <c r="DWU55" s="15"/>
      <c r="DWV55" s="15"/>
      <c r="DWW55" s="15"/>
      <c r="DWX55" s="15"/>
      <c r="DWY55" s="15"/>
      <c r="DWZ55" s="15"/>
      <c r="DXA55" s="15"/>
      <c r="DXB55" s="15"/>
      <c r="DXC55" s="15"/>
      <c r="DXD55" s="15"/>
      <c r="DXE55" s="15"/>
      <c r="DXF55" s="15"/>
      <c r="DXG55" s="15"/>
      <c r="DXH55" s="15"/>
      <c r="DXI55" s="15"/>
      <c r="DXJ55" s="15"/>
      <c r="DXK55" s="15"/>
      <c r="DXL55" s="15"/>
      <c r="DXM55" s="15"/>
      <c r="DXN55" s="15"/>
      <c r="DXO55" s="15"/>
      <c r="DXP55" s="15"/>
      <c r="DXQ55" s="15"/>
      <c r="DXR55" s="15"/>
      <c r="DXS55" s="15"/>
      <c r="DXT55" s="15"/>
      <c r="DXU55" s="15"/>
      <c r="DXV55" s="15"/>
      <c r="DXW55" s="15"/>
      <c r="DXX55" s="15"/>
      <c r="DXY55" s="15"/>
      <c r="DXZ55" s="15"/>
      <c r="DYA55" s="15"/>
      <c r="DYB55" s="15"/>
      <c r="DYC55" s="15"/>
      <c r="DYD55" s="15"/>
      <c r="DYE55" s="15"/>
      <c r="DYF55" s="15"/>
      <c r="DYG55" s="15"/>
      <c r="DYH55" s="15"/>
      <c r="DYI55" s="15"/>
      <c r="DYJ55" s="15"/>
      <c r="DYK55" s="15"/>
      <c r="DYL55" s="15"/>
      <c r="DYM55" s="15"/>
      <c r="DYN55" s="15"/>
      <c r="DYO55" s="15"/>
      <c r="DYP55" s="15"/>
      <c r="DYQ55" s="15"/>
      <c r="DYR55" s="15"/>
      <c r="DYS55" s="15"/>
      <c r="DYT55" s="15"/>
      <c r="DYU55" s="15"/>
      <c r="DYV55" s="15"/>
      <c r="DYW55" s="15"/>
      <c r="DYX55" s="15"/>
      <c r="DYY55" s="15"/>
      <c r="DYZ55" s="15"/>
      <c r="DZA55" s="15"/>
      <c r="DZB55" s="15"/>
      <c r="DZC55" s="15"/>
      <c r="DZD55" s="15"/>
      <c r="DZE55" s="15"/>
      <c r="DZF55" s="15"/>
      <c r="DZG55" s="15"/>
      <c r="DZH55" s="15"/>
      <c r="DZI55" s="15"/>
      <c r="DZJ55" s="15"/>
      <c r="DZK55" s="15"/>
      <c r="DZL55" s="15"/>
      <c r="DZM55" s="15"/>
      <c r="DZN55" s="15"/>
      <c r="DZO55" s="15"/>
      <c r="DZP55" s="15"/>
      <c r="DZQ55" s="15"/>
      <c r="DZR55" s="15"/>
      <c r="DZS55" s="15"/>
      <c r="DZT55" s="15"/>
      <c r="DZU55" s="15"/>
      <c r="DZV55" s="15"/>
      <c r="DZW55" s="15"/>
      <c r="DZX55" s="15"/>
      <c r="DZY55" s="15"/>
      <c r="DZZ55" s="15"/>
      <c r="EAA55" s="15"/>
      <c r="EAB55" s="15"/>
      <c r="EAC55" s="15"/>
      <c r="EAD55" s="15"/>
      <c r="EAE55" s="15"/>
      <c r="EAF55" s="15"/>
      <c r="EAG55" s="15"/>
      <c r="EAH55" s="15"/>
      <c r="EAI55" s="15"/>
      <c r="EAJ55" s="15"/>
      <c r="EAK55" s="15"/>
      <c r="EAL55" s="15"/>
      <c r="EAM55" s="15"/>
      <c r="EAN55" s="15"/>
      <c r="EAO55" s="15"/>
      <c r="EAP55" s="15"/>
      <c r="EAQ55" s="15"/>
      <c r="EAR55" s="15"/>
      <c r="EAS55" s="15"/>
      <c r="EAT55" s="15"/>
      <c r="EAU55" s="15"/>
      <c r="EAV55" s="15"/>
      <c r="EAW55" s="15"/>
      <c r="EAX55" s="15"/>
      <c r="EAY55" s="15"/>
      <c r="EAZ55" s="15"/>
      <c r="EBA55" s="15"/>
      <c r="EBB55" s="15"/>
      <c r="EBC55" s="15"/>
      <c r="EBD55" s="15"/>
      <c r="EBE55" s="15"/>
      <c r="EBF55" s="15"/>
      <c r="EBG55" s="15"/>
      <c r="EBH55" s="15"/>
      <c r="EBI55" s="15"/>
      <c r="EBJ55" s="15"/>
      <c r="EBK55" s="15"/>
      <c r="EBL55" s="15"/>
      <c r="EBM55" s="15"/>
      <c r="EBN55" s="15"/>
      <c r="EBO55" s="15"/>
      <c r="EBP55" s="15"/>
      <c r="EBQ55" s="15"/>
      <c r="EBR55" s="15"/>
      <c r="EBS55" s="15"/>
      <c r="EBT55" s="15"/>
      <c r="EBU55" s="15"/>
      <c r="EBV55" s="15"/>
      <c r="EBW55" s="15"/>
      <c r="EBX55" s="15"/>
      <c r="EBY55" s="15"/>
      <c r="EBZ55" s="15"/>
      <c r="ECA55" s="15"/>
      <c r="ECB55" s="15"/>
      <c r="ECC55" s="15"/>
      <c r="ECD55" s="15"/>
      <c r="ECE55" s="15"/>
      <c r="ECF55" s="15"/>
      <c r="ECG55" s="15"/>
      <c r="ECH55" s="15"/>
      <c r="ECI55" s="15"/>
      <c r="ECJ55" s="15"/>
      <c r="ECK55" s="15"/>
      <c r="ECL55" s="15"/>
      <c r="ECM55" s="15"/>
      <c r="ECN55" s="15"/>
      <c r="ECO55" s="15"/>
      <c r="ECP55" s="15"/>
      <c r="ECQ55" s="15"/>
      <c r="ECR55" s="15"/>
      <c r="ECS55" s="15"/>
      <c r="ECT55" s="15"/>
      <c r="ECU55" s="15"/>
      <c r="ECV55" s="15"/>
      <c r="ECW55" s="15"/>
      <c r="ECX55" s="15"/>
      <c r="ECY55" s="15"/>
      <c r="ECZ55" s="15"/>
      <c r="EDA55" s="15"/>
      <c r="EDB55" s="15"/>
      <c r="EDC55" s="15"/>
      <c r="EDD55" s="15"/>
      <c r="EDE55" s="15"/>
      <c r="EDF55" s="15"/>
      <c r="EDG55" s="15"/>
      <c r="EDH55" s="15"/>
      <c r="EDI55" s="15"/>
      <c r="EDJ55" s="15"/>
      <c r="EDK55" s="15"/>
      <c r="EDL55" s="15"/>
      <c r="EDM55" s="15"/>
      <c r="EDN55" s="15"/>
      <c r="EDO55" s="15"/>
      <c r="EDP55" s="15"/>
      <c r="EDQ55" s="15"/>
      <c r="EDR55" s="15"/>
      <c r="EDS55" s="15"/>
      <c r="EDT55" s="15"/>
      <c r="EDU55" s="15"/>
      <c r="EDV55" s="15"/>
      <c r="EDW55" s="15"/>
      <c r="EDX55" s="15"/>
      <c r="EDY55" s="15"/>
      <c r="EDZ55" s="15"/>
      <c r="EEA55" s="15"/>
      <c r="EEB55" s="15"/>
      <c r="EEC55" s="15"/>
      <c r="EED55" s="15"/>
      <c r="EEE55" s="15"/>
      <c r="EEF55" s="15"/>
      <c r="EEG55" s="15"/>
      <c r="EEH55" s="15"/>
      <c r="EEI55" s="15"/>
      <c r="EEJ55" s="15"/>
      <c r="EEK55" s="15"/>
      <c r="EEL55" s="15"/>
      <c r="EEM55" s="15"/>
      <c r="EEN55" s="15"/>
      <c r="EEO55" s="15"/>
      <c r="EEP55" s="15"/>
      <c r="EEQ55" s="15"/>
      <c r="EER55" s="15"/>
      <c r="EES55" s="15"/>
      <c r="EET55" s="15"/>
      <c r="EEU55" s="15"/>
      <c r="EEV55" s="15"/>
      <c r="EEW55" s="15"/>
      <c r="EEX55" s="15"/>
      <c r="EEY55" s="15"/>
      <c r="EEZ55" s="15"/>
      <c r="EFA55" s="15"/>
      <c r="EFB55" s="15"/>
      <c r="EFC55" s="15"/>
      <c r="EFD55" s="15"/>
      <c r="EFE55" s="15"/>
      <c r="EFF55" s="15"/>
      <c r="EFG55" s="15"/>
      <c r="EFH55" s="15"/>
      <c r="EFI55" s="15"/>
      <c r="EFJ55" s="15"/>
      <c r="EFK55" s="15"/>
      <c r="EFL55" s="15"/>
      <c r="EFM55" s="15"/>
      <c r="EFN55" s="15"/>
      <c r="EFO55" s="15"/>
      <c r="EFP55" s="15"/>
      <c r="EFQ55" s="15"/>
      <c r="EFR55" s="15"/>
      <c r="EFS55" s="15"/>
      <c r="EFT55" s="15"/>
      <c r="EFU55" s="15"/>
      <c r="EFV55" s="15"/>
      <c r="EFW55" s="15"/>
      <c r="EFX55" s="15"/>
      <c r="EFY55" s="15"/>
      <c r="EFZ55" s="15"/>
      <c r="EGA55" s="15"/>
      <c r="EGB55" s="15"/>
      <c r="EGC55" s="15"/>
      <c r="EGD55" s="15"/>
      <c r="EGE55" s="15"/>
      <c r="EGF55" s="15"/>
      <c r="EGG55" s="15"/>
      <c r="EGH55" s="15"/>
      <c r="EGI55" s="15"/>
      <c r="EGJ55" s="15"/>
      <c r="EGK55" s="15"/>
      <c r="EGL55" s="15"/>
      <c r="EGM55" s="15"/>
      <c r="EGN55" s="15"/>
      <c r="EGO55" s="15"/>
      <c r="EGP55" s="15"/>
      <c r="EGQ55" s="15"/>
      <c r="EGR55" s="15"/>
      <c r="EGS55" s="15"/>
      <c r="EGT55" s="15"/>
      <c r="EGU55" s="15"/>
      <c r="EGV55" s="15"/>
      <c r="EGW55" s="15"/>
      <c r="EGX55" s="15"/>
      <c r="EGY55" s="15"/>
      <c r="EGZ55" s="15"/>
      <c r="EHA55" s="15"/>
      <c r="EHB55" s="15"/>
      <c r="EHC55" s="15"/>
      <c r="EHD55" s="15"/>
      <c r="EHE55" s="15"/>
      <c r="EHF55" s="15"/>
      <c r="EHG55" s="15"/>
      <c r="EHH55" s="15"/>
      <c r="EHI55" s="15"/>
      <c r="EHJ55" s="15"/>
      <c r="EHK55" s="15"/>
      <c r="EHL55" s="15"/>
      <c r="EHM55" s="15"/>
      <c r="EHN55" s="15"/>
      <c r="EHO55" s="15"/>
      <c r="EHP55" s="15"/>
      <c r="EHQ55" s="15"/>
      <c r="EHR55" s="15"/>
      <c r="EHS55" s="15"/>
      <c r="EHT55" s="15"/>
      <c r="EHU55" s="15"/>
      <c r="EHV55" s="15"/>
      <c r="EHW55" s="15"/>
      <c r="EHX55" s="15"/>
      <c r="EHY55" s="15"/>
      <c r="EHZ55" s="15"/>
      <c r="EIA55" s="15"/>
      <c r="EIB55" s="15"/>
      <c r="EIC55" s="15"/>
      <c r="EID55" s="15"/>
      <c r="EIE55" s="15"/>
      <c r="EIF55" s="15"/>
      <c r="EIG55" s="15"/>
      <c r="EIH55" s="15"/>
      <c r="EII55" s="15"/>
      <c r="EIJ55" s="15"/>
      <c r="EIK55" s="15"/>
      <c r="EIL55" s="15"/>
      <c r="EIM55" s="15"/>
      <c r="EIN55" s="15"/>
      <c r="EIO55" s="15"/>
      <c r="EIP55" s="15"/>
      <c r="EIQ55" s="15"/>
      <c r="EIR55" s="15"/>
      <c r="EIS55" s="15"/>
      <c r="EIT55" s="15"/>
      <c r="EIU55" s="15"/>
      <c r="EIV55" s="15"/>
      <c r="EIW55" s="15"/>
      <c r="EIX55" s="15"/>
      <c r="EIY55" s="15"/>
      <c r="EIZ55" s="15"/>
      <c r="EJA55" s="15"/>
      <c r="EJB55" s="15"/>
      <c r="EJC55" s="15"/>
      <c r="EJD55" s="15"/>
      <c r="EJE55" s="15"/>
      <c r="EJF55" s="15"/>
      <c r="EJG55" s="15"/>
      <c r="EJH55" s="15"/>
      <c r="EJI55" s="15"/>
      <c r="EJJ55" s="15"/>
      <c r="EJK55" s="15"/>
      <c r="EJL55" s="15"/>
      <c r="EJM55" s="15"/>
      <c r="EJN55" s="15"/>
      <c r="EJO55" s="15"/>
      <c r="EJP55" s="15"/>
      <c r="EJQ55" s="15"/>
      <c r="EJR55" s="15"/>
      <c r="EJS55" s="15"/>
      <c r="EJT55" s="15"/>
      <c r="EJU55" s="15"/>
      <c r="EJV55" s="15"/>
      <c r="EJW55" s="15"/>
      <c r="EJX55" s="15"/>
      <c r="EJY55" s="15"/>
      <c r="EJZ55" s="15"/>
      <c r="EKA55" s="15"/>
      <c r="EKB55" s="15"/>
      <c r="EKC55" s="15"/>
      <c r="EKD55" s="15"/>
      <c r="EKE55" s="15"/>
      <c r="EKF55" s="15"/>
      <c r="EKG55" s="15"/>
      <c r="EKH55" s="15"/>
      <c r="EKI55" s="15"/>
      <c r="EKJ55" s="15"/>
      <c r="EKK55" s="15"/>
      <c r="EKL55" s="15"/>
      <c r="EKM55" s="15"/>
      <c r="EKN55" s="15"/>
      <c r="EKO55" s="15"/>
      <c r="EKP55" s="15"/>
      <c r="EKQ55" s="15"/>
      <c r="EKR55" s="15"/>
      <c r="EKS55" s="15"/>
      <c r="EKT55" s="15"/>
      <c r="EKU55" s="15"/>
      <c r="EKV55" s="15"/>
      <c r="EKW55" s="15"/>
      <c r="EKX55" s="15"/>
      <c r="EKY55" s="15"/>
      <c r="EKZ55" s="15"/>
      <c r="ELA55" s="15"/>
      <c r="ELB55" s="15"/>
      <c r="ELC55" s="15"/>
      <c r="ELD55" s="15"/>
      <c r="ELE55" s="15"/>
      <c r="ELF55" s="15"/>
      <c r="ELG55" s="15"/>
      <c r="ELH55" s="15"/>
      <c r="ELI55" s="15"/>
      <c r="ELJ55" s="15"/>
      <c r="ELK55" s="15"/>
      <c r="ELL55" s="15"/>
      <c r="ELM55" s="15"/>
      <c r="ELN55" s="15"/>
      <c r="ELO55" s="15"/>
      <c r="ELP55" s="15"/>
      <c r="ELQ55" s="15"/>
      <c r="ELR55" s="15"/>
      <c r="ELS55" s="15"/>
      <c r="ELT55" s="15"/>
      <c r="ELU55" s="15"/>
      <c r="ELV55" s="15"/>
      <c r="ELW55" s="15"/>
      <c r="ELX55" s="15"/>
      <c r="ELY55" s="15"/>
      <c r="ELZ55" s="15"/>
      <c r="EMA55" s="15"/>
      <c r="EMB55" s="15"/>
      <c r="EMC55" s="15"/>
      <c r="EMD55" s="15"/>
      <c r="EME55" s="15"/>
      <c r="EMF55" s="15"/>
      <c r="EMG55" s="15"/>
      <c r="EMH55" s="15"/>
      <c r="EMI55" s="15"/>
      <c r="EMJ55" s="15"/>
      <c r="EMK55" s="15"/>
      <c r="EML55" s="15"/>
      <c r="EMM55" s="15"/>
      <c r="EMN55" s="15"/>
      <c r="EMO55" s="15"/>
      <c r="EMP55" s="15"/>
      <c r="EMQ55" s="15"/>
      <c r="EMR55" s="15"/>
      <c r="EMS55" s="15"/>
      <c r="EMT55" s="15"/>
      <c r="EMU55" s="15"/>
      <c r="EMV55" s="15"/>
      <c r="EMW55" s="15"/>
      <c r="EMX55" s="15"/>
      <c r="EMY55" s="15"/>
      <c r="EMZ55" s="15"/>
      <c r="ENA55" s="15"/>
      <c r="ENB55" s="15"/>
      <c r="ENC55" s="15"/>
      <c r="END55" s="15"/>
      <c r="ENE55" s="15"/>
      <c r="ENF55" s="15"/>
      <c r="ENG55" s="15"/>
      <c r="ENH55" s="15"/>
      <c r="ENI55" s="15"/>
      <c r="ENJ55" s="15"/>
      <c r="ENK55" s="15"/>
      <c r="ENL55" s="15"/>
      <c r="ENM55" s="15"/>
      <c r="ENN55" s="15"/>
      <c r="ENO55" s="15"/>
      <c r="ENP55" s="15"/>
      <c r="ENQ55" s="15"/>
      <c r="ENR55" s="15"/>
      <c r="ENS55" s="15"/>
      <c r="ENT55" s="15"/>
      <c r="ENU55" s="15"/>
      <c r="ENV55" s="15"/>
      <c r="ENW55" s="15"/>
      <c r="ENX55" s="15"/>
      <c r="ENY55" s="15"/>
      <c r="ENZ55" s="15"/>
      <c r="EOA55" s="15"/>
      <c r="EOB55" s="15"/>
      <c r="EOC55" s="15"/>
      <c r="EOD55" s="15"/>
      <c r="EOE55" s="15"/>
      <c r="EOF55" s="15"/>
      <c r="EOG55" s="15"/>
      <c r="EOH55" s="15"/>
      <c r="EOI55" s="15"/>
      <c r="EOJ55" s="15"/>
      <c r="EOK55" s="15"/>
      <c r="EOL55" s="15"/>
      <c r="EOM55" s="15"/>
      <c r="EON55" s="15"/>
      <c r="EOO55" s="15"/>
      <c r="EOP55" s="15"/>
      <c r="EOQ55" s="15"/>
      <c r="EOR55" s="15"/>
      <c r="EOS55" s="15"/>
      <c r="EOT55" s="15"/>
      <c r="EOU55" s="15"/>
      <c r="EOV55" s="15"/>
      <c r="EOW55" s="15"/>
      <c r="EOX55" s="15"/>
      <c r="EOY55" s="15"/>
      <c r="EOZ55" s="15"/>
      <c r="EPA55" s="15"/>
      <c r="EPB55" s="15"/>
      <c r="EPC55" s="15"/>
      <c r="EPD55" s="15"/>
      <c r="EPE55" s="15"/>
      <c r="EPF55" s="15"/>
      <c r="EPG55" s="15"/>
      <c r="EPH55" s="15"/>
      <c r="EPI55" s="15"/>
      <c r="EPJ55" s="15"/>
      <c r="EPK55" s="15"/>
      <c r="EPL55" s="15"/>
      <c r="EPM55" s="15"/>
      <c r="EPN55" s="15"/>
      <c r="EPO55" s="15"/>
      <c r="EPP55" s="15"/>
      <c r="EPQ55" s="15"/>
      <c r="EPR55" s="15"/>
      <c r="EPS55" s="15"/>
      <c r="EPT55" s="15"/>
      <c r="EPU55" s="15"/>
      <c r="EPV55" s="15"/>
      <c r="EPW55" s="15"/>
      <c r="EPX55" s="15"/>
      <c r="EPY55" s="15"/>
      <c r="EPZ55" s="15"/>
      <c r="EQA55" s="15"/>
      <c r="EQB55" s="15"/>
      <c r="EQC55" s="15"/>
      <c r="EQD55" s="15"/>
      <c r="EQE55" s="15"/>
      <c r="EQF55" s="15"/>
      <c r="EQG55" s="15"/>
      <c r="EQH55" s="15"/>
      <c r="EQI55" s="15"/>
      <c r="EQJ55" s="15"/>
      <c r="EQK55" s="15"/>
      <c r="EQL55" s="15"/>
      <c r="EQM55" s="15"/>
      <c r="EQN55" s="15"/>
      <c r="EQO55" s="15"/>
      <c r="EQP55" s="15"/>
      <c r="EQQ55" s="15"/>
      <c r="EQR55" s="15"/>
      <c r="EQS55" s="15"/>
      <c r="EQT55" s="15"/>
      <c r="EQU55" s="15"/>
      <c r="EQV55" s="15"/>
      <c r="EQW55" s="15"/>
      <c r="EQX55" s="15"/>
      <c r="EQY55" s="15"/>
      <c r="EQZ55" s="15"/>
      <c r="ERA55" s="15"/>
      <c r="ERB55" s="15"/>
      <c r="ERC55" s="15"/>
      <c r="ERD55" s="15"/>
      <c r="ERE55" s="15"/>
      <c r="ERF55" s="15"/>
      <c r="ERG55" s="15"/>
      <c r="ERH55" s="15"/>
      <c r="ERI55" s="15"/>
      <c r="ERJ55" s="15"/>
      <c r="ERK55" s="15"/>
      <c r="ERL55" s="15"/>
      <c r="ERM55" s="15"/>
      <c r="ERN55" s="15"/>
      <c r="ERO55" s="15"/>
      <c r="ERP55" s="15"/>
      <c r="ERQ55" s="15"/>
      <c r="ERR55" s="15"/>
      <c r="ERS55" s="15"/>
      <c r="ERT55" s="15"/>
      <c r="ERU55" s="15"/>
      <c r="ERV55" s="15"/>
      <c r="ERW55" s="15"/>
      <c r="ERX55" s="15"/>
      <c r="ERY55" s="15"/>
      <c r="ERZ55" s="15"/>
      <c r="ESA55" s="15"/>
      <c r="ESB55" s="15"/>
      <c r="ESC55" s="15"/>
      <c r="ESD55" s="15"/>
      <c r="ESE55" s="15"/>
      <c r="ESF55" s="15"/>
      <c r="ESG55" s="15"/>
      <c r="ESH55" s="15"/>
      <c r="ESI55" s="15"/>
      <c r="ESJ55" s="15"/>
      <c r="ESK55" s="15"/>
      <c r="ESL55" s="15"/>
      <c r="ESM55" s="15"/>
      <c r="ESN55" s="15"/>
      <c r="ESO55" s="15"/>
      <c r="ESP55" s="15"/>
      <c r="ESQ55" s="15"/>
      <c r="ESR55" s="15"/>
      <c r="ESS55" s="15"/>
      <c r="EST55" s="15"/>
      <c r="ESU55" s="15"/>
      <c r="ESV55" s="15"/>
      <c r="ESW55" s="15"/>
      <c r="ESX55" s="15"/>
      <c r="ESY55" s="15"/>
      <c r="ESZ55" s="15"/>
      <c r="ETA55" s="15"/>
      <c r="ETB55" s="15"/>
      <c r="ETC55" s="15"/>
      <c r="ETD55" s="15"/>
      <c r="ETE55" s="15"/>
      <c r="ETF55" s="15"/>
      <c r="ETG55" s="15"/>
      <c r="ETH55" s="15"/>
      <c r="ETI55" s="15"/>
      <c r="ETJ55" s="15"/>
      <c r="ETK55" s="15"/>
      <c r="ETL55" s="15"/>
      <c r="ETM55" s="15"/>
      <c r="ETN55" s="15"/>
      <c r="ETO55" s="15"/>
      <c r="ETP55" s="15"/>
      <c r="ETQ55" s="15"/>
      <c r="ETR55" s="15"/>
      <c r="ETS55" s="15"/>
      <c r="ETT55" s="15"/>
      <c r="ETU55" s="15"/>
      <c r="ETV55" s="15"/>
      <c r="ETW55" s="15"/>
      <c r="ETX55" s="15"/>
      <c r="ETY55" s="15"/>
      <c r="ETZ55" s="15"/>
      <c r="EUA55" s="15"/>
      <c r="EUB55" s="15"/>
      <c r="EUC55" s="15"/>
      <c r="EUD55" s="15"/>
      <c r="EUE55" s="15"/>
      <c r="EUF55" s="15"/>
      <c r="EUG55" s="15"/>
      <c r="EUH55" s="15"/>
      <c r="EUI55" s="15"/>
      <c r="EUJ55" s="15"/>
      <c r="EUK55" s="15"/>
      <c r="EUL55" s="15"/>
      <c r="EUM55" s="15"/>
      <c r="EUN55" s="15"/>
      <c r="EUO55" s="15"/>
      <c r="EUP55" s="15"/>
      <c r="EUQ55" s="15"/>
      <c r="EUR55" s="15"/>
      <c r="EUS55" s="15"/>
      <c r="EUT55" s="15"/>
      <c r="EUU55" s="15"/>
      <c r="EUV55" s="15"/>
      <c r="EUW55" s="15"/>
      <c r="EUX55" s="15"/>
      <c r="EUY55" s="15"/>
      <c r="EUZ55" s="15"/>
      <c r="EVA55" s="15"/>
      <c r="EVB55" s="15"/>
      <c r="EVC55" s="15"/>
      <c r="EVD55" s="15"/>
      <c r="EVE55" s="15"/>
      <c r="EVF55" s="15"/>
      <c r="EVG55" s="15"/>
      <c r="EVH55" s="15"/>
      <c r="EVI55" s="15"/>
      <c r="EVJ55" s="15"/>
      <c r="EVK55" s="15"/>
      <c r="EVL55" s="15"/>
      <c r="EVM55" s="15"/>
      <c r="EVN55" s="15"/>
      <c r="EVO55" s="15"/>
      <c r="EVP55" s="15"/>
      <c r="EVQ55" s="15"/>
      <c r="EVR55" s="15"/>
      <c r="EVS55" s="15"/>
      <c r="EVT55" s="15"/>
      <c r="EVU55" s="15"/>
      <c r="EVV55" s="15"/>
      <c r="EVW55" s="15"/>
      <c r="EVX55" s="15"/>
      <c r="EVY55" s="15"/>
      <c r="EVZ55" s="15"/>
      <c r="EWA55" s="15"/>
      <c r="EWB55" s="15"/>
      <c r="EWC55" s="15"/>
      <c r="EWD55" s="15"/>
      <c r="EWE55" s="15"/>
      <c r="EWF55" s="15"/>
      <c r="EWG55" s="15"/>
      <c r="EWH55" s="15"/>
      <c r="EWI55" s="15"/>
      <c r="EWJ55" s="15"/>
      <c r="EWK55" s="15"/>
      <c r="EWL55" s="15"/>
      <c r="EWM55" s="15"/>
      <c r="EWN55" s="15"/>
      <c r="EWO55" s="15"/>
      <c r="EWP55" s="15"/>
      <c r="EWQ55" s="15"/>
      <c r="EWR55" s="15"/>
      <c r="EWS55" s="15"/>
      <c r="EWT55" s="15"/>
      <c r="EWU55" s="15"/>
      <c r="EWV55" s="15"/>
      <c r="EWW55" s="15"/>
      <c r="EWX55" s="15"/>
      <c r="EWY55" s="15"/>
      <c r="EWZ55" s="15"/>
      <c r="EXA55" s="15"/>
      <c r="EXB55" s="15"/>
      <c r="EXC55" s="15"/>
      <c r="EXD55" s="15"/>
      <c r="EXE55" s="15"/>
      <c r="EXF55" s="15"/>
      <c r="EXG55" s="15"/>
      <c r="EXH55" s="15"/>
      <c r="EXI55" s="15"/>
      <c r="EXJ55" s="15"/>
      <c r="EXK55" s="15"/>
      <c r="EXL55" s="15"/>
      <c r="EXM55" s="15"/>
      <c r="EXN55" s="15"/>
      <c r="EXO55" s="15"/>
      <c r="EXP55" s="15"/>
      <c r="EXQ55" s="15"/>
      <c r="EXR55" s="15"/>
      <c r="EXS55" s="15"/>
      <c r="EXT55" s="15"/>
      <c r="EXU55" s="15"/>
      <c r="EXV55" s="15"/>
      <c r="EXW55" s="15"/>
      <c r="EXX55" s="15"/>
      <c r="EXY55" s="15"/>
      <c r="EXZ55" s="15"/>
      <c r="EYA55" s="15"/>
      <c r="EYB55" s="15"/>
      <c r="EYC55" s="15"/>
      <c r="EYD55" s="15"/>
      <c r="EYE55" s="15"/>
      <c r="EYF55" s="15"/>
      <c r="EYG55" s="15"/>
      <c r="EYH55" s="15"/>
      <c r="EYI55" s="15"/>
      <c r="EYJ55" s="15"/>
      <c r="EYK55" s="15"/>
      <c r="EYL55" s="15"/>
      <c r="EYM55" s="15"/>
      <c r="EYN55" s="15"/>
      <c r="EYO55" s="15"/>
      <c r="EYP55" s="15"/>
      <c r="EYQ55" s="15"/>
      <c r="EYR55" s="15"/>
      <c r="EYS55" s="15"/>
      <c r="EYT55" s="15"/>
      <c r="EYU55" s="15"/>
      <c r="EYV55" s="15"/>
      <c r="EYW55" s="15"/>
      <c r="EYX55" s="15"/>
      <c r="EYY55" s="15"/>
      <c r="EYZ55" s="15"/>
      <c r="EZA55" s="15"/>
      <c r="EZB55" s="15"/>
      <c r="EZC55" s="15"/>
      <c r="EZD55" s="15"/>
      <c r="EZE55" s="15"/>
      <c r="EZF55" s="15"/>
      <c r="EZG55" s="15"/>
      <c r="EZH55" s="15"/>
      <c r="EZI55" s="15"/>
      <c r="EZJ55" s="15"/>
      <c r="EZK55" s="15"/>
      <c r="EZL55" s="15"/>
      <c r="EZM55" s="15"/>
      <c r="EZN55" s="15"/>
      <c r="EZO55" s="15"/>
      <c r="EZP55" s="15"/>
      <c r="EZQ55" s="15"/>
      <c r="EZR55" s="15"/>
      <c r="EZS55" s="15"/>
      <c r="EZT55" s="15"/>
      <c r="EZU55" s="15"/>
      <c r="EZV55" s="15"/>
      <c r="EZW55" s="15"/>
      <c r="EZX55" s="15"/>
      <c r="EZY55" s="15"/>
      <c r="EZZ55" s="15"/>
      <c r="FAA55" s="15"/>
      <c r="FAB55" s="15"/>
      <c r="FAC55" s="15"/>
      <c r="FAD55" s="15"/>
      <c r="FAE55" s="15"/>
      <c r="FAF55" s="15"/>
      <c r="FAG55" s="15"/>
      <c r="FAH55" s="15"/>
      <c r="FAI55" s="15"/>
      <c r="FAJ55" s="15"/>
      <c r="FAK55" s="15"/>
      <c r="FAL55" s="15"/>
      <c r="FAM55" s="15"/>
      <c r="FAN55" s="15"/>
      <c r="FAO55" s="15"/>
      <c r="FAP55" s="15"/>
      <c r="FAQ55" s="15"/>
      <c r="FAR55" s="15"/>
      <c r="FAS55" s="15"/>
      <c r="FAT55" s="15"/>
      <c r="FAU55" s="15"/>
      <c r="FAV55" s="15"/>
      <c r="FAW55" s="15"/>
      <c r="FAX55" s="15"/>
      <c r="FAY55" s="15"/>
      <c r="FAZ55" s="15"/>
      <c r="FBA55" s="15"/>
      <c r="FBB55" s="15"/>
      <c r="FBC55" s="15"/>
      <c r="FBD55" s="15"/>
      <c r="FBE55" s="15"/>
      <c r="FBF55" s="15"/>
      <c r="FBG55" s="15"/>
      <c r="FBH55" s="15"/>
      <c r="FBI55" s="15"/>
      <c r="FBJ55" s="15"/>
      <c r="FBK55" s="15"/>
      <c r="FBL55" s="15"/>
      <c r="FBM55" s="15"/>
      <c r="FBN55" s="15"/>
      <c r="FBO55" s="15"/>
      <c r="FBP55" s="15"/>
      <c r="FBQ55" s="15"/>
      <c r="FBR55" s="15"/>
      <c r="FBS55" s="15"/>
      <c r="FBT55" s="15"/>
      <c r="FBU55" s="15"/>
      <c r="FBV55" s="15"/>
      <c r="FBW55" s="15"/>
      <c r="FBX55" s="15"/>
      <c r="FBY55" s="15"/>
      <c r="FBZ55" s="15"/>
      <c r="FCA55" s="15"/>
      <c r="FCB55" s="15"/>
      <c r="FCC55" s="15"/>
      <c r="FCD55" s="15"/>
      <c r="FCE55" s="15"/>
      <c r="FCF55" s="15"/>
      <c r="FCG55" s="15"/>
      <c r="FCH55" s="15"/>
      <c r="FCI55" s="15"/>
      <c r="FCJ55" s="15"/>
      <c r="FCK55" s="15"/>
      <c r="FCL55" s="15"/>
      <c r="FCM55" s="15"/>
      <c r="FCN55" s="15"/>
      <c r="FCO55" s="15"/>
      <c r="FCP55" s="15"/>
      <c r="FCQ55" s="15"/>
      <c r="FCR55" s="15"/>
      <c r="FCS55" s="15"/>
      <c r="FCT55" s="15"/>
      <c r="FCU55" s="15"/>
      <c r="FCV55" s="15"/>
      <c r="FCW55" s="15"/>
      <c r="FCX55" s="15"/>
      <c r="FCY55" s="15"/>
      <c r="FCZ55" s="15"/>
      <c r="FDA55" s="15"/>
      <c r="FDB55" s="15"/>
      <c r="FDC55" s="15"/>
      <c r="FDD55" s="15"/>
      <c r="FDE55" s="15"/>
      <c r="FDF55" s="15"/>
      <c r="FDG55" s="15"/>
      <c r="FDH55" s="15"/>
      <c r="FDI55" s="15"/>
      <c r="FDJ55" s="15"/>
      <c r="FDK55" s="15"/>
      <c r="FDL55" s="15"/>
      <c r="FDM55" s="15"/>
      <c r="FDN55" s="15"/>
      <c r="FDO55" s="15"/>
      <c r="FDP55" s="15"/>
      <c r="FDQ55" s="15"/>
      <c r="FDR55" s="15"/>
      <c r="FDS55" s="15"/>
      <c r="FDT55" s="15"/>
      <c r="FDU55" s="15"/>
      <c r="FDV55" s="15"/>
      <c r="FDW55" s="15"/>
      <c r="FDX55" s="15"/>
      <c r="FDY55" s="15"/>
      <c r="FDZ55" s="15"/>
      <c r="FEA55" s="15"/>
      <c r="FEB55" s="15"/>
      <c r="FEC55" s="15"/>
      <c r="FED55" s="15"/>
      <c r="FEE55" s="15"/>
      <c r="FEF55" s="15"/>
      <c r="FEG55" s="15"/>
      <c r="FEH55" s="15"/>
      <c r="FEI55" s="15"/>
      <c r="FEJ55" s="15"/>
      <c r="FEK55" s="15"/>
      <c r="FEL55" s="15"/>
      <c r="FEM55" s="15"/>
      <c r="FEN55" s="15"/>
      <c r="FEO55" s="15"/>
      <c r="FEP55" s="15"/>
      <c r="FEQ55" s="15"/>
      <c r="FER55" s="15"/>
      <c r="FES55" s="15"/>
      <c r="FET55" s="15"/>
      <c r="FEU55" s="15"/>
      <c r="FEV55" s="15"/>
      <c r="FEW55" s="15"/>
      <c r="FEX55" s="15"/>
      <c r="FEY55" s="15"/>
      <c r="FEZ55" s="15"/>
      <c r="FFA55" s="15"/>
      <c r="FFB55" s="15"/>
      <c r="FFC55" s="15"/>
      <c r="FFD55" s="15"/>
      <c r="FFE55" s="15"/>
      <c r="FFF55" s="15"/>
      <c r="FFG55" s="15"/>
      <c r="FFH55" s="15"/>
      <c r="FFI55" s="15"/>
      <c r="FFJ55" s="15"/>
      <c r="FFK55" s="15"/>
      <c r="FFL55" s="15"/>
      <c r="FFM55" s="15"/>
      <c r="FFN55" s="15"/>
      <c r="FFO55" s="15"/>
      <c r="FFP55" s="15"/>
      <c r="FFQ55" s="15"/>
      <c r="FFR55" s="15"/>
      <c r="FFS55" s="15"/>
      <c r="FFT55" s="15"/>
      <c r="FFU55" s="15"/>
      <c r="FFV55" s="15"/>
      <c r="FFW55" s="15"/>
      <c r="FFX55" s="15"/>
      <c r="FFY55" s="15"/>
      <c r="FFZ55" s="15"/>
      <c r="FGA55" s="15"/>
      <c r="FGB55" s="15"/>
      <c r="FGC55" s="15"/>
      <c r="FGD55" s="15"/>
      <c r="FGE55" s="15"/>
      <c r="FGF55" s="15"/>
      <c r="FGG55" s="15"/>
      <c r="FGH55" s="15"/>
      <c r="FGI55" s="15"/>
      <c r="FGJ55" s="15"/>
      <c r="FGK55" s="15"/>
      <c r="FGL55" s="15"/>
      <c r="FGM55" s="15"/>
      <c r="FGN55" s="15"/>
      <c r="FGO55" s="15"/>
      <c r="FGP55" s="15"/>
      <c r="FGQ55" s="15"/>
      <c r="FGR55" s="15"/>
      <c r="FGS55" s="15"/>
      <c r="FGT55" s="15"/>
      <c r="FGU55" s="15"/>
      <c r="FGV55" s="15"/>
      <c r="FGW55" s="15"/>
      <c r="FGX55" s="15"/>
      <c r="FGY55" s="15"/>
      <c r="FGZ55" s="15"/>
      <c r="FHA55" s="15"/>
      <c r="FHB55" s="15"/>
      <c r="FHC55" s="15"/>
      <c r="FHD55" s="15"/>
      <c r="FHE55" s="15"/>
      <c r="FHF55" s="15"/>
      <c r="FHG55" s="15"/>
      <c r="FHH55" s="15"/>
      <c r="FHI55" s="15"/>
      <c r="FHJ55" s="15"/>
      <c r="FHK55" s="15"/>
      <c r="FHL55" s="15"/>
      <c r="FHM55" s="15"/>
      <c r="FHN55" s="15"/>
      <c r="FHO55" s="15"/>
      <c r="FHP55" s="15"/>
      <c r="FHQ55" s="15"/>
      <c r="FHR55" s="15"/>
      <c r="FHS55" s="15"/>
      <c r="FHT55" s="15"/>
      <c r="FHU55" s="15"/>
      <c r="FHV55" s="15"/>
      <c r="FHW55" s="15"/>
      <c r="FHX55" s="15"/>
      <c r="FHY55" s="15"/>
      <c r="FHZ55" s="15"/>
      <c r="FIA55" s="15"/>
      <c r="FIB55" s="15"/>
      <c r="FIC55" s="15"/>
      <c r="FID55" s="15"/>
      <c r="FIE55" s="15"/>
      <c r="FIF55" s="15"/>
      <c r="FIG55" s="15"/>
      <c r="FIH55" s="15"/>
      <c r="FII55" s="15"/>
      <c r="FIJ55" s="15"/>
      <c r="FIK55" s="15"/>
      <c r="FIL55" s="15"/>
      <c r="FIM55" s="15"/>
      <c r="FIN55" s="15"/>
      <c r="FIO55" s="15"/>
      <c r="FIP55" s="15"/>
      <c r="FIQ55" s="15"/>
      <c r="FIR55" s="15"/>
      <c r="FIS55" s="15"/>
      <c r="FIT55" s="15"/>
      <c r="FIU55" s="15"/>
      <c r="FIV55" s="15"/>
      <c r="FIW55" s="15"/>
      <c r="FIX55" s="15"/>
      <c r="FIY55" s="15"/>
      <c r="FIZ55" s="15"/>
      <c r="FJA55" s="15"/>
      <c r="FJB55" s="15"/>
      <c r="FJC55" s="15"/>
      <c r="FJD55" s="15"/>
      <c r="FJE55" s="15"/>
      <c r="FJF55" s="15"/>
      <c r="FJG55" s="15"/>
      <c r="FJH55" s="15"/>
      <c r="FJI55" s="15"/>
      <c r="FJJ55" s="15"/>
      <c r="FJK55" s="15"/>
      <c r="FJL55" s="15"/>
      <c r="FJM55" s="15"/>
      <c r="FJN55" s="15"/>
      <c r="FJO55" s="15"/>
      <c r="FJP55" s="15"/>
      <c r="FJQ55" s="15"/>
      <c r="FJR55" s="15"/>
      <c r="FJS55" s="15"/>
      <c r="FJT55" s="15"/>
      <c r="FJU55" s="15"/>
      <c r="FJV55" s="15"/>
      <c r="FJW55" s="15"/>
      <c r="FJX55" s="15"/>
      <c r="FJY55" s="15"/>
      <c r="FJZ55" s="15"/>
      <c r="FKA55" s="15"/>
      <c r="FKB55" s="15"/>
      <c r="FKC55" s="15"/>
      <c r="FKD55" s="15"/>
      <c r="FKE55" s="15"/>
      <c r="FKF55" s="15"/>
      <c r="FKG55" s="15"/>
      <c r="FKH55" s="15"/>
      <c r="FKI55" s="15"/>
      <c r="FKJ55" s="15"/>
      <c r="FKK55" s="15"/>
      <c r="FKL55" s="15"/>
      <c r="FKM55" s="15"/>
      <c r="FKN55" s="15"/>
      <c r="FKO55" s="15"/>
      <c r="FKP55" s="15"/>
      <c r="FKQ55" s="15"/>
      <c r="FKR55" s="15"/>
      <c r="FKS55" s="15"/>
      <c r="FKT55" s="15"/>
      <c r="FKU55" s="15"/>
      <c r="FKV55" s="15"/>
      <c r="FKW55" s="15"/>
      <c r="FKX55" s="15"/>
      <c r="FKY55" s="15"/>
      <c r="FKZ55" s="15"/>
      <c r="FLA55" s="15"/>
      <c r="FLB55" s="15"/>
      <c r="FLC55" s="15"/>
      <c r="FLD55" s="15"/>
      <c r="FLE55" s="15"/>
      <c r="FLF55" s="15"/>
      <c r="FLG55" s="15"/>
      <c r="FLH55" s="15"/>
      <c r="FLI55" s="15"/>
      <c r="FLJ55" s="15"/>
      <c r="FLK55" s="15"/>
      <c r="FLL55" s="15"/>
      <c r="FLM55" s="15"/>
      <c r="FLN55" s="15"/>
      <c r="FLO55" s="15"/>
      <c r="FLP55" s="15"/>
      <c r="FLQ55" s="15"/>
      <c r="FLR55" s="15"/>
      <c r="FLS55" s="15"/>
      <c r="FLT55" s="15"/>
      <c r="FLU55" s="15"/>
      <c r="FLV55" s="15"/>
      <c r="FLW55" s="15"/>
      <c r="FLX55" s="15"/>
      <c r="FLY55" s="15"/>
      <c r="FLZ55" s="15"/>
      <c r="FMA55" s="15"/>
      <c r="FMB55" s="15"/>
      <c r="FMC55" s="15"/>
      <c r="FMD55" s="15"/>
      <c r="FME55" s="15"/>
      <c r="FMF55" s="15"/>
      <c r="FMG55" s="15"/>
      <c r="FMH55" s="15"/>
      <c r="FMI55" s="15"/>
      <c r="FMJ55" s="15"/>
      <c r="FMK55" s="15"/>
      <c r="FML55" s="15"/>
      <c r="FMM55" s="15"/>
      <c r="FMN55" s="15"/>
      <c r="FMO55" s="15"/>
      <c r="FMP55" s="15"/>
      <c r="FMQ55" s="15"/>
      <c r="FMR55" s="15"/>
      <c r="FMS55" s="15"/>
      <c r="FMT55" s="15"/>
      <c r="FMU55" s="15"/>
      <c r="FMV55" s="15"/>
      <c r="FMW55" s="15"/>
      <c r="FMX55" s="15"/>
      <c r="FMY55" s="15"/>
      <c r="FMZ55" s="15"/>
      <c r="FNA55" s="15"/>
      <c r="FNB55" s="15"/>
      <c r="FNC55" s="15"/>
      <c r="FND55" s="15"/>
      <c r="FNE55" s="15"/>
      <c r="FNF55" s="15"/>
      <c r="FNG55" s="15"/>
      <c r="FNH55" s="15"/>
      <c r="FNI55" s="15"/>
      <c r="FNJ55" s="15"/>
      <c r="FNK55" s="15"/>
      <c r="FNL55" s="15"/>
      <c r="FNM55" s="15"/>
      <c r="FNN55" s="15"/>
      <c r="FNO55" s="15"/>
      <c r="FNP55" s="15"/>
      <c r="FNQ55" s="15"/>
      <c r="FNR55" s="15"/>
      <c r="FNS55" s="15"/>
      <c r="FNT55" s="15"/>
      <c r="FNU55" s="15"/>
      <c r="FNV55" s="15"/>
      <c r="FNW55" s="15"/>
      <c r="FNX55" s="15"/>
      <c r="FNY55" s="15"/>
      <c r="FNZ55" s="15"/>
      <c r="FOA55" s="15"/>
      <c r="FOB55" s="15"/>
      <c r="FOC55" s="15"/>
      <c r="FOD55" s="15"/>
      <c r="FOE55" s="15"/>
      <c r="FOF55" s="15"/>
      <c r="FOG55" s="15"/>
      <c r="FOH55" s="15"/>
      <c r="FOI55" s="15"/>
      <c r="FOJ55" s="15"/>
      <c r="FOK55" s="15"/>
      <c r="FOL55" s="15"/>
      <c r="FOM55" s="15"/>
      <c r="FON55" s="15"/>
      <c r="FOO55" s="15"/>
      <c r="FOP55" s="15"/>
      <c r="FOQ55" s="15"/>
      <c r="FOR55" s="15"/>
      <c r="FOS55" s="15"/>
      <c r="FOT55" s="15"/>
      <c r="FOU55" s="15"/>
      <c r="FOV55" s="15"/>
      <c r="FOW55" s="15"/>
      <c r="FOX55" s="15"/>
      <c r="FOY55" s="15"/>
      <c r="FOZ55" s="15"/>
      <c r="FPA55" s="15"/>
      <c r="FPB55" s="15"/>
      <c r="FPC55" s="15"/>
      <c r="FPD55" s="15"/>
      <c r="FPE55" s="15"/>
      <c r="FPF55" s="15"/>
      <c r="FPG55" s="15"/>
      <c r="FPH55" s="15"/>
      <c r="FPI55" s="15"/>
      <c r="FPJ55" s="15"/>
      <c r="FPK55" s="15"/>
      <c r="FPL55" s="15"/>
      <c r="FPM55" s="15"/>
      <c r="FPN55" s="15"/>
      <c r="FPO55" s="15"/>
      <c r="FPP55" s="15"/>
      <c r="FPQ55" s="15"/>
      <c r="FPR55" s="15"/>
      <c r="FPS55" s="15"/>
      <c r="FPT55" s="15"/>
      <c r="FPU55" s="15"/>
      <c r="FPV55" s="15"/>
      <c r="FPW55" s="15"/>
      <c r="FPX55" s="15"/>
      <c r="FPY55" s="15"/>
      <c r="FPZ55" s="15"/>
      <c r="FQA55" s="15"/>
      <c r="FQB55" s="15"/>
      <c r="FQC55" s="15"/>
      <c r="FQD55" s="15"/>
      <c r="FQE55" s="15"/>
      <c r="FQF55" s="15"/>
      <c r="FQG55" s="15"/>
      <c r="FQH55" s="15"/>
      <c r="FQI55" s="15"/>
      <c r="FQJ55" s="15"/>
      <c r="FQK55" s="15"/>
      <c r="FQL55" s="15"/>
      <c r="FQM55" s="15"/>
      <c r="FQN55" s="15"/>
      <c r="FQO55" s="15"/>
      <c r="FQP55" s="15"/>
      <c r="FQQ55" s="15"/>
      <c r="FQR55" s="15"/>
      <c r="FQS55" s="15"/>
      <c r="FQT55" s="15"/>
      <c r="FQU55" s="15"/>
      <c r="FQV55" s="15"/>
      <c r="FQW55" s="15"/>
      <c r="FQX55" s="15"/>
      <c r="FQY55" s="15"/>
      <c r="FQZ55" s="15"/>
      <c r="FRA55" s="15"/>
      <c r="FRB55" s="15"/>
      <c r="FRC55" s="15"/>
      <c r="FRD55" s="15"/>
      <c r="FRE55" s="15"/>
      <c r="FRF55" s="15"/>
      <c r="FRG55" s="15"/>
      <c r="FRH55" s="15"/>
      <c r="FRI55" s="15"/>
      <c r="FRJ55" s="15"/>
      <c r="FRK55" s="15"/>
      <c r="FRL55" s="15"/>
      <c r="FRM55" s="15"/>
      <c r="FRN55" s="15"/>
      <c r="FRO55" s="15"/>
      <c r="FRP55" s="15"/>
      <c r="FRQ55" s="15"/>
      <c r="FRR55" s="15"/>
      <c r="FRS55" s="15"/>
      <c r="FRT55" s="15"/>
      <c r="FRU55" s="15"/>
      <c r="FRV55" s="15"/>
      <c r="FRW55" s="15"/>
      <c r="FRX55" s="15"/>
      <c r="FRY55" s="15"/>
      <c r="FRZ55" s="15"/>
      <c r="FSA55" s="15"/>
      <c r="FSB55" s="15"/>
      <c r="FSC55" s="15"/>
      <c r="FSD55" s="15"/>
      <c r="FSE55" s="15"/>
      <c r="FSF55" s="15"/>
      <c r="FSG55" s="15"/>
      <c r="FSH55" s="15"/>
      <c r="FSI55" s="15"/>
      <c r="FSJ55" s="15"/>
      <c r="FSK55" s="15"/>
      <c r="FSL55" s="15"/>
      <c r="FSM55" s="15"/>
      <c r="FSN55" s="15"/>
      <c r="FSO55" s="15"/>
      <c r="FSP55" s="15"/>
      <c r="FSQ55" s="15"/>
      <c r="FSR55" s="15"/>
      <c r="FSS55" s="15"/>
      <c r="FST55" s="15"/>
      <c r="FSU55" s="15"/>
      <c r="FSV55" s="15"/>
      <c r="FSW55" s="15"/>
      <c r="FSX55" s="15"/>
      <c r="FSY55" s="15"/>
      <c r="FSZ55" s="15"/>
      <c r="FTA55" s="15"/>
      <c r="FTB55" s="15"/>
      <c r="FTC55" s="15"/>
      <c r="FTD55" s="15"/>
      <c r="FTE55" s="15"/>
      <c r="FTF55" s="15"/>
      <c r="FTG55" s="15"/>
      <c r="FTH55" s="15"/>
      <c r="FTI55" s="15"/>
      <c r="FTJ55" s="15"/>
      <c r="FTK55" s="15"/>
      <c r="FTL55" s="15"/>
      <c r="FTM55" s="15"/>
      <c r="FTN55" s="15"/>
      <c r="FTO55" s="15"/>
      <c r="FTP55" s="15"/>
      <c r="FTQ55" s="15"/>
      <c r="FTR55" s="15"/>
      <c r="FTS55" s="15"/>
      <c r="FTT55" s="15"/>
      <c r="FTU55" s="15"/>
      <c r="FTV55" s="15"/>
      <c r="FTW55" s="15"/>
      <c r="FTX55" s="15"/>
      <c r="FTY55" s="15"/>
      <c r="FTZ55" s="15"/>
      <c r="FUA55" s="15"/>
      <c r="FUB55" s="15"/>
      <c r="FUC55" s="15"/>
      <c r="FUD55" s="15"/>
      <c r="FUE55" s="15"/>
      <c r="FUF55" s="15"/>
      <c r="FUG55" s="15"/>
      <c r="FUH55" s="15"/>
      <c r="FUI55" s="15"/>
      <c r="FUJ55" s="15"/>
      <c r="FUK55" s="15"/>
      <c r="FUL55" s="15"/>
      <c r="FUM55" s="15"/>
      <c r="FUN55" s="15"/>
      <c r="FUO55" s="15"/>
      <c r="FUP55" s="15"/>
      <c r="FUQ55" s="15"/>
      <c r="FUR55" s="15"/>
      <c r="FUS55" s="15"/>
      <c r="FUT55" s="15"/>
      <c r="FUU55" s="15"/>
      <c r="FUV55" s="15"/>
      <c r="FUW55" s="15"/>
      <c r="FUX55" s="15"/>
      <c r="FUY55" s="15"/>
      <c r="FUZ55" s="15"/>
      <c r="FVA55" s="15"/>
      <c r="FVB55" s="15"/>
      <c r="FVC55" s="15"/>
      <c r="FVD55" s="15"/>
      <c r="FVE55" s="15"/>
      <c r="FVF55" s="15"/>
      <c r="FVG55" s="15"/>
      <c r="FVH55" s="15"/>
      <c r="FVI55" s="15"/>
      <c r="FVJ55" s="15"/>
      <c r="FVK55" s="15"/>
      <c r="FVL55" s="15"/>
      <c r="FVM55" s="15"/>
      <c r="FVN55" s="15"/>
      <c r="FVO55" s="15"/>
      <c r="FVP55" s="15"/>
      <c r="FVQ55" s="15"/>
      <c r="FVR55" s="15"/>
      <c r="FVS55" s="15"/>
      <c r="FVT55" s="15"/>
      <c r="FVU55" s="15"/>
      <c r="FVV55" s="15"/>
      <c r="FVW55" s="15"/>
      <c r="FVX55" s="15"/>
      <c r="FVY55" s="15"/>
      <c r="FVZ55" s="15"/>
      <c r="FWA55" s="15"/>
      <c r="FWB55" s="15"/>
      <c r="FWC55" s="15"/>
      <c r="FWD55" s="15"/>
      <c r="FWE55" s="15"/>
      <c r="FWF55" s="15"/>
      <c r="FWG55" s="15"/>
      <c r="FWH55" s="15"/>
      <c r="FWI55" s="15"/>
      <c r="FWJ55" s="15"/>
      <c r="FWK55" s="15"/>
      <c r="FWL55" s="15"/>
      <c r="FWM55" s="15"/>
      <c r="FWN55" s="15"/>
      <c r="FWO55" s="15"/>
      <c r="FWP55" s="15"/>
      <c r="FWQ55" s="15"/>
      <c r="FWR55" s="15"/>
      <c r="FWS55" s="15"/>
      <c r="FWT55" s="15"/>
      <c r="FWU55" s="15"/>
      <c r="FWV55" s="15"/>
      <c r="FWW55" s="15"/>
      <c r="FWX55" s="15"/>
      <c r="FWY55" s="15"/>
      <c r="FWZ55" s="15"/>
      <c r="FXA55" s="15"/>
      <c r="FXB55" s="15"/>
      <c r="FXC55" s="15"/>
      <c r="FXD55" s="15"/>
      <c r="FXE55" s="15"/>
      <c r="FXF55" s="15"/>
      <c r="FXG55" s="15"/>
      <c r="FXH55" s="15"/>
      <c r="FXI55" s="15"/>
      <c r="FXJ55" s="15"/>
      <c r="FXK55" s="15"/>
      <c r="FXL55" s="15"/>
      <c r="FXM55" s="15"/>
      <c r="FXN55" s="15"/>
      <c r="FXO55" s="15"/>
      <c r="FXP55" s="15"/>
      <c r="FXQ55" s="15"/>
      <c r="FXR55" s="15"/>
      <c r="FXS55" s="15"/>
      <c r="FXT55" s="15"/>
      <c r="FXU55" s="15"/>
      <c r="FXV55" s="15"/>
      <c r="FXW55" s="15"/>
      <c r="FXX55" s="15"/>
      <c r="FXY55" s="15"/>
      <c r="FXZ55" s="15"/>
      <c r="FYA55" s="15"/>
      <c r="FYB55" s="15"/>
      <c r="FYC55" s="15"/>
      <c r="FYD55" s="15"/>
      <c r="FYE55" s="15"/>
      <c r="FYF55" s="15"/>
      <c r="FYG55" s="15"/>
      <c r="FYH55" s="15"/>
      <c r="FYI55" s="15"/>
      <c r="FYJ55" s="15"/>
      <c r="FYK55" s="15"/>
      <c r="FYL55" s="15"/>
      <c r="FYM55" s="15"/>
      <c r="FYN55" s="15"/>
      <c r="FYO55" s="15"/>
      <c r="FYP55" s="15"/>
      <c r="FYQ55" s="15"/>
      <c r="FYR55" s="15"/>
      <c r="FYS55" s="15"/>
      <c r="FYT55" s="15"/>
      <c r="FYU55" s="15"/>
      <c r="FYV55" s="15"/>
      <c r="FYW55" s="15"/>
      <c r="FYX55" s="15"/>
      <c r="FYY55" s="15"/>
      <c r="FYZ55" s="15"/>
      <c r="FZA55" s="15"/>
      <c r="FZB55" s="15"/>
      <c r="FZC55" s="15"/>
      <c r="FZD55" s="15"/>
      <c r="FZE55" s="15"/>
      <c r="FZF55" s="15"/>
      <c r="FZG55" s="15"/>
      <c r="FZH55" s="15"/>
      <c r="FZI55" s="15"/>
      <c r="FZJ55" s="15"/>
      <c r="FZK55" s="15"/>
      <c r="FZL55" s="15"/>
      <c r="FZM55" s="15"/>
      <c r="FZN55" s="15"/>
      <c r="FZO55" s="15"/>
      <c r="FZP55" s="15"/>
      <c r="FZQ55" s="15"/>
      <c r="FZR55" s="15"/>
      <c r="FZS55" s="15"/>
      <c r="FZT55" s="15"/>
      <c r="FZU55" s="15"/>
      <c r="FZV55" s="15"/>
      <c r="FZW55" s="15"/>
      <c r="FZX55" s="15"/>
      <c r="FZY55" s="15"/>
      <c r="FZZ55" s="15"/>
      <c r="GAA55" s="15"/>
      <c r="GAB55" s="15"/>
      <c r="GAC55" s="15"/>
      <c r="GAD55" s="15"/>
      <c r="GAE55" s="15"/>
      <c r="GAF55" s="15"/>
      <c r="GAG55" s="15"/>
      <c r="GAH55" s="15"/>
      <c r="GAI55" s="15"/>
      <c r="GAJ55" s="15"/>
      <c r="GAK55" s="15"/>
      <c r="GAL55" s="15"/>
      <c r="GAM55" s="15"/>
      <c r="GAN55" s="15"/>
      <c r="GAO55" s="15"/>
      <c r="GAP55" s="15"/>
      <c r="GAQ55" s="15"/>
      <c r="GAR55" s="15"/>
      <c r="GAS55" s="15"/>
      <c r="GAT55" s="15"/>
      <c r="GAU55" s="15"/>
      <c r="GAV55" s="15"/>
      <c r="GAW55" s="15"/>
      <c r="GAX55" s="15"/>
      <c r="GAY55" s="15"/>
      <c r="GAZ55" s="15"/>
      <c r="GBA55" s="15"/>
      <c r="GBB55" s="15"/>
      <c r="GBC55" s="15"/>
      <c r="GBD55" s="15"/>
      <c r="GBE55" s="15"/>
      <c r="GBF55" s="15"/>
      <c r="GBG55" s="15"/>
      <c r="GBH55" s="15"/>
      <c r="GBI55" s="15"/>
      <c r="GBJ55" s="15"/>
      <c r="GBK55" s="15"/>
      <c r="GBL55" s="15"/>
      <c r="GBM55" s="15"/>
      <c r="GBN55" s="15"/>
      <c r="GBO55" s="15"/>
      <c r="GBP55" s="15"/>
      <c r="GBQ55" s="15"/>
      <c r="GBR55" s="15"/>
      <c r="GBS55" s="15"/>
      <c r="GBT55" s="15"/>
      <c r="GBU55" s="15"/>
      <c r="GBV55" s="15"/>
      <c r="GBW55" s="15"/>
      <c r="GBX55" s="15"/>
      <c r="GBY55" s="15"/>
      <c r="GBZ55" s="15"/>
      <c r="GCA55" s="15"/>
      <c r="GCB55" s="15"/>
      <c r="GCC55" s="15"/>
      <c r="GCD55" s="15"/>
      <c r="GCE55" s="15"/>
      <c r="GCF55" s="15"/>
      <c r="GCG55" s="15"/>
      <c r="GCH55" s="15"/>
      <c r="GCI55" s="15"/>
      <c r="GCJ55" s="15"/>
      <c r="GCK55" s="15"/>
      <c r="GCL55" s="15"/>
      <c r="GCM55" s="15"/>
      <c r="GCN55" s="15"/>
      <c r="GCO55" s="15"/>
      <c r="GCP55" s="15"/>
      <c r="GCQ55" s="15"/>
      <c r="GCR55" s="15"/>
      <c r="GCS55" s="15"/>
      <c r="GCT55" s="15"/>
      <c r="GCU55" s="15"/>
      <c r="GCV55" s="15"/>
      <c r="GCW55" s="15"/>
      <c r="GCX55" s="15"/>
      <c r="GCY55" s="15"/>
      <c r="GCZ55" s="15"/>
      <c r="GDA55" s="15"/>
      <c r="GDB55" s="15"/>
      <c r="GDC55" s="15"/>
      <c r="GDD55" s="15"/>
      <c r="GDE55" s="15"/>
      <c r="GDF55" s="15"/>
      <c r="GDG55" s="15"/>
      <c r="GDH55" s="15"/>
      <c r="GDI55" s="15"/>
      <c r="GDJ55" s="15"/>
      <c r="GDK55" s="15"/>
      <c r="GDL55" s="15"/>
      <c r="GDM55" s="15"/>
      <c r="GDN55" s="15"/>
      <c r="GDO55" s="15"/>
      <c r="GDP55" s="15"/>
      <c r="GDQ55" s="15"/>
      <c r="GDR55" s="15"/>
      <c r="GDS55" s="15"/>
      <c r="GDT55" s="15"/>
      <c r="GDU55" s="15"/>
      <c r="GDV55" s="15"/>
      <c r="GDW55" s="15"/>
      <c r="GDX55" s="15"/>
      <c r="GDY55" s="15"/>
      <c r="GDZ55" s="15"/>
      <c r="GEA55" s="15"/>
      <c r="GEB55" s="15"/>
      <c r="GEC55" s="15"/>
      <c r="GED55" s="15"/>
      <c r="GEE55" s="15"/>
      <c r="GEF55" s="15"/>
      <c r="GEG55" s="15"/>
      <c r="GEH55" s="15"/>
      <c r="GEI55" s="15"/>
      <c r="GEJ55" s="15"/>
      <c r="GEK55" s="15"/>
      <c r="GEL55" s="15"/>
      <c r="GEM55" s="15"/>
      <c r="GEN55" s="15"/>
      <c r="GEO55" s="15"/>
      <c r="GEP55" s="15"/>
      <c r="GEQ55" s="15"/>
      <c r="GER55" s="15"/>
      <c r="GES55" s="15"/>
      <c r="GET55" s="15"/>
      <c r="GEU55" s="15"/>
      <c r="GEV55" s="15"/>
      <c r="GEW55" s="15"/>
      <c r="GEX55" s="15"/>
      <c r="GEY55" s="15"/>
      <c r="GEZ55" s="15"/>
      <c r="GFA55" s="15"/>
      <c r="GFB55" s="15"/>
      <c r="GFC55" s="15"/>
      <c r="GFD55" s="15"/>
      <c r="GFE55" s="15"/>
      <c r="GFF55" s="15"/>
      <c r="GFG55" s="15"/>
      <c r="GFH55" s="15"/>
      <c r="GFI55" s="15"/>
      <c r="GFJ55" s="15"/>
      <c r="GFK55" s="15"/>
      <c r="GFL55" s="15"/>
      <c r="GFM55" s="15"/>
      <c r="GFN55" s="15"/>
      <c r="GFO55" s="15"/>
      <c r="GFP55" s="15"/>
      <c r="GFQ55" s="15"/>
      <c r="GFR55" s="15"/>
      <c r="GFS55" s="15"/>
      <c r="GFT55" s="15"/>
      <c r="GFU55" s="15"/>
      <c r="GFV55" s="15"/>
      <c r="GFW55" s="15"/>
      <c r="GFX55" s="15"/>
      <c r="GFY55" s="15"/>
      <c r="GFZ55" s="15"/>
      <c r="GGA55" s="15"/>
      <c r="GGB55" s="15"/>
      <c r="GGC55" s="15"/>
      <c r="GGD55" s="15"/>
      <c r="GGE55" s="15"/>
      <c r="GGF55" s="15"/>
      <c r="GGG55" s="15"/>
      <c r="GGH55" s="15"/>
      <c r="GGI55" s="15"/>
      <c r="GGJ55" s="15"/>
      <c r="GGK55" s="15"/>
      <c r="GGL55" s="15"/>
      <c r="GGM55" s="15"/>
      <c r="GGN55" s="15"/>
      <c r="GGO55" s="15"/>
      <c r="GGP55" s="15"/>
      <c r="GGQ55" s="15"/>
      <c r="GGR55" s="15"/>
      <c r="GGS55" s="15"/>
      <c r="GGT55" s="15"/>
      <c r="GGU55" s="15"/>
      <c r="GGV55" s="15"/>
      <c r="GGW55" s="15"/>
      <c r="GGX55" s="15"/>
      <c r="GGY55" s="15"/>
      <c r="GGZ55" s="15"/>
      <c r="GHA55" s="15"/>
      <c r="GHB55" s="15"/>
      <c r="GHC55" s="15"/>
      <c r="GHD55" s="15"/>
      <c r="GHE55" s="15"/>
      <c r="GHF55" s="15"/>
      <c r="GHG55" s="15"/>
      <c r="GHH55" s="15"/>
      <c r="GHI55" s="15"/>
      <c r="GHJ55" s="15"/>
      <c r="GHK55" s="15"/>
      <c r="GHL55" s="15"/>
      <c r="GHM55" s="15"/>
      <c r="GHN55" s="15"/>
      <c r="GHO55" s="15"/>
      <c r="GHP55" s="15"/>
      <c r="GHQ55" s="15"/>
      <c r="GHR55" s="15"/>
      <c r="GHS55" s="15"/>
      <c r="GHT55" s="15"/>
      <c r="GHU55" s="15"/>
      <c r="GHV55" s="15"/>
      <c r="GHW55" s="15"/>
      <c r="GHX55" s="15"/>
      <c r="GHY55" s="15"/>
      <c r="GHZ55" s="15"/>
      <c r="GIA55" s="15"/>
      <c r="GIB55" s="15"/>
      <c r="GIC55" s="15"/>
      <c r="GID55" s="15"/>
      <c r="GIE55" s="15"/>
      <c r="GIF55" s="15"/>
      <c r="GIG55" s="15"/>
      <c r="GIH55" s="15"/>
      <c r="GII55" s="15"/>
      <c r="GIJ55" s="15"/>
      <c r="GIK55" s="15"/>
      <c r="GIL55" s="15"/>
      <c r="GIM55" s="15"/>
      <c r="GIN55" s="15"/>
      <c r="GIO55" s="15"/>
      <c r="GIP55" s="15"/>
      <c r="GIQ55" s="15"/>
      <c r="GIR55" s="15"/>
      <c r="GIS55" s="15"/>
      <c r="GIT55" s="15"/>
      <c r="GIU55" s="15"/>
      <c r="GIV55" s="15"/>
      <c r="GIW55" s="15"/>
      <c r="GIX55" s="15"/>
      <c r="GIY55" s="15"/>
      <c r="GIZ55" s="15"/>
      <c r="GJA55" s="15"/>
      <c r="GJB55" s="15"/>
      <c r="GJC55" s="15"/>
      <c r="GJD55" s="15"/>
      <c r="GJE55" s="15"/>
      <c r="GJF55" s="15"/>
      <c r="GJG55" s="15"/>
      <c r="GJH55" s="15"/>
      <c r="GJI55" s="15"/>
      <c r="GJJ55" s="15"/>
      <c r="GJK55" s="15"/>
      <c r="GJL55" s="15"/>
      <c r="GJM55" s="15"/>
      <c r="GJN55" s="15"/>
      <c r="GJO55" s="15"/>
      <c r="GJP55" s="15"/>
      <c r="GJQ55" s="15"/>
      <c r="GJR55" s="15"/>
      <c r="GJS55" s="15"/>
      <c r="GJT55" s="15"/>
      <c r="GJU55" s="15"/>
      <c r="GJV55" s="15"/>
      <c r="GJW55" s="15"/>
      <c r="GJX55" s="15"/>
      <c r="GJY55" s="15"/>
      <c r="GJZ55" s="15"/>
      <c r="GKA55" s="15"/>
      <c r="GKB55" s="15"/>
      <c r="GKC55" s="15"/>
      <c r="GKD55" s="15"/>
      <c r="GKE55" s="15"/>
      <c r="GKF55" s="15"/>
      <c r="GKG55" s="15"/>
      <c r="GKH55" s="15"/>
      <c r="GKI55" s="15"/>
      <c r="GKJ55" s="15"/>
      <c r="GKK55" s="15"/>
      <c r="GKL55" s="15"/>
      <c r="GKM55" s="15"/>
      <c r="GKN55" s="15"/>
      <c r="GKO55" s="15"/>
      <c r="GKP55" s="15"/>
      <c r="GKQ55" s="15"/>
      <c r="GKR55" s="15"/>
      <c r="GKS55" s="15"/>
      <c r="GKT55" s="15"/>
      <c r="GKU55" s="15"/>
      <c r="GKV55" s="15"/>
      <c r="GKW55" s="15"/>
      <c r="GKX55" s="15"/>
      <c r="GKY55" s="15"/>
      <c r="GKZ55" s="15"/>
      <c r="GLA55" s="15"/>
      <c r="GLB55" s="15"/>
      <c r="GLC55" s="15"/>
      <c r="GLD55" s="15"/>
      <c r="GLE55" s="15"/>
      <c r="GLF55" s="15"/>
      <c r="GLG55" s="15"/>
      <c r="GLH55" s="15"/>
      <c r="GLI55" s="15"/>
      <c r="GLJ55" s="15"/>
      <c r="GLK55" s="15"/>
      <c r="GLL55" s="15"/>
      <c r="GLM55" s="15"/>
      <c r="GLN55" s="15"/>
      <c r="GLO55" s="15"/>
      <c r="GLP55" s="15"/>
      <c r="GLQ55" s="15"/>
      <c r="GLR55" s="15"/>
      <c r="GLS55" s="15"/>
      <c r="GLT55" s="15"/>
      <c r="GLU55" s="15"/>
      <c r="GLV55" s="15"/>
      <c r="GLW55" s="15"/>
      <c r="GLX55" s="15"/>
      <c r="GLY55" s="15"/>
      <c r="GLZ55" s="15"/>
      <c r="GMA55" s="15"/>
      <c r="GMB55" s="15"/>
      <c r="GMC55" s="15"/>
      <c r="GMD55" s="15"/>
      <c r="GME55" s="15"/>
      <c r="GMF55" s="15"/>
      <c r="GMG55" s="15"/>
      <c r="GMH55" s="15"/>
      <c r="GMI55" s="15"/>
      <c r="GMJ55" s="15"/>
      <c r="GMK55" s="15"/>
      <c r="GML55" s="15"/>
      <c r="GMM55" s="15"/>
      <c r="GMN55" s="15"/>
      <c r="GMO55" s="15"/>
      <c r="GMP55" s="15"/>
      <c r="GMQ55" s="15"/>
      <c r="GMR55" s="15"/>
      <c r="GMS55" s="15"/>
      <c r="GMT55" s="15"/>
      <c r="GMU55" s="15"/>
      <c r="GMV55" s="15"/>
      <c r="GMW55" s="15"/>
      <c r="GMX55" s="15"/>
      <c r="GMY55" s="15"/>
      <c r="GMZ55" s="15"/>
      <c r="GNA55" s="15"/>
      <c r="GNB55" s="15"/>
      <c r="GNC55" s="15"/>
      <c r="GND55" s="15"/>
      <c r="GNE55" s="15"/>
      <c r="GNF55" s="15"/>
      <c r="GNG55" s="15"/>
      <c r="GNH55" s="15"/>
      <c r="GNI55" s="15"/>
      <c r="GNJ55" s="15"/>
      <c r="GNK55" s="15"/>
      <c r="GNL55" s="15"/>
      <c r="GNM55" s="15"/>
      <c r="GNN55" s="15"/>
      <c r="GNO55" s="15"/>
      <c r="GNP55" s="15"/>
      <c r="GNQ55" s="15"/>
      <c r="GNR55" s="15"/>
      <c r="GNS55" s="15"/>
      <c r="GNT55" s="15"/>
      <c r="GNU55" s="15"/>
      <c r="GNV55" s="15"/>
      <c r="GNW55" s="15"/>
      <c r="GNX55" s="15"/>
      <c r="GNY55" s="15"/>
      <c r="GNZ55" s="15"/>
      <c r="GOA55" s="15"/>
      <c r="GOB55" s="15"/>
      <c r="GOC55" s="15"/>
      <c r="GOD55" s="15"/>
      <c r="GOE55" s="15"/>
      <c r="GOF55" s="15"/>
      <c r="GOG55" s="15"/>
      <c r="GOH55" s="15"/>
      <c r="GOI55" s="15"/>
      <c r="GOJ55" s="15"/>
      <c r="GOK55" s="15"/>
      <c r="GOL55" s="15"/>
      <c r="GOM55" s="15"/>
      <c r="GON55" s="15"/>
      <c r="GOO55" s="15"/>
      <c r="GOP55" s="15"/>
      <c r="GOQ55" s="15"/>
      <c r="GOR55" s="15"/>
      <c r="GOS55" s="15"/>
      <c r="GOT55" s="15"/>
      <c r="GOU55" s="15"/>
      <c r="GOV55" s="15"/>
      <c r="GOW55" s="15"/>
      <c r="GOX55" s="15"/>
      <c r="GOY55" s="15"/>
      <c r="GOZ55" s="15"/>
      <c r="GPA55" s="15"/>
      <c r="GPB55" s="15"/>
      <c r="GPC55" s="15"/>
      <c r="GPD55" s="15"/>
      <c r="GPE55" s="15"/>
      <c r="GPF55" s="15"/>
      <c r="GPG55" s="15"/>
      <c r="GPH55" s="15"/>
      <c r="GPI55" s="15"/>
      <c r="GPJ55" s="15"/>
      <c r="GPK55" s="15"/>
      <c r="GPL55" s="15"/>
      <c r="GPM55" s="15"/>
      <c r="GPN55" s="15"/>
      <c r="GPO55" s="15"/>
      <c r="GPP55" s="15"/>
      <c r="GPQ55" s="15"/>
      <c r="GPR55" s="15"/>
      <c r="GPS55" s="15"/>
      <c r="GPT55" s="15"/>
      <c r="GPU55" s="15"/>
      <c r="GPV55" s="15"/>
      <c r="GPW55" s="15"/>
      <c r="GPX55" s="15"/>
      <c r="GPY55" s="15"/>
      <c r="GPZ55" s="15"/>
      <c r="GQA55" s="15"/>
      <c r="GQB55" s="15"/>
      <c r="GQC55" s="15"/>
      <c r="GQD55" s="15"/>
      <c r="GQE55" s="15"/>
      <c r="GQF55" s="15"/>
      <c r="GQG55" s="15"/>
      <c r="GQH55" s="15"/>
      <c r="GQI55" s="15"/>
      <c r="GQJ55" s="15"/>
      <c r="GQK55" s="15"/>
      <c r="GQL55" s="15"/>
      <c r="GQM55" s="15"/>
      <c r="GQN55" s="15"/>
      <c r="GQO55" s="15"/>
      <c r="GQP55" s="15"/>
      <c r="GQQ55" s="15"/>
      <c r="GQR55" s="15"/>
      <c r="GQS55" s="15"/>
      <c r="GQT55" s="15"/>
      <c r="GQU55" s="15"/>
      <c r="GQV55" s="15"/>
      <c r="GQW55" s="15"/>
      <c r="GQX55" s="15"/>
      <c r="GQY55" s="15"/>
      <c r="GQZ55" s="15"/>
      <c r="GRA55" s="15"/>
      <c r="GRB55" s="15"/>
      <c r="GRC55" s="15"/>
      <c r="GRD55" s="15"/>
      <c r="GRE55" s="15"/>
      <c r="GRF55" s="15"/>
      <c r="GRG55" s="15"/>
      <c r="GRH55" s="15"/>
      <c r="GRI55" s="15"/>
      <c r="GRJ55" s="15"/>
      <c r="GRK55" s="15"/>
      <c r="GRL55" s="15"/>
      <c r="GRM55" s="15"/>
      <c r="GRN55" s="15"/>
      <c r="GRO55" s="15"/>
      <c r="GRP55" s="15"/>
      <c r="GRQ55" s="15"/>
      <c r="GRR55" s="15"/>
      <c r="GRS55" s="15"/>
      <c r="GRT55" s="15"/>
      <c r="GRU55" s="15"/>
      <c r="GRV55" s="15"/>
      <c r="GRW55" s="15"/>
      <c r="GRX55" s="15"/>
      <c r="GRY55" s="15"/>
      <c r="GRZ55" s="15"/>
      <c r="GSA55" s="15"/>
      <c r="GSB55" s="15"/>
      <c r="GSC55" s="15"/>
      <c r="GSD55" s="15"/>
      <c r="GSE55" s="15"/>
      <c r="GSF55" s="15"/>
      <c r="GSG55" s="15"/>
      <c r="GSH55" s="15"/>
      <c r="GSI55" s="15"/>
      <c r="GSJ55" s="15"/>
      <c r="GSK55" s="15"/>
      <c r="GSL55" s="15"/>
      <c r="GSM55" s="15"/>
      <c r="GSN55" s="15"/>
      <c r="GSO55" s="15"/>
      <c r="GSP55" s="15"/>
      <c r="GSQ55" s="15"/>
      <c r="GSR55" s="15"/>
      <c r="GSS55" s="15"/>
      <c r="GST55" s="15"/>
      <c r="GSU55" s="15"/>
      <c r="GSV55" s="15"/>
      <c r="GSW55" s="15"/>
      <c r="GSX55" s="15"/>
      <c r="GSY55" s="15"/>
      <c r="GSZ55" s="15"/>
      <c r="GTA55" s="15"/>
      <c r="GTB55" s="15"/>
      <c r="GTC55" s="15"/>
      <c r="GTD55" s="15"/>
      <c r="GTE55" s="15"/>
      <c r="GTF55" s="15"/>
      <c r="GTG55" s="15"/>
      <c r="GTH55" s="15"/>
      <c r="GTI55" s="15"/>
      <c r="GTJ55" s="15"/>
      <c r="GTK55" s="15"/>
      <c r="GTL55" s="15"/>
      <c r="GTM55" s="15"/>
      <c r="GTN55" s="15"/>
      <c r="GTO55" s="15"/>
      <c r="GTP55" s="15"/>
      <c r="GTQ55" s="15"/>
      <c r="GTR55" s="15"/>
      <c r="GTS55" s="15"/>
      <c r="GTT55" s="15"/>
      <c r="GTU55" s="15"/>
      <c r="GTV55" s="15"/>
      <c r="GTW55" s="15"/>
      <c r="GTX55" s="15"/>
      <c r="GTY55" s="15"/>
      <c r="GTZ55" s="15"/>
      <c r="GUA55" s="15"/>
      <c r="GUB55" s="15"/>
      <c r="GUC55" s="15"/>
      <c r="GUD55" s="15"/>
      <c r="GUE55" s="15"/>
      <c r="GUF55" s="15"/>
      <c r="GUG55" s="15"/>
      <c r="GUH55" s="15"/>
      <c r="GUI55" s="15"/>
      <c r="GUJ55" s="15"/>
      <c r="GUK55" s="15"/>
      <c r="GUL55" s="15"/>
      <c r="GUM55" s="15"/>
      <c r="GUN55" s="15"/>
      <c r="GUO55" s="15"/>
      <c r="GUP55" s="15"/>
      <c r="GUQ55" s="15"/>
      <c r="GUR55" s="15"/>
      <c r="GUS55" s="15"/>
      <c r="GUT55" s="15"/>
      <c r="GUU55" s="15"/>
      <c r="GUV55" s="15"/>
      <c r="GUW55" s="15"/>
      <c r="GUX55" s="15"/>
      <c r="GUY55" s="15"/>
      <c r="GUZ55" s="15"/>
      <c r="GVA55" s="15"/>
      <c r="GVB55" s="15"/>
      <c r="GVC55" s="15"/>
      <c r="GVD55" s="15"/>
      <c r="GVE55" s="15"/>
      <c r="GVF55" s="15"/>
      <c r="GVG55" s="15"/>
      <c r="GVH55" s="15"/>
      <c r="GVI55" s="15"/>
      <c r="GVJ55" s="15"/>
      <c r="GVK55" s="15"/>
      <c r="GVL55" s="15"/>
      <c r="GVM55" s="15"/>
      <c r="GVN55" s="15"/>
      <c r="GVO55" s="15"/>
      <c r="GVP55" s="15"/>
      <c r="GVQ55" s="15"/>
      <c r="GVR55" s="15"/>
      <c r="GVS55" s="15"/>
      <c r="GVT55" s="15"/>
      <c r="GVU55" s="15"/>
      <c r="GVV55" s="15"/>
      <c r="GVW55" s="15"/>
      <c r="GVX55" s="15"/>
      <c r="GVY55" s="15"/>
      <c r="GVZ55" s="15"/>
      <c r="GWA55" s="15"/>
      <c r="GWB55" s="15"/>
      <c r="GWC55" s="15"/>
      <c r="GWD55" s="15"/>
      <c r="GWE55" s="15"/>
      <c r="GWF55" s="15"/>
      <c r="GWG55" s="15"/>
      <c r="GWH55" s="15"/>
      <c r="GWI55" s="15"/>
      <c r="GWJ55" s="15"/>
      <c r="GWK55" s="15"/>
      <c r="GWL55" s="15"/>
      <c r="GWM55" s="15"/>
      <c r="GWN55" s="15"/>
      <c r="GWO55" s="15"/>
      <c r="GWP55" s="15"/>
      <c r="GWQ55" s="15"/>
      <c r="GWR55" s="15"/>
      <c r="GWS55" s="15"/>
      <c r="GWT55" s="15"/>
      <c r="GWU55" s="15"/>
      <c r="GWV55" s="15"/>
      <c r="GWW55" s="15"/>
      <c r="GWX55" s="15"/>
      <c r="GWY55" s="15"/>
      <c r="GWZ55" s="15"/>
      <c r="GXA55" s="15"/>
      <c r="GXB55" s="15"/>
      <c r="GXC55" s="15"/>
      <c r="GXD55" s="15"/>
      <c r="GXE55" s="15"/>
      <c r="GXF55" s="15"/>
      <c r="GXG55" s="15"/>
      <c r="GXH55" s="15"/>
      <c r="GXI55" s="15"/>
      <c r="GXJ55" s="15"/>
      <c r="GXK55" s="15"/>
      <c r="GXL55" s="15"/>
      <c r="GXM55" s="15"/>
      <c r="GXN55" s="15"/>
      <c r="GXO55" s="15"/>
      <c r="GXP55" s="15"/>
      <c r="GXQ55" s="15"/>
      <c r="GXR55" s="15"/>
      <c r="GXS55" s="15"/>
      <c r="GXT55" s="15"/>
      <c r="GXU55" s="15"/>
      <c r="GXV55" s="15"/>
      <c r="GXW55" s="15"/>
      <c r="GXX55" s="15"/>
      <c r="GXY55" s="15"/>
      <c r="GXZ55" s="15"/>
      <c r="GYA55" s="15"/>
      <c r="GYB55" s="15"/>
      <c r="GYC55" s="15"/>
      <c r="GYD55" s="15"/>
      <c r="GYE55" s="15"/>
      <c r="GYF55" s="15"/>
      <c r="GYG55" s="15"/>
      <c r="GYH55" s="15"/>
      <c r="GYI55" s="15"/>
      <c r="GYJ55" s="15"/>
      <c r="GYK55" s="15"/>
      <c r="GYL55" s="15"/>
      <c r="GYM55" s="15"/>
      <c r="GYN55" s="15"/>
      <c r="GYO55" s="15"/>
      <c r="GYP55" s="15"/>
      <c r="GYQ55" s="15"/>
      <c r="GYR55" s="15"/>
      <c r="GYS55" s="15"/>
      <c r="GYT55" s="15"/>
      <c r="GYU55" s="15"/>
      <c r="GYV55" s="15"/>
      <c r="GYW55" s="15"/>
      <c r="GYX55" s="15"/>
      <c r="GYY55" s="15"/>
      <c r="GYZ55" s="15"/>
      <c r="GZA55" s="15"/>
      <c r="GZB55" s="15"/>
      <c r="GZC55" s="15"/>
      <c r="GZD55" s="15"/>
      <c r="GZE55" s="15"/>
      <c r="GZF55" s="15"/>
      <c r="GZG55" s="15"/>
      <c r="GZH55" s="15"/>
      <c r="GZI55" s="15"/>
      <c r="GZJ55" s="15"/>
      <c r="GZK55" s="15"/>
      <c r="GZL55" s="15"/>
      <c r="GZM55" s="15"/>
      <c r="GZN55" s="15"/>
      <c r="GZO55" s="15"/>
      <c r="GZP55" s="15"/>
      <c r="GZQ55" s="15"/>
      <c r="GZR55" s="15"/>
      <c r="GZS55" s="15"/>
      <c r="GZT55" s="15"/>
      <c r="GZU55" s="15"/>
      <c r="GZV55" s="15"/>
      <c r="GZW55" s="15"/>
      <c r="GZX55" s="15"/>
      <c r="GZY55" s="15"/>
      <c r="GZZ55" s="15"/>
      <c r="HAA55" s="15"/>
      <c r="HAB55" s="15"/>
      <c r="HAC55" s="15"/>
      <c r="HAD55" s="15"/>
      <c r="HAE55" s="15"/>
      <c r="HAF55" s="15"/>
      <c r="HAG55" s="15"/>
      <c r="HAH55" s="15"/>
      <c r="HAI55" s="15"/>
      <c r="HAJ55" s="15"/>
      <c r="HAK55" s="15"/>
      <c r="HAL55" s="15"/>
      <c r="HAM55" s="15"/>
      <c r="HAN55" s="15"/>
      <c r="HAO55" s="15"/>
      <c r="HAP55" s="15"/>
      <c r="HAQ55" s="15"/>
      <c r="HAR55" s="15"/>
      <c r="HAS55" s="15"/>
      <c r="HAT55" s="15"/>
      <c r="HAU55" s="15"/>
      <c r="HAV55" s="15"/>
      <c r="HAW55" s="15"/>
      <c r="HAX55" s="15"/>
      <c r="HAY55" s="15"/>
      <c r="HAZ55" s="15"/>
      <c r="HBA55" s="15"/>
      <c r="HBB55" s="15"/>
      <c r="HBC55" s="15"/>
      <c r="HBD55" s="15"/>
      <c r="HBE55" s="15"/>
      <c r="HBF55" s="15"/>
      <c r="HBG55" s="15"/>
      <c r="HBH55" s="15"/>
      <c r="HBI55" s="15"/>
      <c r="HBJ55" s="15"/>
      <c r="HBK55" s="15"/>
      <c r="HBL55" s="15"/>
      <c r="HBM55" s="15"/>
      <c r="HBN55" s="15"/>
      <c r="HBO55" s="15"/>
      <c r="HBP55" s="15"/>
      <c r="HBQ55" s="15"/>
      <c r="HBR55" s="15"/>
      <c r="HBS55" s="15"/>
      <c r="HBT55" s="15"/>
      <c r="HBU55" s="15"/>
      <c r="HBV55" s="15"/>
      <c r="HBW55" s="15"/>
      <c r="HBX55" s="15"/>
      <c r="HBY55" s="15"/>
      <c r="HBZ55" s="15"/>
      <c r="HCA55" s="15"/>
      <c r="HCB55" s="15"/>
      <c r="HCC55" s="15"/>
      <c r="HCD55" s="15"/>
      <c r="HCE55" s="15"/>
      <c r="HCF55" s="15"/>
      <c r="HCG55" s="15"/>
      <c r="HCH55" s="15"/>
      <c r="HCI55" s="15"/>
      <c r="HCJ55" s="15"/>
      <c r="HCK55" s="15"/>
      <c r="HCL55" s="15"/>
      <c r="HCM55" s="15"/>
      <c r="HCN55" s="15"/>
      <c r="HCO55" s="15"/>
      <c r="HCP55" s="15"/>
      <c r="HCQ55" s="15"/>
      <c r="HCR55" s="15"/>
      <c r="HCS55" s="15"/>
      <c r="HCT55" s="15"/>
      <c r="HCU55" s="15"/>
      <c r="HCV55" s="15"/>
      <c r="HCW55" s="15"/>
      <c r="HCX55" s="15"/>
      <c r="HCY55" s="15"/>
      <c r="HCZ55" s="15"/>
      <c r="HDA55" s="15"/>
      <c r="HDB55" s="15"/>
      <c r="HDC55" s="15"/>
      <c r="HDD55" s="15"/>
      <c r="HDE55" s="15"/>
      <c r="HDF55" s="15"/>
      <c r="HDG55" s="15"/>
      <c r="HDH55" s="15"/>
      <c r="HDI55" s="15"/>
      <c r="HDJ55" s="15"/>
      <c r="HDK55" s="15"/>
      <c r="HDL55" s="15"/>
      <c r="HDM55" s="15"/>
      <c r="HDN55" s="15"/>
      <c r="HDO55" s="15"/>
      <c r="HDP55" s="15"/>
      <c r="HDQ55" s="15"/>
      <c r="HDR55" s="15"/>
      <c r="HDS55" s="15"/>
      <c r="HDT55" s="15"/>
      <c r="HDU55" s="15"/>
      <c r="HDV55" s="15"/>
      <c r="HDW55" s="15"/>
      <c r="HDX55" s="15"/>
      <c r="HDY55" s="15"/>
      <c r="HDZ55" s="15"/>
      <c r="HEA55" s="15"/>
      <c r="HEB55" s="15"/>
      <c r="HEC55" s="15"/>
      <c r="HED55" s="15"/>
      <c r="HEE55" s="15"/>
      <c r="HEF55" s="15"/>
      <c r="HEG55" s="15"/>
      <c r="HEH55" s="15"/>
      <c r="HEI55" s="15"/>
      <c r="HEJ55" s="15"/>
      <c r="HEK55" s="15"/>
      <c r="HEL55" s="15"/>
      <c r="HEM55" s="15"/>
      <c r="HEN55" s="15"/>
      <c r="HEO55" s="15"/>
      <c r="HEP55" s="15"/>
      <c r="HEQ55" s="15"/>
      <c r="HER55" s="15"/>
      <c r="HES55" s="15"/>
      <c r="HET55" s="15"/>
      <c r="HEU55" s="15"/>
      <c r="HEV55" s="15"/>
      <c r="HEW55" s="15"/>
      <c r="HEX55" s="15"/>
      <c r="HEY55" s="15"/>
      <c r="HEZ55" s="15"/>
      <c r="HFA55" s="15"/>
      <c r="HFB55" s="15"/>
      <c r="HFC55" s="15"/>
      <c r="HFD55" s="15"/>
      <c r="HFE55" s="15"/>
      <c r="HFF55" s="15"/>
      <c r="HFG55" s="15"/>
      <c r="HFH55" s="15"/>
      <c r="HFI55" s="15"/>
      <c r="HFJ55" s="15"/>
      <c r="HFK55" s="15"/>
      <c r="HFL55" s="15"/>
      <c r="HFM55" s="15"/>
      <c r="HFN55" s="15"/>
      <c r="HFO55" s="15"/>
      <c r="HFP55" s="15"/>
      <c r="HFQ55" s="15"/>
      <c r="HFR55" s="15"/>
      <c r="HFS55" s="15"/>
      <c r="HFT55" s="15"/>
      <c r="HFU55" s="15"/>
      <c r="HFV55" s="15"/>
      <c r="HFW55" s="15"/>
      <c r="HFX55" s="15"/>
      <c r="HFY55" s="15"/>
      <c r="HFZ55" s="15"/>
      <c r="HGA55" s="15"/>
      <c r="HGB55" s="15"/>
      <c r="HGC55" s="15"/>
      <c r="HGD55" s="15"/>
      <c r="HGE55" s="15"/>
      <c r="HGF55" s="15"/>
      <c r="HGG55" s="15"/>
      <c r="HGH55" s="15"/>
      <c r="HGI55" s="15"/>
      <c r="HGJ55" s="15"/>
      <c r="HGK55" s="15"/>
      <c r="HGL55" s="15"/>
      <c r="HGM55" s="15"/>
      <c r="HGN55" s="15"/>
      <c r="HGO55" s="15"/>
      <c r="HGP55" s="15"/>
      <c r="HGQ55" s="15"/>
      <c r="HGR55" s="15"/>
      <c r="HGS55" s="15"/>
      <c r="HGT55" s="15"/>
      <c r="HGU55" s="15"/>
      <c r="HGV55" s="15"/>
      <c r="HGW55" s="15"/>
      <c r="HGX55" s="15"/>
      <c r="HGY55" s="15"/>
      <c r="HGZ55" s="15"/>
      <c r="HHA55" s="15"/>
      <c r="HHB55" s="15"/>
      <c r="HHC55" s="15"/>
      <c r="HHD55" s="15"/>
      <c r="HHE55" s="15"/>
      <c r="HHF55" s="15"/>
      <c r="HHG55" s="15"/>
      <c r="HHH55" s="15"/>
      <c r="HHI55" s="15"/>
      <c r="HHJ55" s="15"/>
      <c r="HHK55" s="15"/>
      <c r="HHL55" s="15"/>
      <c r="HHM55" s="15"/>
      <c r="HHN55" s="15"/>
      <c r="HHO55" s="15"/>
      <c r="HHP55" s="15"/>
      <c r="HHQ55" s="15"/>
      <c r="HHR55" s="15"/>
      <c r="HHS55" s="15"/>
      <c r="HHT55" s="15"/>
      <c r="HHU55" s="15"/>
      <c r="HHV55" s="15"/>
      <c r="HHW55" s="15"/>
      <c r="HHX55" s="15"/>
      <c r="HHY55" s="15"/>
      <c r="HHZ55" s="15"/>
      <c r="HIA55" s="15"/>
      <c r="HIB55" s="15"/>
      <c r="HIC55" s="15"/>
      <c r="HID55" s="15"/>
      <c r="HIE55" s="15"/>
      <c r="HIF55" s="15"/>
      <c r="HIG55" s="15"/>
      <c r="HIH55" s="15"/>
      <c r="HII55" s="15"/>
      <c r="HIJ55" s="15"/>
      <c r="HIK55" s="15"/>
      <c r="HIL55" s="15"/>
      <c r="HIM55" s="15"/>
      <c r="HIN55" s="15"/>
      <c r="HIO55" s="15"/>
      <c r="HIP55" s="15"/>
      <c r="HIQ55" s="15"/>
      <c r="HIR55" s="15"/>
      <c r="HIS55" s="15"/>
      <c r="HIT55" s="15"/>
      <c r="HIU55" s="15"/>
      <c r="HIV55" s="15"/>
      <c r="HIW55" s="15"/>
      <c r="HIX55" s="15"/>
      <c r="HIY55" s="15"/>
      <c r="HIZ55" s="15"/>
      <c r="HJA55" s="15"/>
      <c r="HJB55" s="15"/>
      <c r="HJC55" s="15"/>
      <c r="HJD55" s="15"/>
      <c r="HJE55" s="15"/>
      <c r="HJF55" s="15"/>
      <c r="HJG55" s="15"/>
      <c r="HJH55" s="15"/>
      <c r="HJI55" s="15"/>
      <c r="HJJ55" s="15"/>
      <c r="HJK55" s="15"/>
      <c r="HJL55" s="15"/>
      <c r="HJM55" s="15"/>
      <c r="HJN55" s="15"/>
      <c r="HJO55" s="15"/>
      <c r="HJP55" s="15"/>
      <c r="HJQ55" s="15"/>
      <c r="HJR55" s="15"/>
      <c r="HJS55" s="15"/>
      <c r="HJT55" s="15"/>
      <c r="HJU55" s="15"/>
      <c r="HJV55" s="15"/>
      <c r="HJW55" s="15"/>
      <c r="HJX55" s="15"/>
      <c r="HJY55" s="15"/>
      <c r="HJZ55" s="15"/>
      <c r="HKA55" s="15"/>
      <c r="HKB55" s="15"/>
      <c r="HKC55" s="15"/>
      <c r="HKD55" s="15"/>
      <c r="HKE55" s="15"/>
      <c r="HKF55" s="15"/>
      <c r="HKG55" s="15"/>
      <c r="HKH55" s="15"/>
      <c r="HKI55" s="15"/>
      <c r="HKJ55" s="15"/>
      <c r="HKK55" s="15"/>
      <c r="HKL55" s="15"/>
      <c r="HKM55" s="15"/>
      <c r="HKN55" s="15"/>
      <c r="HKO55" s="15"/>
      <c r="HKP55" s="15"/>
      <c r="HKQ55" s="15"/>
      <c r="HKR55" s="15"/>
      <c r="HKS55" s="15"/>
      <c r="HKT55" s="15"/>
      <c r="HKU55" s="15"/>
      <c r="HKV55" s="15"/>
      <c r="HKW55" s="15"/>
      <c r="HKX55" s="15"/>
      <c r="HKY55" s="15"/>
      <c r="HKZ55" s="15"/>
      <c r="HLA55" s="15"/>
      <c r="HLB55" s="15"/>
      <c r="HLC55" s="15"/>
      <c r="HLD55" s="15"/>
      <c r="HLE55" s="15"/>
      <c r="HLF55" s="15"/>
      <c r="HLG55" s="15"/>
      <c r="HLH55" s="15"/>
      <c r="HLI55" s="15"/>
      <c r="HLJ55" s="15"/>
      <c r="HLK55" s="15"/>
      <c r="HLL55" s="15"/>
      <c r="HLM55" s="15"/>
      <c r="HLN55" s="15"/>
      <c r="HLO55" s="15"/>
      <c r="HLP55" s="15"/>
      <c r="HLQ55" s="15"/>
      <c r="HLR55" s="15"/>
      <c r="HLS55" s="15"/>
      <c r="HLT55" s="15"/>
      <c r="HLU55" s="15"/>
      <c r="HLV55" s="15"/>
      <c r="HLW55" s="15"/>
      <c r="HLX55" s="15"/>
      <c r="HLY55" s="15"/>
      <c r="HLZ55" s="15"/>
      <c r="HMA55" s="15"/>
      <c r="HMB55" s="15"/>
      <c r="HMC55" s="15"/>
      <c r="HMD55" s="15"/>
      <c r="HME55" s="15"/>
      <c r="HMF55" s="15"/>
      <c r="HMG55" s="15"/>
      <c r="HMH55" s="15"/>
      <c r="HMI55" s="15"/>
      <c r="HMJ55" s="15"/>
      <c r="HMK55" s="15"/>
      <c r="HML55" s="15"/>
      <c r="HMM55" s="15"/>
      <c r="HMN55" s="15"/>
      <c r="HMO55" s="15"/>
      <c r="HMP55" s="15"/>
      <c r="HMQ55" s="15"/>
      <c r="HMR55" s="15"/>
      <c r="HMS55" s="15"/>
      <c r="HMT55" s="15"/>
      <c r="HMU55" s="15"/>
      <c r="HMV55" s="15"/>
      <c r="HMW55" s="15"/>
      <c r="HMX55" s="15"/>
      <c r="HMY55" s="15"/>
      <c r="HMZ55" s="15"/>
      <c r="HNA55" s="15"/>
      <c r="HNB55" s="15"/>
      <c r="HNC55" s="15"/>
      <c r="HND55" s="15"/>
      <c r="HNE55" s="15"/>
      <c r="HNF55" s="15"/>
      <c r="HNG55" s="15"/>
      <c r="HNH55" s="15"/>
      <c r="HNI55" s="15"/>
      <c r="HNJ55" s="15"/>
      <c r="HNK55" s="15"/>
      <c r="HNL55" s="15"/>
      <c r="HNM55" s="15"/>
      <c r="HNN55" s="15"/>
      <c r="HNO55" s="15"/>
      <c r="HNP55" s="15"/>
      <c r="HNQ55" s="15"/>
      <c r="HNR55" s="15"/>
      <c r="HNS55" s="15"/>
      <c r="HNT55" s="15"/>
      <c r="HNU55" s="15"/>
      <c r="HNV55" s="15"/>
      <c r="HNW55" s="15"/>
      <c r="HNX55" s="15"/>
      <c r="HNY55" s="15"/>
      <c r="HNZ55" s="15"/>
      <c r="HOA55" s="15"/>
      <c r="HOB55" s="15"/>
      <c r="HOC55" s="15"/>
      <c r="HOD55" s="15"/>
      <c r="HOE55" s="15"/>
      <c r="HOF55" s="15"/>
      <c r="HOG55" s="15"/>
      <c r="HOH55" s="15"/>
      <c r="HOI55" s="15"/>
      <c r="HOJ55" s="15"/>
      <c r="HOK55" s="15"/>
      <c r="HOL55" s="15"/>
      <c r="HOM55" s="15"/>
      <c r="HON55" s="15"/>
      <c r="HOO55" s="15"/>
      <c r="HOP55" s="15"/>
      <c r="HOQ55" s="15"/>
      <c r="HOR55" s="15"/>
      <c r="HOS55" s="15"/>
      <c r="HOT55" s="15"/>
      <c r="HOU55" s="15"/>
      <c r="HOV55" s="15"/>
      <c r="HOW55" s="15"/>
      <c r="HOX55" s="15"/>
      <c r="HOY55" s="15"/>
      <c r="HOZ55" s="15"/>
      <c r="HPA55" s="15"/>
      <c r="HPB55" s="15"/>
      <c r="HPC55" s="15"/>
      <c r="HPD55" s="15"/>
      <c r="HPE55" s="15"/>
      <c r="HPF55" s="15"/>
      <c r="HPG55" s="15"/>
      <c r="HPH55" s="15"/>
      <c r="HPI55" s="15"/>
      <c r="HPJ55" s="15"/>
      <c r="HPK55" s="15"/>
      <c r="HPL55" s="15"/>
      <c r="HPM55" s="15"/>
      <c r="HPN55" s="15"/>
      <c r="HPO55" s="15"/>
      <c r="HPP55" s="15"/>
      <c r="HPQ55" s="15"/>
      <c r="HPR55" s="15"/>
      <c r="HPS55" s="15"/>
      <c r="HPT55" s="15"/>
      <c r="HPU55" s="15"/>
      <c r="HPV55" s="15"/>
      <c r="HPW55" s="15"/>
      <c r="HPX55" s="15"/>
      <c r="HPY55" s="15"/>
      <c r="HPZ55" s="15"/>
      <c r="HQA55" s="15"/>
      <c r="HQB55" s="15"/>
      <c r="HQC55" s="15"/>
      <c r="HQD55" s="15"/>
      <c r="HQE55" s="15"/>
      <c r="HQF55" s="15"/>
      <c r="HQG55" s="15"/>
      <c r="HQH55" s="15"/>
      <c r="HQI55" s="15"/>
      <c r="HQJ55" s="15"/>
      <c r="HQK55" s="15"/>
      <c r="HQL55" s="15"/>
      <c r="HQM55" s="15"/>
      <c r="HQN55" s="15"/>
      <c r="HQO55" s="15"/>
      <c r="HQP55" s="15"/>
      <c r="HQQ55" s="15"/>
      <c r="HQR55" s="15"/>
      <c r="HQS55" s="15"/>
      <c r="HQT55" s="15"/>
      <c r="HQU55" s="15"/>
      <c r="HQV55" s="15"/>
      <c r="HQW55" s="15"/>
      <c r="HQX55" s="15"/>
      <c r="HQY55" s="15"/>
      <c r="HQZ55" s="15"/>
      <c r="HRA55" s="15"/>
      <c r="HRB55" s="15"/>
      <c r="HRC55" s="15"/>
      <c r="HRD55" s="15"/>
      <c r="HRE55" s="15"/>
      <c r="HRF55" s="15"/>
      <c r="HRG55" s="15"/>
      <c r="HRH55" s="15"/>
      <c r="HRI55" s="15"/>
      <c r="HRJ55" s="15"/>
      <c r="HRK55" s="15"/>
      <c r="HRL55" s="15"/>
      <c r="HRM55" s="15"/>
      <c r="HRN55" s="15"/>
      <c r="HRO55" s="15"/>
      <c r="HRP55" s="15"/>
      <c r="HRQ55" s="15"/>
      <c r="HRR55" s="15"/>
      <c r="HRS55" s="15"/>
      <c r="HRT55" s="15"/>
      <c r="HRU55" s="15"/>
      <c r="HRV55" s="15"/>
      <c r="HRW55" s="15"/>
      <c r="HRX55" s="15"/>
      <c r="HRY55" s="15"/>
      <c r="HRZ55" s="15"/>
      <c r="HSA55" s="15"/>
      <c r="HSB55" s="15"/>
      <c r="HSC55" s="15"/>
      <c r="HSD55" s="15"/>
      <c r="HSE55" s="15"/>
      <c r="HSF55" s="15"/>
      <c r="HSG55" s="15"/>
      <c r="HSH55" s="15"/>
      <c r="HSI55" s="15"/>
      <c r="HSJ55" s="15"/>
      <c r="HSK55" s="15"/>
      <c r="HSL55" s="15"/>
      <c r="HSM55" s="15"/>
      <c r="HSN55" s="15"/>
      <c r="HSO55" s="15"/>
      <c r="HSP55" s="15"/>
      <c r="HSQ55" s="15"/>
      <c r="HSR55" s="15"/>
      <c r="HSS55" s="15"/>
      <c r="HST55" s="15"/>
      <c r="HSU55" s="15"/>
      <c r="HSV55" s="15"/>
      <c r="HSW55" s="15"/>
      <c r="HSX55" s="15"/>
      <c r="HSY55" s="15"/>
      <c r="HSZ55" s="15"/>
      <c r="HTA55" s="15"/>
      <c r="HTB55" s="15"/>
      <c r="HTC55" s="15"/>
      <c r="HTD55" s="15"/>
      <c r="HTE55" s="15"/>
      <c r="HTF55" s="15"/>
      <c r="HTG55" s="15"/>
      <c r="HTH55" s="15"/>
      <c r="HTI55" s="15"/>
      <c r="HTJ55" s="15"/>
      <c r="HTK55" s="15"/>
      <c r="HTL55" s="15"/>
      <c r="HTM55" s="15"/>
      <c r="HTN55" s="15"/>
      <c r="HTO55" s="15"/>
      <c r="HTP55" s="15"/>
      <c r="HTQ55" s="15"/>
      <c r="HTR55" s="15"/>
      <c r="HTS55" s="15"/>
      <c r="HTT55" s="15"/>
      <c r="HTU55" s="15"/>
      <c r="HTV55" s="15"/>
      <c r="HTW55" s="15"/>
      <c r="HTX55" s="15"/>
      <c r="HTY55" s="15"/>
      <c r="HTZ55" s="15"/>
      <c r="HUA55" s="15"/>
      <c r="HUB55" s="15"/>
      <c r="HUC55" s="15"/>
      <c r="HUD55" s="15"/>
      <c r="HUE55" s="15"/>
      <c r="HUF55" s="15"/>
      <c r="HUG55" s="15"/>
      <c r="HUH55" s="15"/>
      <c r="HUI55" s="15"/>
      <c r="HUJ55" s="15"/>
      <c r="HUK55" s="15"/>
      <c r="HUL55" s="15"/>
      <c r="HUM55" s="15"/>
      <c r="HUN55" s="15"/>
      <c r="HUO55" s="15"/>
      <c r="HUP55" s="15"/>
      <c r="HUQ55" s="15"/>
      <c r="HUR55" s="15"/>
      <c r="HUS55" s="15"/>
      <c r="HUT55" s="15"/>
      <c r="HUU55" s="15"/>
      <c r="HUV55" s="15"/>
      <c r="HUW55" s="15"/>
      <c r="HUX55" s="15"/>
      <c r="HUY55" s="15"/>
      <c r="HUZ55" s="15"/>
      <c r="HVA55" s="15"/>
      <c r="HVB55" s="15"/>
      <c r="HVC55" s="15"/>
      <c r="HVD55" s="15"/>
      <c r="HVE55" s="15"/>
      <c r="HVF55" s="15"/>
      <c r="HVG55" s="15"/>
      <c r="HVH55" s="15"/>
      <c r="HVI55" s="15"/>
      <c r="HVJ55" s="15"/>
      <c r="HVK55" s="15"/>
      <c r="HVL55" s="15"/>
      <c r="HVM55" s="15"/>
      <c r="HVN55" s="15"/>
      <c r="HVO55" s="15"/>
      <c r="HVP55" s="15"/>
      <c r="HVQ55" s="15"/>
      <c r="HVR55" s="15"/>
      <c r="HVS55" s="15"/>
      <c r="HVT55" s="15"/>
      <c r="HVU55" s="15"/>
      <c r="HVV55" s="15"/>
      <c r="HVW55" s="15"/>
      <c r="HVX55" s="15"/>
      <c r="HVY55" s="15"/>
      <c r="HVZ55" s="15"/>
      <c r="HWA55" s="15"/>
      <c r="HWB55" s="15"/>
      <c r="HWC55" s="15"/>
      <c r="HWD55" s="15"/>
      <c r="HWE55" s="15"/>
      <c r="HWF55" s="15"/>
      <c r="HWG55" s="15"/>
      <c r="HWH55" s="15"/>
      <c r="HWI55" s="15"/>
      <c r="HWJ55" s="15"/>
      <c r="HWK55" s="15"/>
      <c r="HWL55" s="15"/>
      <c r="HWM55" s="15"/>
      <c r="HWN55" s="15"/>
      <c r="HWO55" s="15"/>
      <c r="HWP55" s="15"/>
      <c r="HWQ55" s="15"/>
      <c r="HWR55" s="15"/>
      <c r="HWS55" s="15"/>
      <c r="HWT55" s="15"/>
      <c r="HWU55" s="15"/>
      <c r="HWV55" s="15"/>
      <c r="HWW55" s="15"/>
      <c r="HWX55" s="15"/>
      <c r="HWY55" s="15"/>
      <c r="HWZ55" s="15"/>
      <c r="HXA55" s="15"/>
      <c r="HXB55" s="15"/>
      <c r="HXC55" s="15"/>
      <c r="HXD55" s="15"/>
      <c r="HXE55" s="15"/>
      <c r="HXF55" s="15"/>
      <c r="HXG55" s="15"/>
      <c r="HXH55" s="15"/>
      <c r="HXI55" s="15"/>
      <c r="HXJ55" s="15"/>
      <c r="HXK55" s="15"/>
      <c r="HXL55" s="15"/>
      <c r="HXM55" s="15"/>
      <c r="HXN55" s="15"/>
      <c r="HXO55" s="15"/>
      <c r="HXP55" s="15"/>
      <c r="HXQ55" s="15"/>
      <c r="HXR55" s="15"/>
      <c r="HXS55" s="15"/>
      <c r="HXT55" s="15"/>
      <c r="HXU55" s="15"/>
      <c r="HXV55" s="15"/>
      <c r="HXW55" s="15"/>
      <c r="HXX55" s="15"/>
      <c r="HXY55" s="15"/>
      <c r="HXZ55" s="15"/>
      <c r="HYA55" s="15"/>
      <c r="HYB55" s="15"/>
      <c r="HYC55" s="15"/>
      <c r="HYD55" s="15"/>
      <c r="HYE55" s="15"/>
      <c r="HYF55" s="15"/>
      <c r="HYG55" s="15"/>
      <c r="HYH55" s="15"/>
      <c r="HYI55" s="15"/>
      <c r="HYJ55" s="15"/>
      <c r="HYK55" s="15"/>
      <c r="HYL55" s="15"/>
      <c r="HYM55" s="15"/>
      <c r="HYN55" s="15"/>
      <c r="HYO55" s="15"/>
      <c r="HYP55" s="15"/>
      <c r="HYQ55" s="15"/>
      <c r="HYR55" s="15"/>
      <c r="HYS55" s="15"/>
      <c r="HYT55" s="15"/>
      <c r="HYU55" s="15"/>
      <c r="HYV55" s="15"/>
      <c r="HYW55" s="15"/>
      <c r="HYX55" s="15"/>
      <c r="HYY55" s="15"/>
      <c r="HYZ55" s="15"/>
      <c r="HZA55" s="15"/>
      <c r="HZB55" s="15"/>
      <c r="HZC55" s="15"/>
      <c r="HZD55" s="15"/>
      <c r="HZE55" s="15"/>
      <c r="HZF55" s="15"/>
      <c r="HZG55" s="15"/>
      <c r="HZH55" s="15"/>
      <c r="HZI55" s="15"/>
      <c r="HZJ55" s="15"/>
      <c r="HZK55" s="15"/>
      <c r="HZL55" s="15"/>
      <c r="HZM55" s="15"/>
      <c r="HZN55" s="15"/>
      <c r="HZO55" s="15"/>
      <c r="HZP55" s="15"/>
      <c r="HZQ55" s="15"/>
      <c r="HZR55" s="15"/>
      <c r="HZS55" s="15"/>
      <c r="HZT55" s="15"/>
      <c r="HZU55" s="15"/>
      <c r="HZV55" s="15"/>
      <c r="HZW55" s="15"/>
      <c r="HZX55" s="15"/>
      <c r="HZY55" s="15"/>
      <c r="HZZ55" s="15"/>
      <c r="IAA55" s="15"/>
      <c r="IAB55" s="15"/>
      <c r="IAC55" s="15"/>
      <c r="IAD55" s="15"/>
      <c r="IAE55" s="15"/>
      <c r="IAF55" s="15"/>
      <c r="IAG55" s="15"/>
      <c r="IAH55" s="15"/>
      <c r="IAI55" s="15"/>
      <c r="IAJ55" s="15"/>
      <c r="IAK55" s="15"/>
      <c r="IAL55" s="15"/>
      <c r="IAM55" s="15"/>
      <c r="IAN55" s="15"/>
      <c r="IAO55" s="15"/>
      <c r="IAP55" s="15"/>
      <c r="IAQ55" s="15"/>
      <c r="IAR55" s="15"/>
      <c r="IAS55" s="15"/>
      <c r="IAT55" s="15"/>
      <c r="IAU55" s="15"/>
      <c r="IAV55" s="15"/>
      <c r="IAW55" s="15"/>
      <c r="IAX55" s="15"/>
      <c r="IAY55" s="15"/>
      <c r="IAZ55" s="15"/>
      <c r="IBA55" s="15"/>
      <c r="IBB55" s="15"/>
      <c r="IBC55" s="15"/>
      <c r="IBD55" s="15"/>
      <c r="IBE55" s="15"/>
      <c r="IBF55" s="15"/>
      <c r="IBG55" s="15"/>
      <c r="IBH55" s="15"/>
      <c r="IBI55" s="15"/>
      <c r="IBJ55" s="15"/>
      <c r="IBK55" s="15"/>
      <c r="IBL55" s="15"/>
      <c r="IBM55" s="15"/>
      <c r="IBN55" s="15"/>
      <c r="IBO55" s="15"/>
      <c r="IBP55" s="15"/>
      <c r="IBQ55" s="15"/>
      <c r="IBR55" s="15"/>
      <c r="IBS55" s="15"/>
      <c r="IBT55" s="15"/>
      <c r="IBU55" s="15"/>
      <c r="IBV55" s="15"/>
      <c r="IBW55" s="15"/>
      <c r="IBX55" s="15"/>
      <c r="IBY55" s="15"/>
      <c r="IBZ55" s="15"/>
      <c r="ICA55" s="15"/>
      <c r="ICB55" s="15"/>
      <c r="ICC55" s="15"/>
      <c r="ICD55" s="15"/>
      <c r="ICE55" s="15"/>
      <c r="ICF55" s="15"/>
      <c r="ICG55" s="15"/>
      <c r="ICH55" s="15"/>
      <c r="ICI55" s="15"/>
      <c r="ICJ55" s="15"/>
      <c r="ICK55" s="15"/>
      <c r="ICL55" s="15"/>
      <c r="ICM55" s="15"/>
      <c r="ICN55" s="15"/>
      <c r="ICO55" s="15"/>
      <c r="ICP55" s="15"/>
      <c r="ICQ55" s="15"/>
      <c r="ICR55" s="15"/>
      <c r="ICS55" s="15"/>
      <c r="ICT55" s="15"/>
      <c r="ICU55" s="15"/>
      <c r="ICV55" s="15"/>
      <c r="ICW55" s="15"/>
      <c r="ICX55" s="15"/>
      <c r="ICY55" s="15"/>
      <c r="ICZ55" s="15"/>
      <c r="IDA55" s="15"/>
      <c r="IDB55" s="15"/>
      <c r="IDC55" s="15"/>
      <c r="IDD55" s="15"/>
      <c r="IDE55" s="15"/>
      <c r="IDF55" s="15"/>
      <c r="IDG55" s="15"/>
      <c r="IDH55" s="15"/>
      <c r="IDI55" s="15"/>
      <c r="IDJ55" s="15"/>
      <c r="IDK55" s="15"/>
      <c r="IDL55" s="15"/>
      <c r="IDM55" s="15"/>
      <c r="IDN55" s="15"/>
      <c r="IDO55" s="15"/>
      <c r="IDP55" s="15"/>
      <c r="IDQ55" s="15"/>
      <c r="IDR55" s="15"/>
      <c r="IDS55" s="15"/>
      <c r="IDT55" s="15"/>
      <c r="IDU55" s="15"/>
      <c r="IDV55" s="15"/>
      <c r="IDW55" s="15"/>
      <c r="IDX55" s="15"/>
      <c r="IDY55" s="15"/>
      <c r="IDZ55" s="15"/>
      <c r="IEA55" s="15"/>
      <c r="IEB55" s="15"/>
      <c r="IEC55" s="15"/>
      <c r="IED55" s="15"/>
      <c r="IEE55" s="15"/>
      <c r="IEF55" s="15"/>
      <c r="IEG55" s="15"/>
      <c r="IEH55" s="15"/>
      <c r="IEI55" s="15"/>
      <c r="IEJ55" s="15"/>
      <c r="IEK55" s="15"/>
      <c r="IEL55" s="15"/>
      <c r="IEM55" s="15"/>
      <c r="IEN55" s="15"/>
      <c r="IEO55" s="15"/>
      <c r="IEP55" s="15"/>
      <c r="IEQ55" s="15"/>
      <c r="IER55" s="15"/>
      <c r="IES55" s="15"/>
      <c r="IET55" s="15"/>
      <c r="IEU55" s="15"/>
      <c r="IEV55" s="15"/>
      <c r="IEW55" s="15"/>
      <c r="IEX55" s="15"/>
      <c r="IEY55" s="15"/>
      <c r="IEZ55" s="15"/>
      <c r="IFA55" s="15"/>
      <c r="IFB55" s="15"/>
      <c r="IFC55" s="15"/>
      <c r="IFD55" s="15"/>
      <c r="IFE55" s="15"/>
      <c r="IFF55" s="15"/>
      <c r="IFG55" s="15"/>
      <c r="IFH55" s="15"/>
      <c r="IFI55" s="15"/>
      <c r="IFJ55" s="15"/>
      <c r="IFK55" s="15"/>
      <c r="IFL55" s="15"/>
      <c r="IFM55" s="15"/>
      <c r="IFN55" s="15"/>
      <c r="IFO55" s="15"/>
      <c r="IFP55" s="15"/>
      <c r="IFQ55" s="15"/>
      <c r="IFR55" s="15"/>
      <c r="IFS55" s="15"/>
      <c r="IFT55" s="15"/>
      <c r="IFU55" s="15"/>
      <c r="IFV55" s="15"/>
      <c r="IFW55" s="15"/>
      <c r="IFX55" s="15"/>
      <c r="IFY55" s="15"/>
      <c r="IFZ55" s="15"/>
      <c r="IGA55" s="15"/>
      <c r="IGB55" s="15"/>
      <c r="IGC55" s="15"/>
      <c r="IGD55" s="15"/>
      <c r="IGE55" s="15"/>
      <c r="IGF55" s="15"/>
      <c r="IGG55" s="15"/>
      <c r="IGH55" s="15"/>
      <c r="IGI55" s="15"/>
      <c r="IGJ55" s="15"/>
      <c r="IGK55" s="15"/>
      <c r="IGL55" s="15"/>
      <c r="IGM55" s="15"/>
      <c r="IGN55" s="15"/>
      <c r="IGO55" s="15"/>
      <c r="IGP55" s="15"/>
      <c r="IGQ55" s="15"/>
      <c r="IGR55" s="15"/>
      <c r="IGS55" s="15"/>
      <c r="IGT55" s="15"/>
      <c r="IGU55" s="15"/>
      <c r="IGV55" s="15"/>
      <c r="IGW55" s="15"/>
      <c r="IGX55" s="15"/>
      <c r="IGY55" s="15"/>
      <c r="IGZ55" s="15"/>
      <c r="IHA55" s="15"/>
      <c r="IHB55" s="15"/>
      <c r="IHC55" s="15"/>
      <c r="IHD55" s="15"/>
      <c r="IHE55" s="15"/>
      <c r="IHF55" s="15"/>
      <c r="IHG55" s="15"/>
      <c r="IHH55" s="15"/>
      <c r="IHI55" s="15"/>
      <c r="IHJ55" s="15"/>
      <c r="IHK55" s="15"/>
      <c r="IHL55" s="15"/>
      <c r="IHM55" s="15"/>
      <c r="IHN55" s="15"/>
      <c r="IHO55" s="15"/>
      <c r="IHP55" s="15"/>
      <c r="IHQ55" s="15"/>
      <c r="IHR55" s="15"/>
      <c r="IHS55" s="15"/>
      <c r="IHT55" s="15"/>
      <c r="IHU55" s="15"/>
      <c r="IHV55" s="15"/>
      <c r="IHW55" s="15"/>
      <c r="IHX55" s="15"/>
      <c r="IHY55" s="15"/>
      <c r="IHZ55" s="15"/>
      <c r="IIA55" s="15"/>
      <c r="IIB55" s="15"/>
      <c r="IIC55" s="15"/>
      <c r="IID55" s="15"/>
      <c r="IIE55" s="15"/>
      <c r="IIF55" s="15"/>
      <c r="IIG55" s="15"/>
      <c r="IIH55" s="15"/>
      <c r="III55" s="15"/>
      <c r="IIJ55" s="15"/>
      <c r="IIK55" s="15"/>
      <c r="IIL55" s="15"/>
      <c r="IIM55" s="15"/>
      <c r="IIN55" s="15"/>
      <c r="IIO55" s="15"/>
      <c r="IIP55" s="15"/>
      <c r="IIQ55" s="15"/>
      <c r="IIR55" s="15"/>
      <c r="IIS55" s="15"/>
      <c r="IIT55" s="15"/>
      <c r="IIU55" s="15"/>
      <c r="IIV55" s="15"/>
      <c r="IIW55" s="15"/>
      <c r="IIX55" s="15"/>
      <c r="IIY55" s="15"/>
      <c r="IIZ55" s="15"/>
      <c r="IJA55" s="15"/>
      <c r="IJB55" s="15"/>
      <c r="IJC55" s="15"/>
      <c r="IJD55" s="15"/>
      <c r="IJE55" s="15"/>
      <c r="IJF55" s="15"/>
      <c r="IJG55" s="15"/>
      <c r="IJH55" s="15"/>
      <c r="IJI55" s="15"/>
      <c r="IJJ55" s="15"/>
      <c r="IJK55" s="15"/>
      <c r="IJL55" s="15"/>
      <c r="IJM55" s="15"/>
      <c r="IJN55" s="15"/>
      <c r="IJO55" s="15"/>
      <c r="IJP55" s="15"/>
      <c r="IJQ55" s="15"/>
      <c r="IJR55" s="15"/>
      <c r="IJS55" s="15"/>
      <c r="IJT55" s="15"/>
      <c r="IJU55" s="15"/>
      <c r="IJV55" s="15"/>
      <c r="IJW55" s="15"/>
      <c r="IJX55" s="15"/>
      <c r="IJY55" s="15"/>
      <c r="IJZ55" s="15"/>
      <c r="IKA55" s="15"/>
      <c r="IKB55" s="15"/>
      <c r="IKC55" s="15"/>
      <c r="IKD55" s="15"/>
      <c r="IKE55" s="15"/>
      <c r="IKF55" s="15"/>
      <c r="IKG55" s="15"/>
      <c r="IKH55" s="15"/>
      <c r="IKI55" s="15"/>
      <c r="IKJ55" s="15"/>
      <c r="IKK55" s="15"/>
      <c r="IKL55" s="15"/>
      <c r="IKM55" s="15"/>
      <c r="IKN55" s="15"/>
      <c r="IKO55" s="15"/>
      <c r="IKP55" s="15"/>
      <c r="IKQ55" s="15"/>
      <c r="IKR55" s="15"/>
      <c r="IKS55" s="15"/>
      <c r="IKT55" s="15"/>
      <c r="IKU55" s="15"/>
      <c r="IKV55" s="15"/>
      <c r="IKW55" s="15"/>
      <c r="IKX55" s="15"/>
      <c r="IKY55" s="15"/>
      <c r="IKZ55" s="15"/>
      <c r="ILA55" s="15"/>
      <c r="ILB55" s="15"/>
      <c r="ILC55" s="15"/>
      <c r="ILD55" s="15"/>
      <c r="ILE55" s="15"/>
      <c r="ILF55" s="15"/>
      <c r="ILG55" s="15"/>
      <c r="ILH55" s="15"/>
      <c r="ILI55" s="15"/>
      <c r="ILJ55" s="15"/>
      <c r="ILK55" s="15"/>
      <c r="ILL55" s="15"/>
      <c r="ILM55" s="15"/>
      <c r="ILN55" s="15"/>
      <c r="ILO55" s="15"/>
      <c r="ILP55" s="15"/>
      <c r="ILQ55" s="15"/>
      <c r="ILR55" s="15"/>
      <c r="ILS55" s="15"/>
      <c r="ILT55" s="15"/>
      <c r="ILU55" s="15"/>
      <c r="ILV55" s="15"/>
      <c r="ILW55" s="15"/>
      <c r="ILX55" s="15"/>
      <c r="ILY55" s="15"/>
      <c r="ILZ55" s="15"/>
      <c r="IMA55" s="15"/>
      <c r="IMB55" s="15"/>
      <c r="IMC55" s="15"/>
      <c r="IMD55" s="15"/>
      <c r="IME55" s="15"/>
      <c r="IMF55" s="15"/>
      <c r="IMG55" s="15"/>
      <c r="IMH55" s="15"/>
      <c r="IMI55" s="15"/>
      <c r="IMJ55" s="15"/>
      <c r="IMK55" s="15"/>
      <c r="IML55" s="15"/>
      <c r="IMM55" s="15"/>
      <c r="IMN55" s="15"/>
      <c r="IMO55" s="15"/>
      <c r="IMP55" s="15"/>
      <c r="IMQ55" s="15"/>
      <c r="IMR55" s="15"/>
      <c r="IMS55" s="15"/>
      <c r="IMT55" s="15"/>
      <c r="IMU55" s="15"/>
      <c r="IMV55" s="15"/>
      <c r="IMW55" s="15"/>
      <c r="IMX55" s="15"/>
      <c r="IMY55" s="15"/>
      <c r="IMZ55" s="15"/>
      <c r="INA55" s="15"/>
      <c r="INB55" s="15"/>
      <c r="INC55" s="15"/>
      <c r="IND55" s="15"/>
      <c r="INE55" s="15"/>
      <c r="INF55" s="15"/>
      <c r="ING55" s="15"/>
      <c r="INH55" s="15"/>
      <c r="INI55" s="15"/>
      <c r="INJ55" s="15"/>
      <c r="INK55" s="15"/>
      <c r="INL55" s="15"/>
      <c r="INM55" s="15"/>
      <c r="INN55" s="15"/>
      <c r="INO55" s="15"/>
      <c r="INP55" s="15"/>
      <c r="INQ55" s="15"/>
      <c r="INR55" s="15"/>
      <c r="INS55" s="15"/>
      <c r="INT55" s="15"/>
      <c r="INU55" s="15"/>
      <c r="INV55" s="15"/>
      <c r="INW55" s="15"/>
      <c r="INX55" s="15"/>
      <c r="INY55" s="15"/>
      <c r="INZ55" s="15"/>
      <c r="IOA55" s="15"/>
      <c r="IOB55" s="15"/>
      <c r="IOC55" s="15"/>
      <c r="IOD55" s="15"/>
      <c r="IOE55" s="15"/>
      <c r="IOF55" s="15"/>
      <c r="IOG55" s="15"/>
      <c r="IOH55" s="15"/>
      <c r="IOI55" s="15"/>
      <c r="IOJ55" s="15"/>
      <c r="IOK55" s="15"/>
      <c r="IOL55" s="15"/>
      <c r="IOM55" s="15"/>
      <c r="ION55" s="15"/>
      <c r="IOO55" s="15"/>
      <c r="IOP55" s="15"/>
      <c r="IOQ55" s="15"/>
      <c r="IOR55" s="15"/>
      <c r="IOS55" s="15"/>
      <c r="IOT55" s="15"/>
      <c r="IOU55" s="15"/>
      <c r="IOV55" s="15"/>
      <c r="IOW55" s="15"/>
      <c r="IOX55" s="15"/>
      <c r="IOY55" s="15"/>
      <c r="IOZ55" s="15"/>
      <c r="IPA55" s="15"/>
      <c r="IPB55" s="15"/>
      <c r="IPC55" s="15"/>
      <c r="IPD55" s="15"/>
      <c r="IPE55" s="15"/>
      <c r="IPF55" s="15"/>
      <c r="IPG55" s="15"/>
      <c r="IPH55" s="15"/>
      <c r="IPI55" s="15"/>
      <c r="IPJ55" s="15"/>
      <c r="IPK55" s="15"/>
      <c r="IPL55" s="15"/>
      <c r="IPM55" s="15"/>
      <c r="IPN55" s="15"/>
      <c r="IPO55" s="15"/>
      <c r="IPP55" s="15"/>
      <c r="IPQ55" s="15"/>
      <c r="IPR55" s="15"/>
      <c r="IPS55" s="15"/>
      <c r="IPT55" s="15"/>
      <c r="IPU55" s="15"/>
      <c r="IPV55" s="15"/>
      <c r="IPW55" s="15"/>
      <c r="IPX55" s="15"/>
      <c r="IPY55" s="15"/>
      <c r="IPZ55" s="15"/>
      <c r="IQA55" s="15"/>
      <c r="IQB55" s="15"/>
      <c r="IQC55" s="15"/>
      <c r="IQD55" s="15"/>
      <c r="IQE55" s="15"/>
      <c r="IQF55" s="15"/>
      <c r="IQG55" s="15"/>
      <c r="IQH55" s="15"/>
      <c r="IQI55" s="15"/>
      <c r="IQJ55" s="15"/>
      <c r="IQK55" s="15"/>
      <c r="IQL55" s="15"/>
      <c r="IQM55" s="15"/>
      <c r="IQN55" s="15"/>
      <c r="IQO55" s="15"/>
      <c r="IQP55" s="15"/>
      <c r="IQQ55" s="15"/>
      <c r="IQR55" s="15"/>
      <c r="IQS55" s="15"/>
      <c r="IQT55" s="15"/>
      <c r="IQU55" s="15"/>
      <c r="IQV55" s="15"/>
      <c r="IQW55" s="15"/>
      <c r="IQX55" s="15"/>
      <c r="IQY55" s="15"/>
      <c r="IQZ55" s="15"/>
      <c r="IRA55" s="15"/>
      <c r="IRB55" s="15"/>
      <c r="IRC55" s="15"/>
      <c r="IRD55" s="15"/>
      <c r="IRE55" s="15"/>
      <c r="IRF55" s="15"/>
      <c r="IRG55" s="15"/>
      <c r="IRH55" s="15"/>
      <c r="IRI55" s="15"/>
      <c r="IRJ55" s="15"/>
      <c r="IRK55" s="15"/>
      <c r="IRL55" s="15"/>
      <c r="IRM55" s="15"/>
      <c r="IRN55" s="15"/>
      <c r="IRO55" s="15"/>
      <c r="IRP55" s="15"/>
      <c r="IRQ55" s="15"/>
      <c r="IRR55" s="15"/>
      <c r="IRS55" s="15"/>
      <c r="IRT55" s="15"/>
      <c r="IRU55" s="15"/>
      <c r="IRV55" s="15"/>
      <c r="IRW55" s="15"/>
      <c r="IRX55" s="15"/>
      <c r="IRY55" s="15"/>
      <c r="IRZ55" s="15"/>
      <c r="ISA55" s="15"/>
      <c r="ISB55" s="15"/>
      <c r="ISC55" s="15"/>
      <c r="ISD55" s="15"/>
      <c r="ISE55" s="15"/>
      <c r="ISF55" s="15"/>
      <c r="ISG55" s="15"/>
      <c r="ISH55" s="15"/>
      <c r="ISI55" s="15"/>
      <c r="ISJ55" s="15"/>
      <c r="ISK55" s="15"/>
      <c r="ISL55" s="15"/>
      <c r="ISM55" s="15"/>
      <c r="ISN55" s="15"/>
      <c r="ISO55" s="15"/>
      <c r="ISP55" s="15"/>
      <c r="ISQ55" s="15"/>
      <c r="ISR55" s="15"/>
      <c r="ISS55" s="15"/>
      <c r="IST55" s="15"/>
      <c r="ISU55" s="15"/>
      <c r="ISV55" s="15"/>
      <c r="ISW55" s="15"/>
      <c r="ISX55" s="15"/>
      <c r="ISY55" s="15"/>
      <c r="ISZ55" s="15"/>
      <c r="ITA55" s="15"/>
      <c r="ITB55" s="15"/>
      <c r="ITC55" s="15"/>
      <c r="ITD55" s="15"/>
      <c r="ITE55" s="15"/>
      <c r="ITF55" s="15"/>
      <c r="ITG55" s="15"/>
      <c r="ITH55" s="15"/>
      <c r="ITI55" s="15"/>
      <c r="ITJ55" s="15"/>
      <c r="ITK55" s="15"/>
      <c r="ITL55" s="15"/>
      <c r="ITM55" s="15"/>
      <c r="ITN55" s="15"/>
      <c r="ITO55" s="15"/>
      <c r="ITP55" s="15"/>
      <c r="ITQ55" s="15"/>
      <c r="ITR55" s="15"/>
      <c r="ITS55" s="15"/>
      <c r="ITT55" s="15"/>
      <c r="ITU55" s="15"/>
      <c r="ITV55" s="15"/>
      <c r="ITW55" s="15"/>
      <c r="ITX55" s="15"/>
      <c r="ITY55" s="15"/>
      <c r="ITZ55" s="15"/>
      <c r="IUA55" s="15"/>
      <c r="IUB55" s="15"/>
      <c r="IUC55" s="15"/>
      <c r="IUD55" s="15"/>
      <c r="IUE55" s="15"/>
      <c r="IUF55" s="15"/>
      <c r="IUG55" s="15"/>
      <c r="IUH55" s="15"/>
      <c r="IUI55" s="15"/>
      <c r="IUJ55" s="15"/>
      <c r="IUK55" s="15"/>
      <c r="IUL55" s="15"/>
      <c r="IUM55" s="15"/>
      <c r="IUN55" s="15"/>
      <c r="IUO55" s="15"/>
      <c r="IUP55" s="15"/>
      <c r="IUQ55" s="15"/>
      <c r="IUR55" s="15"/>
      <c r="IUS55" s="15"/>
      <c r="IUT55" s="15"/>
      <c r="IUU55" s="15"/>
      <c r="IUV55" s="15"/>
      <c r="IUW55" s="15"/>
      <c r="IUX55" s="15"/>
      <c r="IUY55" s="15"/>
      <c r="IUZ55" s="15"/>
      <c r="IVA55" s="15"/>
      <c r="IVB55" s="15"/>
      <c r="IVC55" s="15"/>
      <c r="IVD55" s="15"/>
      <c r="IVE55" s="15"/>
      <c r="IVF55" s="15"/>
      <c r="IVG55" s="15"/>
      <c r="IVH55" s="15"/>
      <c r="IVI55" s="15"/>
      <c r="IVJ55" s="15"/>
      <c r="IVK55" s="15"/>
      <c r="IVL55" s="15"/>
      <c r="IVM55" s="15"/>
      <c r="IVN55" s="15"/>
      <c r="IVO55" s="15"/>
      <c r="IVP55" s="15"/>
      <c r="IVQ55" s="15"/>
      <c r="IVR55" s="15"/>
      <c r="IVS55" s="15"/>
      <c r="IVT55" s="15"/>
      <c r="IVU55" s="15"/>
      <c r="IVV55" s="15"/>
      <c r="IVW55" s="15"/>
      <c r="IVX55" s="15"/>
      <c r="IVY55" s="15"/>
      <c r="IVZ55" s="15"/>
      <c r="IWA55" s="15"/>
      <c r="IWB55" s="15"/>
      <c r="IWC55" s="15"/>
      <c r="IWD55" s="15"/>
      <c r="IWE55" s="15"/>
      <c r="IWF55" s="15"/>
      <c r="IWG55" s="15"/>
      <c r="IWH55" s="15"/>
      <c r="IWI55" s="15"/>
      <c r="IWJ55" s="15"/>
      <c r="IWK55" s="15"/>
      <c r="IWL55" s="15"/>
      <c r="IWM55" s="15"/>
      <c r="IWN55" s="15"/>
      <c r="IWO55" s="15"/>
      <c r="IWP55" s="15"/>
      <c r="IWQ55" s="15"/>
      <c r="IWR55" s="15"/>
      <c r="IWS55" s="15"/>
      <c r="IWT55" s="15"/>
      <c r="IWU55" s="15"/>
      <c r="IWV55" s="15"/>
      <c r="IWW55" s="15"/>
      <c r="IWX55" s="15"/>
      <c r="IWY55" s="15"/>
      <c r="IWZ55" s="15"/>
      <c r="IXA55" s="15"/>
      <c r="IXB55" s="15"/>
      <c r="IXC55" s="15"/>
      <c r="IXD55" s="15"/>
      <c r="IXE55" s="15"/>
      <c r="IXF55" s="15"/>
      <c r="IXG55" s="15"/>
      <c r="IXH55" s="15"/>
      <c r="IXI55" s="15"/>
      <c r="IXJ55" s="15"/>
      <c r="IXK55" s="15"/>
      <c r="IXL55" s="15"/>
      <c r="IXM55" s="15"/>
      <c r="IXN55" s="15"/>
      <c r="IXO55" s="15"/>
      <c r="IXP55" s="15"/>
      <c r="IXQ55" s="15"/>
      <c r="IXR55" s="15"/>
      <c r="IXS55" s="15"/>
      <c r="IXT55" s="15"/>
      <c r="IXU55" s="15"/>
      <c r="IXV55" s="15"/>
      <c r="IXW55" s="15"/>
      <c r="IXX55" s="15"/>
      <c r="IXY55" s="15"/>
      <c r="IXZ55" s="15"/>
      <c r="IYA55" s="15"/>
      <c r="IYB55" s="15"/>
      <c r="IYC55" s="15"/>
      <c r="IYD55" s="15"/>
      <c r="IYE55" s="15"/>
      <c r="IYF55" s="15"/>
      <c r="IYG55" s="15"/>
      <c r="IYH55" s="15"/>
      <c r="IYI55" s="15"/>
      <c r="IYJ55" s="15"/>
      <c r="IYK55" s="15"/>
      <c r="IYL55" s="15"/>
      <c r="IYM55" s="15"/>
      <c r="IYN55" s="15"/>
      <c r="IYO55" s="15"/>
      <c r="IYP55" s="15"/>
      <c r="IYQ55" s="15"/>
      <c r="IYR55" s="15"/>
      <c r="IYS55" s="15"/>
      <c r="IYT55" s="15"/>
      <c r="IYU55" s="15"/>
      <c r="IYV55" s="15"/>
      <c r="IYW55" s="15"/>
      <c r="IYX55" s="15"/>
      <c r="IYY55" s="15"/>
      <c r="IYZ55" s="15"/>
      <c r="IZA55" s="15"/>
      <c r="IZB55" s="15"/>
      <c r="IZC55" s="15"/>
      <c r="IZD55" s="15"/>
      <c r="IZE55" s="15"/>
      <c r="IZF55" s="15"/>
      <c r="IZG55" s="15"/>
      <c r="IZH55" s="15"/>
      <c r="IZI55" s="15"/>
      <c r="IZJ55" s="15"/>
      <c r="IZK55" s="15"/>
      <c r="IZL55" s="15"/>
      <c r="IZM55" s="15"/>
      <c r="IZN55" s="15"/>
      <c r="IZO55" s="15"/>
      <c r="IZP55" s="15"/>
      <c r="IZQ55" s="15"/>
      <c r="IZR55" s="15"/>
      <c r="IZS55" s="15"/>
      <c r="IZT55" s="15"/>
      <c r="IZU55" s="15"/>
      <c r="IZV55" s="15"/>
      <c r="IZW55" s="15"/>
      <c r="IZX55" s="15"/>
      <c r="IZY55" s="15"/>
      <c r="IZZ55" s="15"/>
      <c r="JAA55" s="15"/>
      <c r="JAB55" s="15"/>
      <c r="JAC55" s="15"/>
      <c r="JAD55" s="15"/>
      <c r="JAE55" s="15"/>
      <c r="JAF55" s="15"/>
      <c r="JAG55" s="15"/>
      <c r="JAH55" s="15"/>
      <c r="JAI55" s="15"/>
      <c r="JAJ55" s="15"/>
      <c r="JAK55" s="15"/>
      <c r="JAL55" s="15"/>
      <c r="JAM55" s="15"/>
      <c r="JAN55" s="15"/>
      <c r="JAO55" s="15"/>
      <c r="JAP55" s="15"/>
      <c r="JAQ55" s="15"/>
      <c r="JAR55" s="15"/>
      <c r="JAS55" s="15"/>
      <c r="JAT55" s="15"/>
      <c r="JAU55" s="15"/>
      <c r="JAV55" s="15"/>
      <c r="JAW55" s="15"/>
      <c r="JAX55" s="15"/>
      <c r="JAY55" s="15"/>
      <c r="JAZ55" s="15"/>
      <c r="JBA55" s="15"/>
      <c r="JBB55" s="15"/>
      <c r="JBC55" s="15"/>
      <c r="JBD55" s="15"/>
      <c r="JBE55" s="15"/>
      <c r="JBF55" s="15"/>
      <c r="JBG55" s="15"/>
      <c r="JBH55" s="15"/>
      <c r="JBI55" s="15"/>
      <c r="JBJ55" s="15"/>
      <c r="JBK55" s="15"/>
      <c r="JBL55" s="15"/>
      <c r="JBM55" s="15"/>
      <c r="JBN55" s="15"/>
      <c r="JBO55" s="15"/>
      <c r="JBP55" s="15"/>
      <c r="JBQ55" s="15"/>
      <c r="JBR55" s="15"/>
      <c r="JBS55" s="15"/>
      <c r="JBT55" s="15"/>
      <c r="JBU55" s="15"/>
      <c r="JBV55" s="15"/>
      <c r="JBW55" s="15"/>
      <c r="JBX55" s="15"/>
      <c r="JBY55" s="15"/>
      <c r="JBZ55" s="15"/>
      <c r="JCA55" s="15"/>
      <c r="JCB55" s="15"/>
      <c r="JCC55" s="15"/>
      <c r="JCD55" s="15"/>
      <c r="JCE55" s="15"/>
      <c r="JCF55" s="15"/>
      <c r="JCG55" s="15"/>
      <c r="JCH55" s="15"/>
      <c r="JCI55" s="15"/>
      <c r="JCJ55" s="15"/>
      <c r="JCK55" s="15"/>
      <c r="JCL55" s="15"/>
      <c r="JCM55" s="15"/>
      <c r="JCN55" s="15"/>
      <c r="JCO55" s="15"/>
      <c r="JCP55" s="15"/>
      <c r="JCQ55" s="15"/>
      <c r="JCR55" s="15"/>
      <c r="JCS55" s="15"/>
      <c r="JCT55" s="15"/>
      <c r="JCU55" s="15"/>
      <c r="JCV55" s="15"/>
      <c r="JCW55" s="15"/>
      <c r="JCX55" s="15"/>
      <c r="JCY55" s="15"/>
      <c r="JCZ55" s="15"/>
      <c r="JDA55" s="15"/>
      <c r="JDB55" s="15"/>
      <c r="JDC55" s="15"/>
      <c r="JDD55" s="15"/>
      <c r="JDE55" s="15"/>
      <c r="JDF55" s="15"/>
      <c r="JDG55" s="15"/>
      <c r="JDH55" s="15"/>
      <c r="JDI55" s="15"/>
      <c r="JDJ55" s="15"/>
      <c r="JDK55" s="15"/>
      <c r="JDL55" s="15"/>
      <c r="JDM55" s="15"/>
      <c r="JDN55" s="15"/>
      <c r="JDO55" s="15"/>
      <c r="JDP55" s="15"/>
      <c r="JDQ55" s="15"/>
      <c r="JDR55" s="15"/>
      <c r="JDS55" s="15"/>
      <c r="JDT55" s="15"/>
      <c r="JDU55" s="15"/>
      <c r="JDV55" s="15"/>
      <c r="JDW55" s="15"/>
      <c r="JDX55" s="15"/>
      <c r="JDY55" s="15"/>
      <c r="JDZ55" s="15"/>
      <c r="JEA55" s="15"/>
      <c r="JEB55" s="15"/>
      <c r="JEC55" s="15"/>
      <c r="JED55" s="15"/>
      <c r="JEE55" s="15"/>
      <c r="JEF55" s="15"/>
      <c r="JEG55" s="15"/>
      <c r="JEH55" s="15"/>
      <c r="JEI55" s="15"/>
      <c r="JEJ55" s="15"/>
      <c r="JEK55" s="15"/>
      <c r="JEL55" s="15"/>
      <c r="JEM55" s="15"/>
      <c r="JEN55" s="15"/>
      <c r="JEO55" s="15"/>
      <c r="JEP55" s="15"/>
      <c r="JEQ55" s="15"/>
      <c r="JER55" s="15"/>
      <c r="JES55" s="15"/>
      <c r="JET55" s="15"/>
      <c r="JEU55" s="15"/>
      <c r="JEV55" s="15"/>
      <c r="JEW55" s="15"/>
      <c r="JEX55" s="15"/>
      <c r="JEY55" s="15"/>
      <c r="JEZ55" s="15"/>
      <c r="JFA55" s="15"/>
      <c r="JFB55" s="15"/>
      <c r="JFC55" s="15"/>
      <c r="JFD55" s="15"/>
      <c r="JFE55" s="15"/>
      <c r="JFF55" s="15"/>
      <c r="JFG55" s="15"/>
      <c r="JFH55" s="15"/>
      <c r="JFI55" s="15"/>
      <c r="JFJ55" s="15"/>
      <c r="JFK55" s="15"/>
      <c r="JFL55" s="15"/>
      <c r="JFM55" s="15"/>
      <c r="JFN55" s="15"/>
      <c r="JFO55" s="15"/>
      <c r="JFP55" s="15"/>
      <c r="JFQ55" s="15"/>
      <c r="JFR55" s="15"/>
      <c r="JFS55" s="15"/>
      <c r="JFT55" s="15"/>
      <c r="JFU55" s="15"/>
      <c r="JFV55" s="15"/>
      <c r="JFW55" s="15"/>
      <c r="JFX55" s="15"/>
      <c r="JFY55" s="15"/>
      <c r="JFZ55" s="15"/>
      <c r="JGA55" s="15"/>
      <c r="JGB55" s="15"/>
      <c r="JGC55" s="15"/>
      <c r="JGD55" s="15"/>
      <c r="JGE55" s="15"/>
      <c r="JGF55" s="15"/>
      <c r="JGG55" s="15"/>
      <c r="JGH55" s="15"/>
      <c r="JGI55" s="15"/>
      <c r="JGJ55" s="15"/>
      <c r="JGK55" s="15"/>
      <c r="JGL55" s="15"/>
      <c r="JGM55" s="15"/>
      <c r="JGN55" s="15"/>
      <c r="JGO55" s="15"/>
      <c r="JGP55" s="15"/>
      <c r="JGQ55" s="15"/>
      <c r="JGR55" s="15"/>
      <c r="JGS55" s="15"/>
      <c r="JGT55" s="15"/>
      <c r="JGU55" s="15"/>
      <c r="JGV55" s="15"/>
      <c r="JGW55" s="15"/>
      <c r="JGX55" s="15"/>
      <c r="JGY55" s="15"/>
      <c r="JGZ55" s="15"/>
      <c r="JHA55" s="15"/>
      <c r="JHB55" s="15"/>
      <c r="JHC55" s="15"/>
      <c r="JHD55" s="15"/>
      <c r="JHE55" s="15"/>
      <c r="JHF55" s="15"/>
      <c r="JHG55" s="15"/>
      <c r="JHH55" s="15"/>
      <c r="JHI55" s="15"/>
      <c r="JHJ55" s="15"/>
      <c r="JHK55" s="15"/>
      <c r="JHL55" s="15"/>
      <c r="JHM55" s="15"/>
      <c r="JHN55" s="15"/>
      <c r="JHO55" s="15"/>
      <c r="JHP55" s="15"/>
      <c r="JHQ55" s="15"/>
      <c r="JHR55" s="15"/>
      <c r="JHS55" s="15"/>
      <c r="JHT55" s="15"/>
      <c r="JHU55" s="15"/>
      <c r="JHV55" s="15"/>
      <c r="JHW55" s="15"/>
      <c r="JHX55" s="15"/>
      <c r="JHY55" s="15"/>
      <c r="JHZ55" s="15"/>
      <c r="JIA55" s="15"/>
      <c r="JIB55" s="15"/>
      <c r="JIC55" s="15"/>
      <c r="JID55" s="15"/>
      <c r="JIE55" s="15"/>
      <c r="JIF55" s="15"/>
      <c r="JIG55" s="15"/>
      <c r="JIH55" s="15"/>
      <c r="JII55" s="15"/>
      <c r="JIJ55" s="15"/>
      <c r="JIK55" s="15"/>
      <c r="JIL55" s="15"/>
      <c r="JIM55" s="15"/>
      <c r="JIN55" s="15"/>
      <c r="JIO55" s="15"/>
      <c r="JIP55" s="15"/>
      <c r="JIQ55" s="15"/>
      <c r="JIR55" s="15"/>
      <c r="JIS55" s="15"/>
      <c r="JIT55" s="15"/>
      <c r="JIU55" s="15"/>
      <c r="JIV55" s="15"/>
      <c r="JIW55" s="15"/>
      <c r="JIX55" s="15"/>
      <c r="JIY55" s="15"/>
      <c r="JIZ55" s="15"/>
      <c r="JJA55" s="15"/>
      <c r="JJB55" s="15"/>
      <c r="JJC55" s="15"/>
      <c r="JJD55" s="15"/>
      <c r="JJE55" s="15"/>
      <c r="JJF55" s="15"/>
      <c r="JJG55" s="15"/>
      <c r="JJH55" s="15"/>
      <c r="JJI55" s="15"/>
      <c r="JJJ55" s="15"/>
      <c r="JJK55" s="15"/>
      <c r="JJL55" s="15"/>
      <c r="JJM55" s="15"/>
      <c r="JJN55" s="15"/>
      <c r="JJO55" s="15"/>
      <c r="JJP55" s="15"/>
      <c r="JJQ55" s="15"/>
      <c r="JJR55" s="15"/>
      <c r="JJS55" s="15"/>
      <c r="JJT55" s="15"/>
      <c r="JJU55" s="15"/>
      <c r="JJV55" s="15"/>
      <c r="JJW55" s="15"/>
      <c r="JJX55" s="15"/>
      <c r="JJY55" s="15"/>
      <c r="JJZ55" s="15"/>
      <c r="JKA55" s="15"/>
      <c r="JKB55" s="15"/>
      <c r="JKC55" s="15"/>
      <c r="JKD55" s="15"/>
      <c r="JKE55" s="15"/>
      <c r="JKF55" s="15"/>
      <c r="JKG55" s="15"/>
      <c r="JKH55" s="15"/>
      <c r="JKI55" s="15"/>
      <c r="JKJ55" s="15"/>
      <c r="JKK55" s="15"/>
      <c r="JKL55" s="15"/>
      <c r="JKM55" s="15"/>
      <c r="JKN55" s="15"/>
      <c r="JKO55" s="15"/>
      <c r="JKP55" s="15"/>
      <c r="JKQ55" s="15"/>
      <c r="JKR55" s="15"/>
      <c r="JKS55" s="15"/>
      <c r="JKT55" s="15"/>
      <c r="JKU55" s="15"/>
      <c r="JKV55" s="15"/>
      <c r="JKW55" s="15"/>
      <c r="JKX55" s="15"/>
      <c r="JKY55" s="15"/>
      <c r="JKZ55" s="15"/>
      <c r="JLA55" s="15"/>
      <c r="JLB55" s="15"/>
      <c r="JLC55" s="15"/>
      <c r="JLD55" s="15"/>
      <c r="JLE55" s="15"/>
      <c r="JLF55" s="15"/>
      <c r="JLG55" s="15"/>
      <c r="JLH55" s="15"/>
      <c r="JLI55" s="15"/>
      <c r="JLJ55" s="15"/>
      <c r="JLK55" s="15"/>
      <c r="JLL55" s="15"/>
      <c r="JLM55" s="15"/>
      <c r="JLN55" s="15"/>
      <c r="JLO55" s="15"/>
      <c r="JLP55" s="15"/>
      <c r="JLQ55" s="15"/>
      <c r="JLR55" s="15"/>
      <c r="JLS55" s="15"/>
      <c r="JLT55" s="15"/>
      <c r="JLU55" s="15"/>
      <c r="JLV55" s="15"/>
      <c r="JLW55" s="15"/>
      <c r="JLX55" s="15"/>
      <c r="JLY55" s="15"/>
      <c r="JLZ55" s="15"/>
      <c r="JMA55" s="15"/>
      <c r="JMB55" s="15"/>
      <c r="JMC55" s="15"/>
      <c r="JMD55" s="15"/>
      <c r="JME55" s="15"/>
      <c r="JMF55" s="15"/>
      <c r="JMG55" s="15"/>
      <c r="JMH55" s="15"/>
      <c r="JMI55" s="15"/>
      <c r="JMJ55" s="15"/>
      <c r="JMK55" s="15"/>
      <c r="JML55" s="15"/>
      <c r="JMM55" s="15"/>
      <c r="JMN55" s="15"/>
      <c r="JMO55" s="15"/>
      <c r="JMP55" s="15"/>
      <c r="JMQ55" s="15"/>
      <c r="JMR55" s="15"/>
      <c r="JMS55" s="15"/>
      <c r="JMT55" s="15"/>
      <c r="JMU55" s="15"/>
      <c r="JMV55" s="15"/>
      <c r="JMW55" s="15"/>
      <c r="JMX55" s="15"/>
      <c r="JMY55" s="15"/>
      <c r="JMZ55" s="15"/>
      <c r="JNA55" s="15"/>
      <c r="JNB55" s="15"/>
      <c r="JNC55" s="15"/>
      <c r="JND55" s="15"/>
      <c r="JNE55" s="15"/>
      <c r="JNF55" s="15"/>
      <c r="JNG55" s="15"/>
      <c r="JNH55" s="15"/>
      <c r="JNI55" s="15"/>
      <c r="JNJ55" s="15"/>
      <c r="JNK55" s="15"/>
      <c r="JNL55" s="15"/>
      <c r="JNM55" s="15"/>
      <c r="JNN55" s="15"/>
      <c r="JNO55" s="15"/>
      <c r="JNP55" s="15"/>
      <c r="JNQ55" s="15"/>
      <c r="JNR55" s="15"/>
      <c r="JNS55" s="15"/>
      <c r="JNT55" s="15"/>
      <c r="JNU55" s="15"/>
      <c r="JNV55" s="15"/>
      <c r="JNW55" s="15"/>
      <c r="JNX55" s="15"/>
      <c r="JNY55" s="15"/>
      <c r="JNZ55" s="15"/>
      <c r="JOA55" s="15"/>
      <c r="JOB55" s="15"/>
      <c r="JOC55" s="15"/>
      <c r="JOD55" s="15"/>
      <c r="JOE55" s="15"/>
      <c r="JOF55" s="15"/>
      <c r="JOG55" s="15"/>
      <c r="JOH55" s="15"/>
      <c r="JOI55" s="15"/>
      <c r="JOJ55" s="15"/>
      <c r="JOK55" s="15"/>
      <c r="JOL55" s="15"/>
      <c r="JOM55" s="15"/>
      <c r="JON55" s="15"/>
      <c r="JOO55" s="15"/>
      <c r="JOP55" s="15"/>
      <c r="JOQ55" s="15"/>
      <c r="JOR55" s="15"/>
      <c r="JOS55" s="15"/>
      <c r="JOT55" s="15"/>
      <c r="JOU55" s="15"/>
      <c r="JOV55" s="15"/>
      <c r="JOW55" s="15"/>
      <c r="JOX55" s="15"/>
      <c r="JOY55" s="15"/>
      <c r="JOZ55" s="15"/>
      <c r="JPA55" s="15"/>
      <c r="JPB55" s="15"/>
      <c r="JPC55" s="15"/>
      <c r="JPD55" s="15"/>
      <c r="JPE55" s="15"/>
      <c r="JPF55" s="15"/>
      <c r="JPG55" s="15"/>
      <c r="JPH55" s="15"/>
      <c r="JPI55" s="15"/>
      <c r="JPJ55" s="15"/>
      <c r="JPK55" s="15"/>
      <c r="JPL55" s="15"/>
      <c r="JPM55" s="15"/>
      <c r="JPN55" s="15"/>
      <c r="JPO55" s="15"/>
      <c r="JPP55" s="15"/>
      <c r="JPQ55" s="15"/>
      <c r="JPR55" s="15"/>
      <c r="JPS55" s="15"/>
      <c r="JPT55" s="15"/>
      <c r="JPU55" s="15"/>
      <c r="JPV55" s="15"/>
      <c r="JPW55" s="15"/>
      <c r="JPX55" s="15"/>
      <c r="JPY55" s="15"/>
      <c r="JPZ55" s="15"/>
      <c r="JQA55" s="15"/>
      <c r="JQB55" s="15"/>
      <c r="JQC55" s="15"/>
      <c r="JQD55" s="15"/>
      <c r="JQE55" s="15"/>
      <c r="JQF55" s="15"/>
      <c r="JQG55" s="15"/>
      <c r="JQH55" s="15"/>
      <c r="JQI55" s="15"/>
      <c r="JQJ55" s="15"/>
      <c r="JQK55" s="15"/>
      <c r="JQL55" s="15"/>
      <c r="JQM55" s="15"/>
      <c r="JQN55" s="15"/>
      <c r="JQO55" s="15"/>
      <c r="JQP55" s="15"/>
      <c r="JQQ55" s="15"/>
      <c r="JQR55" s="15"/>
      <c r="JQS55" s="15"/>
      <c r="JQT55" s="15"/>
      <c r="JQU55" s="15"/>
      <c r="JQV55" s="15"/>
      <c r="JQW55" s="15"/>
      <c r="JQX55" s="15"/>
      <c r="JQY55" s="15"/>
      <c r="JQZ55" s="15"/>
      <c r="JRA55" s="15"/>
      <c r="JRB55" s="15"/>
      <c r="JRC55" s="15"/>
      <c r="JRD55" s="15"/>
      <c r="JRE55" s="15"/>
      <c r="JRF55" s="15"/>
      <c r="JRG55" s="15"/>
      <c r="JRH55" s="15"/>
      <c r="JRI55" s="15"/>
      <c r="JRJ55" s="15"/>
      <c r="JRK55" s="15"/>
      <c r="JRL55" s="15"/>
      <c r="JRM55" s="15"/>
      <c r="JRN55" s="15"/>
      <c r="JRO55" s="15"/>
      <c r="JRP55" s="15"/>
      <c r="JRQ55" s="15"/>
      <c r="JRR55" s="15"/>
      <c r="JRS55" s="15"/>
      <c r="JRT55" s="15"/>
      <c r="JRU55" s="15"/>
      <c r="JRV55" s="15"/>
      <c r="JRW55" s="15"/>
      <c r="JRX55" s="15"/>
      <c r="JRY55" s="15"/>
      <c r="JRZ55" s="15"/>
      <c r="JSA55" s="15"/>
      <c r="JSB55" s="15"/>
      <c r="JSC55" s="15"/>
      <c r="JSD55" s="15"/>
      <c r="JSE55" s="15"/>
      <c r="JSF55" s="15"/>
      <c r="JSG55" s="15"/>
      <c r="JSH55" s="15"/>
      <c r="JSI55" s="15"/>
      <c r="JSJ55" s="15"/>
      <c r="JSK55" s="15"/>
      <c r="JSL55" s="15"/>
      <c r="JSM55" s="15"/>
      <c r="JSN55" s="15"/>
      <c r="JSO55" s="15"/>
      <c r="JSP55" s="15"/>
      <c r="JSQ55" s="15"/>
      <c r="JSR55" s="15"/>
      <c r="JSS55" s="15"/>
      <c r="JST55" s="15"/>
      <c r="JSU55" s="15"/>
      <c r="JSV55" s="15"/>
      <c r="JSW55" s="15"/>
      <c r="JSX55" s="15"/>
      <c r="JSY55" s="15"/>
      <c r="JSZ55" s="15"/>
      <c r="JTA55" s="15"/>
      <c r="JTB55" s="15"/>
      <c r="JTC55" s="15"/>
      <c r="JTD55" s="15"/>
      <c r="JTE55" s="15"/>
      <c r="JTF55" s="15"/>
      <c r="JTG55" s="15"/>
      <c r="JTH55" s="15"/>
      <c r="JTI55" s="15"/>
      <c r="JTJ55" s="15"/>
      <c r="JTK55" s="15"/>
      <c r="JTL55" s="15"/>
      <c r="JTM55" s="15"/>
      <c r="JTN55" s="15"/>
      <c r="JTO55" s="15"/>
      <c r="JTP55" s="15"/>
      <c r="JTQ55" s="15"/>
      <c r="JTR55" s="15"/>
      <c r="JTS55" s="15"/>
      <c r="JTT55" s="15"/>
      <c r="JTU55" s="15"/>
      <c r="JTV55" s="15"/>
      <c r="JTW55" s="15"/>
      <c r="JTX55" s="15"/>
      <c r="JTY55" s="15"/>
      <c r="JTZ55" s="15"/>
      <c r="JUA55" s="15"/>
      <c r="JUB55" s="15"/>
      <c r="JUC55" s="15"/>
      <c r="JUD55" s="15"/>
      <c r="JUE55" s="15"/>
      <c r="JUF55" s="15"/>
      <c r="JUG55" s="15"/>
      <c r="JUH55" s="15"/>
      <c r="JUI55" s="15"/>
      <c r="JUJ55" s="15"/>
      <c r="JUK55" s="15"/>
      <c r="JUL55" s="15"/>
      <c r="JUM55" s="15"/>
      <c r="JUN55" s="15"/>
      <c r="JUO55" s="15"/>
      <c r="JUP55" s="15"/>
      <c r="JUQ55" s="15"/>
      <c r="JUR55" s="15"/>
      <c r="JUS55" s="15"/>
      <c r="JUT55" s="15"/>
      <c r="JUU55" s="15"/>
      <c r="JUV55" s="15"/>
      <c r="JUW55" s="15"/>
      <c r="JUX55" s="15"/>
      <c r="JUY55" s="15"/>
      <c r="JUZ55" s="15"/>
      <c r="JVA55" s="15"/>
      <c r="JVB55" s="15"/>
      <c r="JVC55" s="15"/>
      <c r="JVD55" s="15"/>
      <c r="JVE55" s="15"/>
      <c r="JVF55" s="15"/>
      <c r="JVG55" s="15"/>
      <c r="JVH55" s="15"/>
      <c r="JVI55" s="15"/>
      <c r="JVJ55" s="15"/>
      <c r="JVK55" s="15"/>
      <c r="JVL55" s="15"/>
      <c r="JVM55" s="15"/>
      <c r="JVN55" s="15"/>
      <c r="JVO55" s="15"/>
      <c r="JVP55" s="15"/>
      <c r="JVQ55" s="15"/>
      <c r="JVR55" s="15"/>
      <c r="JVS55" s="15"/>
      <c r="JVT55" s="15"/>
      <c r="JVU55" s="15"/>
      <c r="JVV55" s="15"/>
      <c r="JVW55" s="15"/>
      <c r="JVX55" s="15"/>
      <c r="JVY55" s="15"/>
      <c r="JVZ55" s="15"/>
      <c r="JWA55" s="15"/>
      <c r="JWB55" s="15"/>
      <c r="JWC55" s="15"/>
      <c r="JWD55" s="15"/>
      <c r="JWE55" s="15"/>
      <c r="JWF55" s="15"/>
      <c r="JWG55" s="15"/>
      <c r="JWH55" s="15"/>
      <c r="JWI55" s="15"/>
      <c r="JWJ55" s="15"/>
      <c r="JWK55" s="15"/>
      <c r="JWL55" s="15"/>
      <c r="JWM55" s="15"/>
      <c r="JWN55" s="15"/>
      <c r="JWO55" s="15"/>
      <c r="JWP55" s="15"/>
      <c r="JWQ55" s="15"/>
      <c r="JWR55" s="15"/>
      <c r="JWS55" s="15"/>
      <c r="JWT55" s="15"/>
      <c r="JWU55" s="15"/>
      <c r="JWV55" s="15"/>
      <c r="JWW55" s="15"/>
      <c r="JWX55" s="15"/>
      <c r="JWY55" s="15"/>
      <c r="JWZ55" s="15"/>
      <c r="JXA55" s="15"/>
      <c r="JXB55" s="15"/>
      <c r="JXC55" s="15"/>
      <c r="JXD55" s="15"/>
      <c r="JXE55" s="15"/>
      <c r="JXF55" s="15"/>
      <c r="JXG55" s="15"/>
      <c r="JXH55" s="15"/>
      <c r="JXI55" s="15"/>
      <c r="JXJ55" s="15"/>
      <c r="JXK55" s="15"/>
      <c r="JXL55" s="15"/>
      <c r="JXM55" s="15"/>
      <c r="JXN55" s="15"/>
      <c r="JXO55" s="15"/>
      <c r="JXP55" s="15"/>
      <c r="JXQ55" s="15"/>
      <c r="JXR55" s="15"/>
      <c r="JXS55" s="15"/>
      <c r="JXT55" s="15"/>
      <c r="JXU55" s="15"/>
      <c r="JXV55" s="15"/>
      <c r="JXW55" s="15"/>
      <c r="JXX55" s="15"/>
      <c r="JXY55" s="15"/>
      <c r="JXZ55" s="15"/>
      <c r="JYA55" s="15"/>
      <c r="JYB55" s="15"/>
      <c r="JYC55" s="15"/>
      <c r="JYD55" s="15"/>
      <c r="JYE55" s="15"/>
      <c r="JYF55" s="15"/>
      <c r="JYG55" s="15"/>
      <c r="JYH55" s="15"/>
      <c r="JYI55" s="15"/>
      <c r="JYJ55" s="15"/>
      <c r="JYK55" s="15"/>
      <c r="JYL55" s="15"/>
      <c r="JYM55" s="15"/>
      <c r="JYN55" s="15"/>
      <c r="JYO55" s="15"/>
      <c r="JYP55" s="15"/>
      <c r="JYQ55" s="15"/>
      <c r="JYR55" s="15"/>
      <c r="JYS55" s="15"/>
      <c r="JYT55" s="15"/>
      <c r="JYU55" s="15"/>
      <c r="JYV55" s="15"/>
      <c r="JYW55" s="15"/>
      <c r="JYX55" s="15"/>
      <c r="JYY55" s="15"/>
      <c r="JYZ55" s="15"/>
      <c r="JZA55" s="15"/>
      <c r="JZB55" s="15"/>
      <c r="JZC55" s="15"/>
      <c r="JZD55" s="15"/>
      <c r="JZE55" s="15"/>
      <c r="JZF55" s="15"/>
      <c r="JZG55" s="15"/>
      <c r="JZH55" s="15"/>
      <c r="JZI55" s="15"/>
      <c r="JZJ55" s="15"/>
      <c r="JZK55" s="15"/>
      <c r="JZL55" s="15"/>
      <c r="JZM55" s="15"/>
      <c r="JZN55" s="15"/>
      <c r="JZO55" s="15"/>
      <c r="JZP55" s="15"/>
      <c r="JZQ55" s="15"/>
      <c r="JZR55" s="15"/>
      <c r="JZS55" s="15"/>
      <c r="JZT55" s="15"/>
      <c r="JZU55" s="15"/>
      <c r="JZV55" s="15"/>
      <c r="JZW55" s="15"/>
      <c r="JZX55" s="15"/>
      <c r="JZY55" s="15"/>
      <c r="JZZ55" s="15"/>
      <c r="KAA55" s="15"/>
      <c r="KAB55" s="15"/>
      <c r="KAC55" s="15"/>
      <c r="KAD55" s="15"/>
      <c r="KAE55" s="15"/>
      <c r="KAF55" s="15"/>
      <c r="KAG55" s="15"/>
      <c r="KAH55" s="15"/>
      <c r="KAI55" s="15"/>
      <c r="KAJ55" s="15"/>
      <c r="KAK55" s="15"/>
      <c r="KAL55" s="15"/>
      <c r="KAM55" s="15"/>
      <c r="KAN55" s="15"/>
      <c r="KAO55" s="15"/>
      <c r="KAP55" s="15"/>
      <c r="KAQ55" s="15"/>
      <c r="KAR55" s="15"/>
      <c r="KAS55" s="15"/>
      <c r="KAT55" s="15"/>
      <c r="KAU55" s="15"/>
      <c r="KAV55" s="15"/>
      <c r="KAW55" s="15"/>
      <c r="KAX55" s="15"/>
      <c r="KAY55" s="15"/>
      <c r="KAZ55" s="15"/>
      <c r="KBA55" s="15"/>
      <c r="KBB55" s="15"/>
      <c r="KBC55" s="15"/>
      <c r="KBD55" s="15"/>
      <c r="KBE55" s="15"/>
      <c r="KBF55" s="15"/>
      <c r="KBG55" s="15"/>
      <c r="KBH55" s="15"/>
      <c r="KBI55" s="15"/>
      <c r="KBJ55" s="15"/>
      <c r="KBK55" s="15"/>
      <c r="KBL55" s="15"/>
      <c r="KBM55" s="15"/>
      <c r="KBN55" s="15"/>
      <c r="KBO55" s="15"/>
      <c r="KBP55" s="15"/>
      <c r="KBQ55" s="15"/>
      <c r="KBR55" s="15"/>
      <c r="KBS55" s="15"/>
      <c r="KBT55" s="15"/>
      <c r="KBU55" s="15"/>
      <c r="KBV55" s="15"/>
      <c r="KBW55" s="15"/>
      <c r="KBX55" s="15"/>
      <c r="KBY55" s="15"/>
      <c r="KBZ55" s="15"/>
      <c r="KCA55" s="15"/>
      <c r="KCB55" s="15"/>
      <c r="KCC55" s="15"/>
      <c r="KCD55" s="15"/>
      <c r="KCE55" s="15"/>
      <c r="KCF55" s="15"/>
      <c r="KCG55" s="15"/>
      <c r="KCH55" s="15"/>
      <c r="KCI55" s="15"/>
      <c r="KCJ55" s="15"/>
      <c r="KCK55" s="15"/>
      <c r="KCL55" s="15"/>
      <c r="KCM55" s="15"/>
      <c r="KCN55" s="15"/>
      <c r="KCO55" s="15"/>
      <c r="KCP55" s="15"/>
      <c r="KCQ55" s="15"/>
      <c r="KCR55" s="15"/>
      <c r="KCS55" s="15"/>
      <c r="KCT55" s="15"/>
      <c r="KCU55" s="15"/>
      <c r="KCV55" s="15"/>
      <c r="KCW55" s="15"/>
      <c r="KCX55" s="15"/>
      <c r="KCY55" s="15"/>
      <c r="KCZ55" s="15"/>
      <c r="KDA55" s="15"/>
      <c r="KDB55" s="15"/>
      <c r="KDC55" s="15"/>
      <c r="KDD55" s="15"/>
      <c r="KDE55" s="15"/>
      <c r="KDF55" s="15"/>
      <c r="KDG55" s="15"/>
      <c r="KDH55" s="15"/>
      <c r="KDI55" s="15"/>
      <c r="KDJ55" s="15"/>
      <c r="KDK55" s="15"/>
      <c r="KDL55" s="15"/>
      <c r="KDM55" s="15"/>
      <c r="KDN55" s="15"/>
      <c r="KDO55" s="15"/>
      <c r="KDP55" s="15"/>
      <c r="KDQ55" s="15"/>
      <c r="KDR55" s="15"/>
      <c r="KDS55" s="15"/>
      <c r="KDT55" s="15"/>
      <c r="KDU55" s="15"/>
      <c r="KDV55" s="15"/>
      <c r="KDW55" s="15"/>
      <c r="KDX55" s="15"/>
      <c r="KDY55" s="15"/>
      <c r="KDZ55" s="15"/>
      <c r="KEA55" s="15"/>
      <c r="KEB55" s="15"/>
      <c r="KEC55" s="15"/>
      <c r="KED55" s="15"/>
      <c r="KEE55" s="15"/>
      <c r="KEF55" s="15"/>
      <c r="KEG55" s="15"/>
      <c r="KEH55" s="15"/>
      <c r="KEI55" s="15"/>
      <c r="KEJ55" s="15"/>
      <c r="KEK55" s="15"/>
      <c r="KEL55" s="15"/>
      <c r="KEM55" s="15"/>
      <c r="KEN55" s="15"/>
      <c r="KEO55" s="15"/>
      <c r="KEP55" s="15"/>
      <c r="KEQ55" s="15"/>
      <c r="KER55" s="15"/>
      <c r="KES55" s="15"/>
      <c r="KET55" s="15"/>
      <c r="KEU55" s="15"/>
      <c r="KEV55" s="15"/>
      <c r="KEW55" s="15"/>
      <c r="KEX55" s="15"/>
      <c r="KEY55" s="15"/>
      <c r="KEZ55" s="15"/>
      <c r="KFA55" s="15"/>
      <c r="KFB55" s="15"/>
      <c r="KFC55" s="15"/>
      <c r="KFD55" s="15"/>
      <c r="KFE55" s="15"/>
      <c r="KFF55" s="15"/>
      <c r="KFG55" s="15"/>
      <c r="KFH55" s="15"/>
      <c r="KFI55" s="15"/>
      <c r="KFJ55" s="15"/>
      <c r="KFK55" s="15"/>
      <c r="KFL55" s="15"/>
      <c r="KFM55" s="15"/>
      <c r="KFN55" s="15"/>
      <c r="KFO55" s="15"/>
      <c r="KFP55" s="15"/>
      <c r="KFQ55" s="15"/>
      <c r="KFR55" s="15"/>
      <c r="KFS55" s="15"/>
      <c r="KFT55" s="15"/>
      <c r="KFU55" s="15"/>
      <c r="KFV55" s="15"/>
      <c r="KFW55" s="15"/>
      <c r="KFX55" s="15"/>
      <c r="KFY55" s="15"/>
      <c r="KFZ55" s="15"/>
      <c r="KGA55" s="15"/>
      <c r="KGB55" s="15"/>
      <c r="KGC55" s="15"/>
      <c r="KGD55" s="15"/>
      <c r="KGE55" s="15"/>
      <c r="KGF55" s="15"/>
      <c r="KGG55" s="15"/>
      <c r="KGH55" s="15"/>
      <c r="KGI55" s="15"/>
      <c r="KGJ55" s="15"/>
      <c r="KGK55" s="15"/>
      <c r="KGL55" s="15"/>
      <c r="KGM55" s="15"/>
      <c r="KGN55" s="15"/>
      <c r="KGO55" s="15"/>
      <c r="KGP55" s="15"/>
      <c r="KGQ55" s="15"/>
      <c r="KGR55" s="15"/>
      <c r="KGS55" s="15"/>
      <c r="KGT55" s="15"/>
      <c r="KGU55" s="15"/>
      <c r="KGV55" s="15"/>
      <c r="KGW55" s="15"/>
      <c r="KGX55" s="15"/>
      <c r="KGY55" s="15"/>
      <c r="KGZ55" s="15"/>
      <c r="KHA55" s="15"/>
      <c r="KHB55" s="15"/>
      <c r="KHC55" s="15"/>
      <c r="KHD55" s="15"/>
      <c r="KHE55" s="15"/>
      <c r="KHF55" s="15"/>
      <c r="KHG55" s="15"/>
      <c r="KHH55" s="15"/>
      <c r="KHI55" s="15"/>
      <c r="KHJ55" s="15"/>
      <c r="KHK55" s="15"/>
      <c r="KHL55" s="15"/>
      <c r="KHM55" s="15"/>
      <c r="KHN55" s="15"/>
      <c r="KHO55" s="15"/>
      <c r="KHP55" s="15"/>
      <c r="KHQ55" s="15"/>
      <c r="KHR55" s="15"/>
      <c r="KHS55" s="15"/>
      <c r="KHT55" s="15"/>
      <c r="KHU55" s="15"/>
      <c r="KHV55" s="15"/>
      <c r="KHW55" s="15"/>
      <c r="KHX55" s="15"/>
      <c r="KHY55" s="15"/>
      <c r="KHZ55" s="15"/>
      <c r="KIA55" s="15"/>
      <c r="KIB55" s="15"/>
      <c r="KIC55" s="15"/>
      <c r="KID55" s="15"/>
      <c r="KIE55" s="15"/>
      <c r="KIF55" s="15"/>
      <c r="KIG55" s="15"/>
      <c r="KIH55" s="15"/>
      <c r="KII55" s="15"/>
      <c r="KIJ55" s="15"/>
      <c r="KIK55" s="15"/>
      <c r="KIL55" s="15"/>
      <c r="KIM55" s="15"/>
      <c r="KIN55" s="15"/>
      <c r="KIO55" s="15"/>
      <c r="KIP55" s="15"/>
      <c r="KIQ55" s="15"/>
      <c r="KIR55" s="15"/>
      <c r="KIS55" s="15"/>
      <c r="KIT55" s="15"/>
      <c r="KIU55" s="15"/>
      <c r="KIV55" s="15"/>
      <c r="KIW55" s="15"/>
      <c r="KIX55" s="15"/>
      <c r="KIY55" s="15"/>
      <c r="KIZ55" s="15"/>
      <c r="KJA55" s="15"/>
      <c r="KJB55" s="15"/>
      <c r="KJC55" s="15"/>
      <c r="KJD55" s="15"/>
      <c r="KJE55" s="15"/>
      <c r="KJF55" s="15"/>
      <c r="KJG55" s="15"/>
      <c r="KJH55" s="15"/>
      <c r="KJI55" s="15"/>
      <c r="KJJ55" s="15"/>
      <c r="KJK55" s="15"/>
      <c r="KJL55" s="15"/>
      <c r="KJM55" s="15"/>
      <c r="KJN55" s="15"/>
      <c r="KJO55" s="15"/>
      <c r="KJP55" s="15"/>
      <c r="KJQ55" s="15"/>
      <c r="KJR55" s="15"/>
      <c r="KJS55" s="15"/>
      <c r="KJT55" s="15"/>
      <c r="KJU55" s="15"/>
      <c r="KJV55" s="15"/>
      <c r="KJW55" s="15"/>
      <c r="KJX55" s="15"/>
      <c r="KJY55" s="15"/>
      <c r="KJZ55" s="15"/>
      <c r="KKA55" s="15"/>
      <c r="KKB55" s="15"/>
      <c r="KKC55" s="15"/>
      <c r="KKD55" s="15"/>
      <c r="KKE55" s="15"/>
      <c r="KKF55" s="15"/>
      <c r="KKG55" s="15"/>
      <c r="KKH55" s="15"/>
      <c r="KKI55" s="15"/>
      <c r="KKJ55" s="15"/>
      <c r="KKK55" s="15"/>
      <c r="KKL55" s="15"/>
      <c r="KKM55" s="15"/>
      <c r="KKN55" s="15"/>
      <c r="KKO55" s="15"/>
      <c r="KKP55" s="15"/>
      <c r="KKQ55" s="15"/>
      <c r="KKR55" s="15"/>
      <c r="KKS55" s="15"/>
      <c r="KKT55" s="15"/>
      <c r="KKU55" s="15"/>
      <c r="KKV55" s="15"/>
      <c r="KKW55" s="15"/>
      <c r="KKX55" s="15"/>
      <c r="KKY55" s="15"/>
      <c r="KKZ55" s="15"/>
      <c r="KLA55" s="15"/>
      <c r="KLB55" s="15"/>
      <c r="KLC55" s="15"/>
      <c r="KLD55" s="15"/>
      <c r="KLE55" s="15"/>
      <c r="KLF55" s="15"/>
      <c r="KLG55" s="15"/>
      <c r="KLH55" s="15"/>
      <c r="KLI55" s="15"/>
      <c r="KLJ55" s="15"/>
      <c r="KLK55" s="15"/>
      <c r="KLL55" s="15"/>
      <c r="KLM55" s="15"/>
      <c r="KLN55" s="15"/>
      <c r="KLO55" s="15"/>
      <c r="KLP55" s="15"/>
      <c r="KLQ55" s="15"/>
      <c r="KLR55" s="15"/>
      <c r="KLS55" s="15"/>
      <c r="KLT55" s="15"/>
      <c r="KLU55" s="15"/>
      <c r="KLV55" s="15"/>
      <c r="KLW55" s="15"/>
      <c r="KLX55" s="15"/>
      <c r="KLY55" s="15"/>
      <c r="KLZ55" s="15"/>
      <c r="KMA55" s="15"/>
      <c r="KMB55" s="15"/>
      <c r="KMC55" s="15"/>
      <c r="KMD55" s="15"/>
      <c r="KME55" s="15"/>
      <c r="KMF55" s="15"/>
      <c r="KMG55" s="15"/>
      <c r="KMH55" s="15"/>
      <c r="KMI55" s="15"/>
      <c r="KMJ55" s="15"/>
      <c r="KMK55" s="15"/>
      <c r="KML55" s="15"/>
      <c r="KMM55" s="15"/>
      <c r="KMN55" s="15"/>
      <c r="KMO55" s="15"/>
      <c r="KMP55" s="15"/>
      <c r="KMQ55" s="15"/>
      <c r="KMR55" s="15"/>
      <c r="KMS55" s="15"/>
      <c r="KMT55" s="15"/>
      <c r="KMU55" s="15"/>
      <c r="KMV55" s="15"/>
      <c r="KMW55" s="15"/>
      <c r="KMX55" s="15"/>
      <c r="KMY55" s="15"/>
      <c r="KMZ55" s="15"/>
      <c r="KNA55" s="15"/>
      <c r="KNB55" s="15"/>
      <c r="KNC55" s="15"/>
      <c r="KND55" s="15"/>
      <c r="KNE55" s="15"/>
      <c r="KNF55" s="15"/>
      <c r="KNG55" s="15"/>
      <c r="KNH55" s="15"/>
      <c r="KNI55" s="15"/>
      <c r="KNJ55" s="15"/>
      <c r="KNK55" s="15"/>
      <c r="KNL55" s="15"/>
      <c r="KNM55" s="15"/>
      <c r="KNN55" s="15"/>
      <c r="KNO55" s="15"/>
      <c r="KNP55" s="15"/>
      <c r="KNQ55" s="15"/>
      <c r="KNR55" s="15"/>
      <c r="KNS55" s="15"/>
      <c r="KNT55" s="15"/>
      <c r="KNU55" s="15"/>
      <c r="KNV55" s="15"/>
      <c r="KNW55" s="15"/>
      <c r="KNX55" s="15"/>
      <c r="KNY55" s="15"/>
      <c r="KNZ55" s="15"/>
      <c r="KOA55" s="15"/>
      <c r="KOB55" s="15"/>
      <c r="KOC55" s="15"/>
      <c r="KOD55" s="15"/>
      <c r="KOE55" s="15"/>
      <c r="KOF55" s="15"/>
      <c r="KOG55" s="15"/>
      <c r="KOH55" s="15"/>
      <c r="KOI55" s="15"/>
      <c r="KOJ55" s="15"/>
      <c r="KOK55" s="15"/>
      <c r="KOL55" s="15"/>
      <c r="KOM55" s="15"/>
      <c r="KON55" s="15"/>
      <c r="KOO55" s="15"/>
      <c r="KOP55" s="15"/>
      <c r="KOQ55" s="15"/>
      <c r="KOR55" s="15"/>
      <c r="KOS55" s="15"/>
      <c r="KOT55" s="15"/>
      <c r="KOU55" s="15"/>
      <c r="KOV55" s="15"/>
      <c r="KOW55" s="15"/>
      <c r="KOX55" s="15"/>
      <c r="KOY55" s="15"/>
      <c r="KOZ55" s="15"/>
      <c r="KPA55" s="15"/>
      <c r="KPB55" s="15"/>
      <c r="KPC55" s="15"/>
      <c r="KPD55" s="15"/>
      <c r="KPE55" s="15"/>
      <c r="KPF55" s="15"/>
      <c r="KPG55" s="15"/>
      <c r="KPH55" s="15"/>
      <c r="KPI55" s="15"/>
      <c r="KPJ55" s="15"/>
      <c r="KPK55" s="15"/>
      <c r="KPL55" s="15"/>
      <c r="KPM55" s="15"/>
      <c r="KPN55" s="15"/>
      <c r="KPO55" s="15"/>
      <c r="KPP55" s="15"/>
      <c r="KPQ55" s="15"/>
      <c r="KPR55" s="15"/>
      <c r="KPS55" s="15"/>
      <c r="KPT55" s="15"/>
      <c r="KPU55" s="15"/>
      <c r="KPV55" s="15"/>
      <c r="KPW55" s="15"/>
      <c r="KPX55" s="15"/>
      <c r="KPY55" s="15"/>
      <c r="KPZ55" s="15"/>
      <c r="KQA55" s="15"/>
      <c r="KQB55" s="15"/>
      <c r="KQC55" s="15"/>
      <c r="KQD55" s="15"/>
      <c r="KQE55" s="15"/>
      <c r="KQF55" s="15"/>
      <c r="KQG55" s="15"/>
      <c r="KQH55" s="15"/>
      <c r="KQI55" s="15"/>
      <c r="KQJ55" s="15"/>
      <c r="KQK55" s="15"/>
      <c r="KQL55" s="15"/>
      <c r="KQM55" s="15"/>
      <c r="KQN55" s="15"/>
      <c r="KQO55" s="15"/>
      <c r="KQP55" s="15"/>
      <c r="KQQ55" s="15"/>
      <c r="KQR55" s="15"/>
      <c r="KQS55" s="15"/>
      <c r="KQT55" s="15"/>
      <c r="KQU55" s="15"/>
      <c r="KQV55" s="15"/>
      <c r="KQW55" s="15"/>
      <c r="KQX55" s="15"/>
      <c r="KQY55" s="15"/>
      <c r="KQZ55" s="15"/>
      <c r="KRA55" s="15"/>
      <c r="KRB55" s="15"/>
      <c r="KRC55" s="15"/>
      <c r="KRD55" s="15"/>
      <c r="KRE55" s="15"/>
      <c r="KRF55" s="15"/>
      <c r="KRG55" s="15"/>
      <c r="KRH55" s="15"/>
      <c r="KRI55" s="15"/>
      <c r="KRJ55" s="15"/>
      <c r="KRK55" s="15"/>
      <c r="KRL55" s="15"/>
      <c r="KRM55" s="15"/>
      <c r="KRN55" s="15"/>
      <c r="KRO55" s="15"/>
      <c r="KRP55" s="15"/>
      <c r="KRQ55" s="15"/>
      <c r="KRR55" s="15"/>
      <c r="KRS55" s="15"/>
      <c r="KRT55" s="15"/>
      <c r="KRU55" s="15"/>
      <c r="KRV55" s="15"/>
      <c r="KRW55" s="15"/>
      <c r="KRX55" s="15"/>
      <c r="KRY55" s="15"/>
      <c r="KRZ55" s="15"/>
      <c r="KSA55" s="15"/>
      <c r="KSB55" s="15"/>
      <c r="KSC55" s="15"/>
      <c r="KSD55" s="15"/>
      <c r="KSE55" s="15"/>
      <c r="KSF55" s="15"/>
      <c r="KSG55" s="15"/>
      <c r="KSH55" s="15"/>
      <c r="KSI55" s="15"/>
      <c r="KSJ55" s="15"/>
      <c r="KSK55" s="15"/>
      <c r="KSL55" s="15"/>
      <c r="KSM55" s="15"/>
      <c r="KSN55" s="15"/>
      <c r="KSO55" s="15"/>
      <c r="KSP55" s="15"/>
      <c r="KSQ55" s="15"/>
      <c r="KSR55" s="15"/>
      <c r="KSS55" s="15"/>
      <c r="KST55" s="15"/>
      <c r="KSU55" s="15"/>
      <c r="KSV55" s="15"/>
      <c r="KSW55" s="15"/>
      <c r="KSX55" s="15"/>
      <c r="KSY55" s="15"/>
      <c r="KSZ55" s="15"/>
      <c r="KTA55" s="15"/>
      <c r="KTB55" s="15"/>
      <c r="KTC55" s="15"/>
      <c r="KTD55" s="15"/>
      <c r="KTE55" s="15"/>
      <c r="KTF55" s="15"/>
      <c r="KTG55" s="15"/>
      <c r="KTH55" s="15"/>
      <c r="KTI55" s="15"/>
      <c r="KTJ55" s="15"/>
      <c r="KTK55" s="15"/>
      <c r="KTL55" s="15"/>
      <c r="KTM55" s="15"/>
      <c r="KTN55" s="15"/>
      <c r="KTO55" s="15"/>
      <c r="KTP55" s="15"/>
      <c r="KTQ55" s="15"/>
      <c r="KTR55" s="15"/>
      <c r="KTS55" s="15"/>
      <c r="KTT55" s="15"/>
      <c r="KTU55" s="15"/>
      <c r="KTV55" s="15"/>
      <c r="KTW55" s="15"/>
      <c r="KTX55" s="15"/>
      <c r="KTY55" s="15"/>
      <c r="KTZ55" s="15"/>
      <c r="KUA55" s="15"/>
      <c r="KUB55" s="15"/>
      <c r="KUC55" s="15"/>
      <c r="KUD55" s="15"/>
      <c r="KUE55" s="15"/>
      <c r="KUF55" s="15"/>
      <c r="KUG55" s="15"/>
      <c r="KUH55" s="15"/>
      <c r="KUI55" s="15"/>
      <c r="KUJ55" s="15"/>
      <c r="KUK55" s="15"/>
      <c r="KUL55" s="15"/>
      <c r="KUM55" s="15"/>
      <c r="KUN55" s="15"/>
      <c r="KUO55" s="15"/>
      <c r="KUP55" s="15"/>
      <c r="KUQ55" s="15"/>
      <c r="KUR55" s="15"/>
      <c r="KUS55" s="15"/>
      <c r="KUT55" s="15"/>
      <c r="KUU55" s="15"/>
      <c r="KUV55" s="15"/>
      <c r="KUW55" s="15"/>
      <c r="KUX55" s="15"/>
      <c r="KUY55" s="15"/>
      <c r="KUZ55" s="15"/>
      <c r="KVA55" s="15"/>
      <c r="KVB55" s="15"/>
      <c r="KVC55" s="15"/>
      <c r="KVD55" s="15"/>
      <c r="KVE55" s="15"/>
      <c r="KVF55" s="15"/>
      <c r="KVG55" s="15"/>
      <c r="KVH55" s="15"/>
      <c r="KVI55" s="15"/>
      <c r="KVJ55" s="15"/>
      <c r="KVK55" s="15"/>
      <c r="KVL55" s="15"/>
      <c r="KVM55" s="15"/>
      <c r="KVN55" s="15"/>
      <c r="KVO55" s="15"/>
      <c r="KVP55" s="15"/>
      <c r="KVQ55" s="15"/>
      <c r="KVR55" s="15"/>
      <c r="KVS55" s="15"/>
      <c r="KVT55" s="15"/>
      <c r="KVU55" s="15"/>
      <c r="KVV55" s="15"/>
      <c r="KVW55" s="15"/>
      <c r="KVX55" s="15"/>
      <c r="KVY55" s="15"/>
      <c r="KVZ55" s="15"/>
      <c r="KWA55" s="15"/>
      <c r="KWB55" s="15"/>
      <c r="KWC55" s="15"/>
      <c r="KWD55" s="15"/>
      <c r="KWE55" s="15"/>
      <c r="KWF55" s="15"/>
      <c r="KWG55" s="15"/>
      <c r="KWH55" s="15"/>
      <c r="KWI55" s="15"/>
      <c r="KWJ55" s="15"/>
      <c r="KWK55" s="15"/>
      <c r="KWL55" s="15"/>
      <c r="KWM55" s="15"/>
      <c r="KWN55" s="15"/>
      <c r="KWO55" s="15"/>
      <c r="KWP55" s="15"/>
      <c r="KWQ55" s="15"/>
      <c r="KWR55" s="15"/>
      <c r="KWS55" s="15"/>
      <c r="KWT55" s="15"/>
      <c r="KWU55" s="15"/>
      <c r="KWV55" s="15"/>
      <c r="KWW55" s="15"/>
      <c r="KWX55" s="15"/>
      <c r="KWY55" s="15"/>
      <c r="KWZ55" s="15"/>
      <c r="KXA55" s="15"/>
      <c r="KXB55" s="15"/>
      <c r="KXC55" s="15"/>
      <c r="KXD55" s="15"/>
      <c r="KXE55" s="15"/>
      <c r="KXF55" s="15"/>
      <c r="KXG55" s="15"/>
      <c r="KXH55" s="15"/>
      <c r="KXI55" s="15"/>
      <c r="KXJ55" s="15"/>
      <c r="KXK55" s="15"/>
      <c r="KXL55" s="15"/>
      <c r="KXM55" s="15"/>
      <c r="KXN55" s="15"/>
      <c r="KXO55" s="15"/>
      <c r="KXP55" s="15"/>
      <c r="KXQ55" s="15"/>
      <c r="KXR55" s="15"/>
      <c r="KXS55" s="15"/>
      <c r="KXT55" s="15"/>
      <c r="KXU55" s="15"/>
      <c r="KXV55" s="15"/>
      <c r="KXW55" s="15"/>
      <c r="KXX55" s="15"/>
      <c r="KXY55" s="15"/>
      <c r="KXZ55" s="15"/>
      <c r="KYA55" s="15"/>
      <c r="KYB55" s="15"/>
      <c r="KYC55" s="15"/>
      <c r="KYD55" s="15"/>
      <c r="KYE55" s="15"/>
      <c r="KYF55" s="15"/>
      <c r="KYG55" s="15"/>
      <c r="KYH55" s="15"/>
      <c r="KYI55" s="15"/>
      <c r="KYJ55" s="15"/>
      <c r="KYK55" s="15"/>
      <c r="KYL55" s="15"/>
      <c r="KYM55" s="15"/>
      <c r="KYN55" s="15"/>
      <c r="KYO55" s="15"/>
      <c r="KYP55" s="15"/>
      <c r="KYQ55" s="15"/>
      <c r="KYR55" s="15"/>
      <c r="KYS55" s="15"/>
      <c r="KYT55" s="15"/>
      <c r="KYU55" s="15"/>
      <c r="KYV55" s="15"/>
      <c r="KYW55" s="15"/>
      <c r="KYX55" s="15"/>
      <c r="KYY55" s="15"/>
      <c r="KYZ55" s="15"/>
      <c r="KZA55" s="15"/>
      <c r="KZB55" s="15"/>
      <c r="KZC55" s="15"/>
      <c r="KZD55" s="15"/>
      <c r="KZE55" s="15"/>
      <c r="KZF55" s="15"/>
      <c r="KZG55" s="15"/>
      <c r="KZH55" s="15"/>
      <c r="KZI55" s="15"/>
      <c r="KZJ55" s="15"/>
      <c r="KZK55" s="15"/>
      <c r="KZL55" s="15"/>
      <c r="KZM55" s="15"/>
      <c r="KZN55" s="15"/>
      <c r="KZO55" s="15"/>
      <c r="KZP55" s="15"/>
      <c r="KZQ55" s="15"/>
      <c r="KZR55" s="15"/>
      <c r="KZS55" s="15"/>
      <c r="KZT55" s="15"/>
      <c r="KZU55" s="15"/>
      <c r="KZV55" s="15"/>
      <c r="KZW55" s="15"/>
      <c r="KZX55" s="15"/>
      <c r="KZY55" s="15"/>
      <c r="KZZ55" s="15"/>
      <c r="LAA55" s="15"/>
      <c r="LAB55" s="15"/>
      <c r="LAC55" s="15"/>
      <c r="LAD55" s="15"/>
      <c r="LAE55" s="15"/>
      <c r="LAF55" s="15"/>
      <c r="LAG55" s="15"/>
      <c r="LAH55" s="15"/>
      <c r="LAI55" s="15"/>
      <c r="LAJ55" s="15"/>
      <c r="LAK55" s="15"/>
      <c r="LAL55" s="15"/>
      <c r="LAM55" s="15"/>
      <c r="LAN55" s="15"/>
      <c r="LAO55" s="15"/>
      <c r="LAP55" s="15"/>
      <c r="LAQ55" s="15"/>
      <c r="LAR55" s="15"/>
      <c r="LAS55" s="15"/>
      <c r="LAT55" s="15"/>
      <c r="LAU55" s="15"/>
      <c r="LAV55" s="15"/>
      <c r="LAW55" s="15"/>
      <c r="LAX55" s="15"/>
      <c r="LAY55" s="15"/>
      <c r="LAZ55" s="15"/>
      <c r="LBA55" s="15"/>
      <c r="LBB55" s="15"/>
      <c r="LBC55" s="15"/>
      <c r="LBD55" s="15"/>
      <c r="LBE55" s="15"/>
      <c r="LBF55" s="15"/>
      <c r="LBG55" s="15"/>
      <c r="LBH55" s="15"/>
      <c r="LBI55" s="15"/>
      <c r="LBJ55" s="15"/>
      <c r="LBK55" s="15"/>
      <c r="LBL55" s="15"/>
      <c r="LBM55" s="15"/>
      <c r="LBN55" s="15"/>
      <c r="LBO55" s="15"/>
      <c r="LBP55" s="15"/>
      <c r="LBQ55" s="15"/>
      <c r="LBR55" s="15"/>
      <c r="LBS55" s="15"/>
      <c r="LBT55" s="15"/>
      <c r="LBU55" s="15"/>
      <c r="LBV55" s="15"/>
      <c r="LBW55" s="15"/>
      <c r="LBX55" s="15"/>
      <c r="LBY55" s="15"/>
      <c r="LBZ55" s="15"/>
      <c r="LCA55" s="15"/>
      <c r="LCB55" s="15"/>
      <c r="LCC55" s="15"/>
      <c r="LCD55" s="15"/>
      <c r="LCE55" s="15"/>
      <c r="LCF55" s="15"/>
      <c r="LCG55" s="15"/>
      <c r="LCH55" s="15"/>
      <c r="LCI55" s="15"/>
      <c r="LCJ55" s="15"/>
      <c r="LCK55" s="15"/>
      <c r="LCL55" s="15"/>
      <c r="LCM55" s="15"/>
      <c r="LCN55" s="15"/>
      <c r="LCO55" s="15"/>
      <c r="LCP55" s="15"/>
      <c r="LCQ55" s="15"/>
      <c r="LCR55" s="15"/>
      <c r="LCS55" s="15"/>
      <c r="LCT55" s="15"/>
      <c r="LCU55" s="15"/>
      <c r="LCV55" s="15"/>
      <c r="LCW55" s="15"/>
      <c r="LCX55" s="15"/>
      <c r="LCY55" s="15"/>
      <c r="LCZ55" s="15"/>
      <c r="LDA55" s="15"/>
      <c r="LDB55" s="15"/>
      <c r="LDC55" s="15"/>
      <c r="LDD55" s="15"/>
      <c r="LDE55" s="15"/>
      <c r="LDF55" s="15"/>
      <c r="LDG55" s="15"/>
      <c r="LDH55" s="15"/>
      <c r="LDI55" s="15"/>
      <c r="LDJ55" s="15"/>
      <c r="LDK55" s="15"/>
      <c r="LDL55" s="15"/>
      <c r="LDM55" s="15"/>
      <c r="LDN55" s="15"/>
      <c r="LDO55" s="15"/>
      <c r="LDP55" s="15"/>
      <c r="LDQ55" s="15"/>
      <c r="LDR55" s="15"/>
      <c r="LDS55" s="15"/>
      <c r="LDT55" s="15"/>
      <c r="LDU55" s="15"/>
      <c r="LDV55" s="15"/>
      <c r="LDW55" s="15"/>
      <c r="LDX55" s="15"/>
      <c r="LDY55" s="15"/>
      <c r="LDZ55" s="15"/>
      <c r="LEA55" s="15"/>
      <c r="LEB55" s="15"/>
      <c r="LEC55" s="15"/>
      <c r="LED55" s="15"/>
      <c r="LEE55" s="15"/>
      <c r="LEF55" s="15"/>
      <c r="LEG55" s="15"/>
      <c r="LEH55" s="15"/>
      <c r="LEI55" s="15"/>
      <c r="LEJ55" s="15"/>
      <c r="LEK55" s="15"/>
      <c r="LEL55" s="15"/>
      <c r="LEM55" s="15"/>
      <c r="LEN55" s="15"/>
      <c r="LEO55" s="15"/>
      <c r="LEP55" s="15"/>
      <c r="LEQ55" s="15"/>
      <c r="LER55" s="15"/>
      <c r="LES55" s="15"/>
      <c r="LET55" s="15"/>
      <c r="LEU55" s="15"/>
      <c r="LEV55" s="15"/>
      <c r="LEW55" s="15"/>
      <c r="LEX55" s="15"/>
      <c r="LEY55" s="15"/>
      <c r="LEZ55" s="15"/>
      <c r="LFA55" s="15"/>
      <c r="LFB55" s="15"/>
      <c r="LFC55" s="15"/>
      <c r="LFD55" s="15"/>
      <c r="LFE55" s="15"/>
      <c r="LFF55" s="15"/>
      <c r="LFG55" s="15"/>
      <c r="LFH55" s="15"/>
      <c r="LFI55" s="15"/>
      <c r="LFJ55" s="15"/>
      <c r="LFK55" s="15"/>
      <c r="LFL55" s="15"/>
      <c r="LFM55" s="15"/>
      <c r="LFN55" s="15"/>
      <c r="LFO55" s="15"/>
      <c r="LFP55" s="15"/>
      <c r="LFQ55" s="15"/>
      <c r="LFR55" s="15"/>
      <c r="LFS55" s="15"/>
      <c r="LFT55" s="15"/>
      <c r="LFU55" s="15"/>
      <c r="LFV55" s="15"/>
      <c r="LFW55" s="15"/>
      <c r="LFX55" s="15"/>
      <c r="LFY55" s="15"/>
      <c r="LFZ55" s="15"/>
      <c r="LGA55" s="15"/>
      <c r="LGB55" s="15"/>
      <c r="LGC55" s="15"/>
      <c r="LGD55" s="15"/>
      <c r="LGE55" s="15"/>
      <c r="LGF55" s="15"/>
      <c r="LGG55" s="15"/>
      <c r="LGH55" s="15"/>
      <c r="LGI55" s="15"/>
      <c r="LGJ55" s="15"/>
      <c r="LGK55" s="15"/>
      <c r="LGL55" s="15"/>
      <c r="LGM55" s="15"/>
      <c r="LGN55" s="15"/>
      <c r="LGO55" s="15"/>
      <c r="LGP55" s="15"/>
      <c r="LGQ55" s="15"/>
      <c r="LGR55" s="15"/>
      <c r="LGS55" s="15"/>
      <c r="LGT55" s="15"/>
      <c r="LGU55" s="15"/>
      <c r="LGV55" s="15"/>
      <c r="LGW55" s="15"/>
      <c r="LGX55" s="15"/>
      <c r="LGY55" s="15"/>
      <c r="LGZ55" s="15"/>
      <c r="LHA55" s="15"/>
      <c r="LHB55" s="15"/>
      <c r="LHC55" s="15"/>
      <c r="LHD55" s="15"/>
      <c r="LHE55" s="15"/>
      <c r="LHF55" s="15"/>
      <c r="LHG55" s="15"/>
      <c r="LHH55" s="15"/>
      <c r="LHI55" s="15"/>
      <c r="LHJ55" s="15"/>
      <c r="LHK55" s="15"/>
      <c r="LHL55" s="15"/>
      <c r="LHM55" s="15"/>
      <c r="LHN55" s="15"/>
      <c r="LHO55" s="15"/>
      <c r="LHP55" s="15"/>
      <c r="LHQ55" s="15"/>
      <c r="LHR55" s="15"/>
      <c r="LHS55" s="15"/>
      <c r="LHT55" s="15"/>
      <c r="LHU55" s="15"/>
      <c r="LHV55" s="15"/>
      <c r="LHW55" s="15"/>
      <c r="LHX55" s="15"/>
      <c r="LHY55" s="15"/>
      <c r="LHZ55" s="15"/>
      <c r="LIA55" s="15"/>
      <c r="LIB55" s="15"/>
      <c r="LIC55" s="15"/>
      <c r="LID55" s="15"/>
      <c r="LIE55" s="15"/>
      <c r="LIF55" s="15"/>
      <c r="LIG55" s="15"/>
      <c r="LIH55" s="15"/>
      <c r="LII55" s="15"/>
      <c r="LIJ55" s="15"/>
      <c r="LIK55" s="15"/>
      <c r="LIL55" s="15"/>
      <c r="LIM55" s="15"/>
      <c r="LIN55" s="15"/>
      <c r="LIO55" s="15"/>
      <c r="LIP55" s="15"/>
      <c r="LIQ55" s="15"/>
      <c r="LIR55" s="15"/>
      <c r="LIS55" s="15"/>
      <c r="LIT55" s="15"/>
      <c r="LIU55" s="15"/>
      <c r="LIV55" s="15"/>
      <c r="LIW55" s="15"/>
      <c r="LIX55" s="15"/>
      <c r="LIY55" s="15"/>
      <c r="LIZ55" s="15"/>
      <c r="LJA55" s="15"/>
      <c r="LJB55" s="15"/>
      <c r="LJC55" s="15"/>
      <c r="LJD55" s="15"/>
      <c r="LJE55" s="15"/>
      <c r="LJF55" s="15"/>
      <c r="LJG55" s="15"/>
      <c r="LJH55" s="15"/>
      <c r="LJI55" s="15"/>
      <c r="LJJ55" s="15"/>
      <c r="LJK55" s="15"/>
      <c r="LJL55" s="15"/>
      <c r="LJM55" s="15"/>
      <c r="LJN55" s="15"/>
      <c r="LJO55" s="15"/>
      <c r="LJP55" s="15"/>
      <c r="LJQ55" s="15"/>
      <c r="LJR55" s="15"/>
      <c r="LJS55" s="15"/>
      <c r="LJT55" s="15"/>
      <c r="LJU55" s="15"/>
      <c r="LJV55" s="15"/>
      <c r="LJW55" s="15"/>
      <c r="LJX55" s="15"/>
      <c r="LJY55" s="15"/>
      <c r="LJZ55" s="15"/>
      <c r="LKA55" s="15"/>
      <c r="LKB55" s="15"/>
      <c r="LKC55" s="15"/>
      <c r="LKD55" s="15"/>
      <c r="LKE55" s="15"/>
      <c r="LKF55" s="15"/>
      <c r="LKG55" s="15"/>
      <c r="LKH55" s="15"/>
      <c r="LKI55" s="15"/>
      <c r="LKJ55" s="15"/>
      <c r="LKK55" s="15"/>
      <c r="LKL55" s="15"/>
      <c r="LKM55" s="15"/>
      <c r="LKN55" s="15"/>
      <c r="LKO55" s="15"/>
      <c r="LKP55" s="15"/>
      <c r="LKQ55" s="15"/>
      <c r="LKR55" s="15"/>
      <c r="LKS55" s="15"/>
      <c r="LKT55" s="15"/>
      <c r="LKU55" s="15"/>
      <c r="LKV55" s="15"/>
      <c r="LKW55" s="15"/>
      <c r="LKX55" s="15"/>
      <c r="LKY55" s="15"/>
      <c r="LKZ55" s="15"/>
      <c r="LLA55" s="15"/>
      <c r="LLB55" s="15"/>
      <c r="LLC55" s="15"/>
      <c r="LLD55" s="15"/>
      <c r="LLE55" s="15"/>
      <c r="LLF55" s="15"/>
      <c r="LLG55" s="15"/>
      <c r="LLH55" s="15"/>
      <c r="LLI55" s="15"/>
      <c r="LLJ55" s="15"/>
      <c r="LLK55" s="15"/>
      <c r="LLL55" s="15"/>
      <c r="LLM55" s="15"/>
      <c r="LLN55" s="15"/>
      <c r="LLO55" s="15"/>
      <c r="LLP55" s="15"/>
      <c r="LLQ55" s="15"/>
      <c r="LLR55" s="15"/>
      <c r="LLS55" s="15"/>
      <c r="LLT55" s="15"/>
      <c r="LLU55" s="15"/>
      <c r="LLV55" s="15"/>
      <c r="LLW55" s="15"/>
      <c r="LLX55" s="15"/>
      <c r="LLY55" s="15"/>
      <c r="LLZ55" s="15"/>
      <c r="LMA55" s="15"/>
      <c r="LMB55" s="15"/>
      <c r="LMC55" s="15"/>
      <c r="LMD55" s="15"/>
      <c r="LME55" s="15"/>
      <c r="LMF55" s="15"/>
      <c r="LMG55" s="15"/>
      <c r="LMH55" s="15"/>
      <c r="LMI55" s="15"/>
      <c r="LMJ55" s="15"/>
      <c r="LMK55" s="15"/>
      <c r="LML55" s="15"/>
      <c r="LMM55" s="15"/>
      <c r="LMN55" s="15"/>
      <c r="LMO55" s="15"/>
      <c r="LMP55" s="15"/>
      <c r="LMQ55" s="15"/>
      <c r="LMR55" s="15"/>
      <c r="LMS55" s="15"/>
      <c r="LMT55" s="15"/>
      <c r="LMU55" s="15"/>
      <c r="LMV55" s="15"/>
      <c r="LMW55" s="15"/>
      <c r="LMX55" s="15"/>
      <c r="LMY55" s="15"/>
      <c r="LMZ55" s="15"/>
      <c r="LNA55" s="15"/>
      <c r="LNB55" s="15"/>
      <c r="LNC55" s="15"/>
      <c r="LND55" s="15"/>
      <c r="LNE55" s="15"/>
      <c r="LNF55" s="15"/>
      <c r="LNG55" s="15"/>
      <c r="LNH55" s="15"/>
      <c r="LNI55" s="15"/>
      <c r="LNJ55" s="15"/>
      <c r="LNK55" s="15"/>
      <c r="LNL55" s="15"/>
      <c r="LNM55" s="15"/>
      <c r="LNN55" s="15"/>
      <c r="LNO55" s="15"/>
      <c r="LNP55" s="15"/>
      <c r="LNQ55" s="15"/>
      <c r="LNR55" s="15"/>
      <c r="LNS55" s="15"/>
      <c r="LNT55" s="15"/>
      <c r="LNU55" s="15"/>
      <c r="LNV55" s="15"/>
      <c r="LNW55" s="15"/>
      <c r="LNX55" s="15"/>
      <c r="LNY55" s="15"/>
      <c r="LNZ55" s="15"/>
      <c r="LOA55" s="15"/>
      <c r="LOB55" s="15"/>
      <c r="LOC55" s="15"/>
      <c r="LOD55" s="15"/>
      <c r="LOE55" s="15"/>
      <c r="LOF55" s="15"/>
      <c r="LOG55" s="15"/>
      <c r="LOH55" s="15"/>
      <c r="LOI55" s="15"/>
      <c r="LOJ55" s="15"/>
      <c r="LOK55" s="15"/>
      <c r="LOL55" s="15"/>
      <c r="LOM55" s="15"/>
      <c r="LON55" s="15"/>
      <c r="LOO55" s="15"/>
      <c r="LOP55" s="15"/>
      <c r="LOQ55" s="15"/>
      <c r="LOR55" s="15"/>
      <c r="LOS55" s="15"/>
      <c r="LOT55" s="15"/>
      <c r="LOU55" s="15"/>
      <c r="LOV55" s="15"/>
      <c r="LOW55" s="15"/>
      <c r="LOX55" s="15"/>
      <c r="LOY55" s="15"/>
      <c r="LOZ55" s="15"/>
      <c r="LPA55" s="15"/>
      <c r="LPB55" s="15"/>
      <c r="LPC55" s="15"/>
      <c r="LPD55" s="15"/>
      <c r="LPE55" s="15"/>
      <c r="LPF55" s="15"/>
      <c r="LPG55" s="15"/>
      <c r="LPH55" s="15"/>
      <c r="LPI55" s="15"/>
      <c r="LPJ55" s="15"/>
      <c r="LPK55" s="15"/>
      <c r="LPL55" s="15"/>
      <c r="LPM55" s="15"/>
      <c r="LPN55" s="15"/>
      <c r="LPO55" s="15"/>
      <c r="LPP55" s="15"/>
      <c r="LPQ55" s="15"/>
      <c r="LPR55" s="15"/>
      <c r="LPS55" s="15"/>
      <c r="LPT55" s="15"/>
      <c r="LPU55" s="15"/>
      <c r="LPV55" s="15"/>
      <c r="LPW55" s="15"/>
      <c r="LPX55" s="15"/>
      <c r="LPY55" s="15"/>
      <c r="LPZ55" s="15"/>
      <c r="LQA55" s="15"/>
      <c r="LQB55" s="15"/>
      <c r="LQC55" s="15"/>
      <c r="LQD55" s="15"/>
      <c r="LQE55" s="15"/>
      <c r="LQF55" s="15"/>
      <c r="LQG55" s="15"/>
      <c r="LQH55" s="15"/>
      <c r="LQI55" s="15"/>
      <c r="LQJ55" s="15"/>
      <c r="LQK55" s="15"/>
      <c r="LQL55" s="15"/>
      <c r="LQM55" s="15"/>
      <c r="LQN55" s="15"/>
      <c r="LQO55" s="15"/>
      <c r="LQP55" s="15"/>
      <c r="LQQ55" s="15"/>
      <c r="LQR55" s="15"/>
      <c r="LQS55" s="15"/>
      <c r="LQT55" s="15"/>
      <c r="LQU55" s="15"/>
      <c r="LQV55" s="15"/>
      <c r="LQW55" s="15"/>
      <c r="LQX55" s="15"/>
      <c r="LQY55" s="15"/>
      <c r="LQZ55" s="15"/>
      <c r="LRA55" s="15"/>
      <c r="LRB55" s="15"/>
      <c r="LRC55" s="15"/>
      <c r="LRD55" s="15"/>
      <c r="LRE55" s="15"/>
      <c r="LRF55" s="15"/>
      <c r="LRG55" s="15"/>
      <c r="LRH55" s="15"/>
      <c r="LRI55" s="15"/>
      <c r="LRJ55" s="15"/>
      <c r="LRK55" s="15"/>
      <c r="LRL55" s="15"/>
      <c r="LRM55" s="15"/>
      <c r="LRN55" s="15"/>
      <c r="LRO55" s="15"/>
      <c r="LRP55" s="15"/>
      <c r="LRQ55" s="15"/>
      <c r="LRR55" s="15"/>
      <c r="LRS55" s="15"/>
      <c r="LRT55" s="15"/>
      <c r="LRU55" s="15"/>
      <c r="LRV55" s="15"/>
      <c r="LRW55" s="15"/>
      <c r="LRX55" s="15"/>
      <c r="LRY55" s="15"/>
      <c r="LRZ55" s="15"/>
      <c r="LSA55" s="15"/>
      <c r="LSB55" s="15"/>
      <c r="LSC55" s="15"/>
      <c r="LSD55" s="15"/>
      <c r="LSE55" s="15"/>
      <c r="LSF55" s="15"/>
      <c r="LSG55" s="15"/>
      <c r="LSH55" s="15"/>
      <c r="LSI55" s="15"/>
      <c r="LSJ55" s="15"/>
      <c r="LSK55" s="15"/>
      <c r="LSL55" s="15"/>
      <c r="LSM55" s="15"/>
      <c r="LSN55" s="15"/>
      <c r="LSO55" s="15"/>
      <c r="LSP55" s="15"/>
      <c r="LSQ55" s="15"/>
      <c r="LSR55" s="15"/>
      <c r="LSS55" s="15"/>
      <c r="LST55" s="15"/>
      <c r="LSU55" s="15"/>
      <c r="LSV55" s="15"/>
      <c r="LSW55" s="15"/>
      <c r="LSX55" s="15"/>
      <c r="LSY55" s="15"/>
      <c r="LSZ55" s="15"/>
      <c r="LTA55" s="15"/>
      <c r="LTB55" s="15"/>
      <c r="LTC55" s="15"/>
      <c r="LTD55" s="15"/>
      <c r="LTE55" s="15"/>
      <c r="LTF55" s="15"/>
      <c r="LTG55" s="15"/>
      <c r="LTH55" s="15"/>
      <c r="LTI55" s="15"/>
      <c r="LTJ55" s="15"/>
      <c r="LTK55" s="15"/>
      <c r="LTL55" s="15"/>
      <c r="LTM55" s="15"/>
      <c r="LTN55" s="15"/>
      <c r="LTO55" s="15"/>
      <c r="LTP55" s="15"/>
      <c r="LTQ55" s="15"/>
      <c r="LTR55" s="15"/>
      <c r="LTS55" s="15"/>
      <c r="LTT55" s="15"/>
      <c r="LTU55" s="15"/>
      <c r="LTV55" s="15"/>
      <c r="LTW55" s="15"/>
      <c r="LTX55" s="15"/>
      <c r="LTY55" s="15"/>
      <c r="LTZ55" s="15"/>
      <c r="LUA55" s="15"/>
      <c r="LUB55" s="15"/>
      <c r="LUC55" s="15"/>
      <c r="LUD55" s="15"/>
      <c r="LUE55" s="15"/>
      <c r="LUF55" s="15"/>
      <c r="LUG55" s="15"/>
      <c r="LUH55" s="15"/>
      <c r="LUI55" s="15"/>
      <c r="LUJ55" s="15"/>
      <c r="LUK55" s="15"/>
      <c r="LUL55" s="15"/>
      <c r="LUM55" s="15"/>
      <c r="LUN55" s="15"/>
      <c r="LUO55" s="15"/>
      <c r="LUP55" s="15"/>
      <c r="LUQ55" s="15"/>
      <c r="LUR55" s="15"/>
      <c r="LUS55" s="15"/>
      <c r="LUT55" s="15"/>
      <c r="LUU55" s="15"/>
      <c r="LUV55" s="15"/>
      <c r="LUW55" s="15"/>
      <c r="LUX55" s="15"/>
      <c r="LUY55" s="15"/>
      <c r="LUZ55" s="15"/>
      <c r="LVA55" s="15"/>
      <c r="LVB55" s="15"/>
      <c r="LVC55" s="15"/>
      <c r="LVD55" s="15"/>
      <c r="LVE55" s="15"/>
      <c r="LVF55" s="15"/>
      <c r="LVG55" s="15"/>
      <c r="LVH55" s="15"/>
      <c r="LVI55" s="15"/>
      <c r="LVJ55" s="15"/>
      <c r="LVK55" s="15"/>
      <c r="LVL55" s="15"/>
      <c r="LVM55" s="15"/>
      <c r="LVN55" s="15"/>
      <c r="LVO55" s="15"/>
      <c r="LVP55" s="15"/>
      <c r="LVQ55" s="15"/>
      <c r="LVR55" s="15"/>
      <c r="LVS55" s="15"/>
      <c r="LVT55" s="15"/>
      <c r="LVU55" s="15"/>
      <c r="LVV55" s="15"/>
      <c r="LVW55" s="15"/>
      <c r="LVX55" s="15"/>
      <c r="LVY55" s="15"/>
      <c r="LVZ55" s="15"/>
      <c r="LWA55" s="15"/>
      <c r="LWB55" s="15"/>
      <c r="LWC55" s="15"/>
      <c r="LWD55" s="15"/>
      <c r="LWE55" s="15"/>
      <c r="LWF55" s="15"/>
      <c r="LWG55" s="15"/>
      <c r="LWH55" s="15"/>
      <c r="LWI55" s="15"/>
      <c r="LWJ55" s="15"/>
      <c r="LWK55" s="15"/>
      <c r="LWL55" s="15"/>
      <c r="LWM55" s="15"/>
      <c r="LWN55" s="15"/>
      <c r="LWO55" s="15"/>
      <c r="LWP55" s="15"/>
      <c r="LWQ55" s="15"/>
      <c r="LWR55" s="15"/>
      <c r="LWS55" s="15"/>
      <c r="LWT55" s="15"/>
      <c r="LWU55" s="15"/>
      <c r="LWV55" s="15"/>
      <c r="LWW55" s="15"/>
      <c r="LWX55" s="15"/>
      <c r="LWY55" s="15"/>
      <c r="LWZ55" s="15"/>
      <c r="LXA55" s="15"/>
      <c r="LXB55" s="15"/>
      <c r="LXC55" s="15"/>
      <c r="LXD55" s="15"/>
      <c r="LXE55" s="15"/>
      <c r="LXF55" s="15"/>
      <c r="LXG55" s="15"/>
      <c r="LXH55" s="15"/>
      <c r="LXI55" s="15"/>
      <c r="LXJ55" s="15"/>
      <c r="LXK55" s="15"/>
      <c r="LXL55" s="15"/>
      <c r="LXM55" s="15"/>
      <c r="LXN55" s="15"/>
      <c r="LXO55" s="15"/>
      <c r="LXP55" s="15"/>
      <c r="LXQ55" s="15"/>
      <c r="LXR55" s="15"/>
      <c r="LXS55" s="15"/>
      <c r="LXT55" s="15"/>
      <c r="LXU55" s="15"/>
      <c r="LXV55" s="15"/>
      <c r="LXW55" s="15"/>
      <c r="LXX55" s="15"/>
      <c r="LXY55" s="15"/>
      <c r="LXZ55" s="15"/>
      <c r="LYA55" s="15"/>
      <c r="LYB55" s="15"/>
      <c r="LYC55" s="15"/>
      <c r="LYD55" s="15"/>
      <c r="LYE55" s="15"/>
      <c r="LYF55" s="15"/>
      <c r="LYG55" s="15"/>
      <c r="LYH55" s="15"/>
      <c r="LYI55" s="15"/>
      <c r="LYJ55" s="15"/>
      <c r="LYK55" s="15"/>
      <c r="LYL55" s="15"/>
      <c r="LYM55" s="15"/>
      <c r="LYN55" s="15"/>
      <c r="LYO55" s="15"/>
      <c r="LYP55" s="15"/>
      <c r="LYQ55" s="15"/>
      <c r="LYR55" s="15"/>
      <c r="LYS55" s="15"/>
      <c r="LYT55" s="15"/>
      <c r="LYU55" s="15"/>
      <c r="LYV55" s="15"/>
      <c r="LYW55" s="15"/>
      <c r="LYX55" s="15"/>
      <c r="LYY55" s="15"/>
      <c r="LYZ55" s="15"/>
      <c r="LZA55" s="15"/>
      <c r="LZB55" s="15"/>
      <c r="LZC55" s="15"/>
      <c r="LZD55" s="15"/>
      <c r="LZE55" s="15"/>
      <c r="LZF55" s="15"/>
      <c r="LZG55" s="15"/>
      <c r="LZH55" s="15"/>
      <c r="LZI55" s="15"/>
      <c r="LZJ55" s="15"/>
      <c r="LZK55" s="15"/>
      <c r="LZL55" s="15"/>
      <c r="LZM55" s="15"/>
      <c r="LZN55" s="15"/>
      <c r="LZO55" s="15"/>
      <c r="LZP55" s="15"/>
      <c r="LZQ55" s="15"/>
      <c r="LZR55" s="15"/>
      <c r="LZS55" s="15"/>
      <c r="LZT55" s="15"/>
      <c r="LZU55" s="15"/>
      <c r="LZV55" s="15"/>
      <c r="LZW55" s="15"/>
      <c r="LZX55" s="15"/>
      <c r="LZY55" s="15"/>
      <c r="LZZ55" s="15"/>
      <c r="MAA55" s="15"/>
      <c r="MAB55" s="15"/>
      <c r="MAC55" s="15"/>
      <c r="MAD55" s="15"/>
      <c r="MAE55" s="15"/>
      <c r="MAF55" s="15"/>
      <c r="MAG55" s="15"/>
      <c r="MAH55" s="15"/>
      <c r="MAI55" s="15"/>
      <c r="MAJ55" s="15"/>
      <c r="MAK55" s="15"/>
      <c r="MAL55" s="15"/>
      <c r="MAM55" s="15"/>
      <c r="MAN55" s="15"/>
      <c r="MAO55" s="15"/>
      <c r="MAP55" s="15"/>
      <c r="MAQ55" s="15"/>
      <c r="MAR55" s="15"/>
      <c r="MAS55" s="15"/>
      <c r="MAT55" s="15"/>
      <c r="MAU55" s="15"/>
      <c r="MAV55" s="15"/>
      <c r="MAW55" s="15"/>
      <c r="MAX55" s="15"/>
      <c r="MAY55" s="15"/>
      <c r="MAZ55" s="15"/>
      <c r="MBA55" s="15"/>
      <c r="MBB55" s="15"/>
      <c r="MBC55" s="15"/>
      <c r="MBD55" s="15"/>
      <c r="MBE55" s="15"/>
      <c r="MBF55" s="15"/>
      <c r="MBG55" s="15"/>
      <c r="MBH55" s="15"/>
      <c r="MBI55" s="15"/>
      <c r="MBJ55" s="15"/>
      <c r="MBK55" s="15"/>
      <c r="MBL55" s="15"/>
      <c r="MBM55" s="15"/>
      <c r="MBN55" s="15"/>
      <c r="MBO55" s="15"/>
      <c r="MBP55" s="15"/>
      <c r="MBQ55" s="15"/>
      <c r="MBR55" s="15"/>
      <c r="MBS55" s="15"/>
      <c r="MBT55" s="15"/>
      <c r="MBU55" s="15"/>
      <c r="MBV55" s="15"/>
      <c r="MBW55" s="15"/>
      <c r="MBX55" s="15"/>
      <c r="MBY55" s="15"/>
      <c r="MBZ55" s="15"/>
      <c r="MCA55" s="15"/>
      <c r="MCB55" s="15"/>
      <c r="MCC55" s="15"/>
      <c r="MCD55" s="15"/>
      <c r="MCE55" s="15"/>
      <c r="MCF55" s="15"/>
      <c r="MCG55" s="15"/>
      <c r="MCH55" s="15"/>
      <c r="MCI55" s="15"/>
      <c r="MCJ55" s="15"/>
      <c r="MCK55" s="15"/>
      <c r="MCL55" s="15"/>
      <c r="MCM55" s="15"/>
      <c r="MCN55" s="15"/>
      <c r="MCO55" s="15"/>
      <c r="MCP55" s="15"/>
      <c r="MCQ55" s="15"/>
      <c r="MCR55" s="15"/>
      <c r="MCS55" s="15"/>
      <c r="MCT55" s="15"/>
      <c r="MCU55" s="15"/>
      <c r="MCV55" s="15"/>
      <c r="MCW55" s="15"/>
      <c r="MCX55" s="15"/>
      <c r="MCY55" s="15"/>
      <c r="MCZ55" s="15"/>
      <c r="MDA55" s="15"/>
      <c r="MDB55" s="15"/>
      <c r="MDC55" s="15"/>
      <c r="MDD55" s="15"/>
      <c r="MDE55" s="15"/>
      <c r="MDF55" s="15"/>
      <c r="MDG55" s="15"/>
      <c r="MDH55" s="15"/>
      <c r="MDI55" s="15"/>
      <c r="MDJ55" s="15"/>
      <c r="MDK55" s="15"/>
      <c r="MDL55" s="15"/>
      <c r="MDM55" s="15"/>
      <c r="MDN55" s="15"/>
      <c r="MDO55" s="15"/>
      <c r="MDP55" s="15"/>
      <c r="MDQ55" s="15"/>
      <c r="MDR55" s="15"/>
      <c r="MDS55" s="15"/>
      <c r="MDT55" s="15"/>
      <c r="MDU55" s="15"/>
      <c r="MDV55" s="15"/>
      <c r="MDW55" s="15"/>
      <c r="MDX55" s="15"/>
      <c r="MDY55" s="15"/>
      <c r="MDZ55" s="15"/>
      <c r="MEA55" s="15"/>
      <c r="MEB55" s="15"/>
      <c r="MEC55" s="15"/>
      <c r="MED55" s="15"/>
      <c r="MEE55" s="15"/>
      <c r="MEF55" s="15"/>
      <c r="MEG55" s="15"/>
      <c r="MEH55" s="15"/>
      <c r="MEI55" s="15"/>
      <c r="MEJ55" s="15"/>
      <c r="MEK55" s="15"/>
      <c r="MEL55" s="15"/>
      <c r="MEM55" s="15"/>
      <c r="MEN55" s="15"/>
      <c r="MEO55" s="15"/>
      <c r="MEP55" s="15"/>
      <c r="MEQ55" s="15"/>
      <c r="MER55" s="15"/>
      <c r="MES55" s="15"/>
      <c r="MET55" s="15"/>
      <c r="MEU55" s="15"/>
      <c r="MEV55" s="15"/>
      <c r="MEW55" s="15"/>
      <c r="MEX55" s="15"/>
      <c r="MEY55" s="15"/>
      <c r="MEZ55" s="15"/>
      <c r="MFA55" s="15"/>
      <c r="MFB55" s="15"/>
      <c r="MFC55" s="15"/>
      <c r="MFD55" s="15"/>
      <c r="MFE55" s="15"/>
      <c r="MFF55" s="15"/>
      <c r="MFG55" s="15"/>
      <c r="MFH55" s="15"/>
      <c r="MFI55" s="15"/>
      <c r="MFJ55" s="15"/>
      <c r="MFK55" s="15"/>
      <c r="MFL55" s="15"/>
      <c r="MFM55" s="15"/>
      <c r="MFN55" s="15"/>
      <c r="MFO55" s="15"/>
      <c r="MFP55" s="15"/>
      <c r="MFQ55" s="15"/>
      <c r="MFR55" s="15"/>
      <c r="MFS55" s="15"/>
      <c r="MFT55" s="15"/>
      <c r="MFU55" s="15"/>
      <c r="MFV55" s="15"/>
      <c r="MFW55" s="15"/>
      <c r="MFX55" s="15"/>
      <c r="MFY55" s="15"/>
      <c r="MFZ55" s="15"/>
      <c r="MGA55" s="15"/>
      <c r="MGB55" s="15"/>
      <c r="MGC55" s="15"/>
      <c r="MGD55" s="15"/>
      <c r="MGE55" s="15"/>
      <c r="MGF55" s="15"/>
      <c r="MGG55" s="15"/>
      <c r="MGH55" s="15"/>
      <c r="MGI55" s="15"/>
      <c r="MGJ55" s="15"/>
      <c r="MGK55" s="15"/>
      <c r="MGL55" s="15"/>
      <c r="MGM55" s="15"/>
      <c r="MGN55" s="15"/>
      <c r="MGO55" s="15"/>
      <c r="MGP55" s="15"/>
      <c r="MGQ55" s="15"/>
      <c r="MGR55" s="15"/>
      <c r="MGS55" s="15"/>
      <c r="MGT55" s="15"/>
      <c r="MGU55" s="15"/>
      <c r="MGV55" s="15"/>
      <c r="MGW55" s="15"/>
      <c r="MGX55" s="15"/>
      <c r="MGY55" s="15"/>
      <c r="MGZ55" s="15"/>
      <c r="MHA55" s="15"/>
      <c r="MHB55" s="15"/>
      <c r="MHC55" s="15"/>
      <c r="MHD55" s="15"/>
      <c r="MHE55" s="15"/>
      <c r="MHF55" s="15"/>
      <c r="MHG55" s="15"/>
      <c r="MHH55" s="15"/>
      <c r="MHI55" s="15"/>
      <c r="MHJ55" s="15"/>
      <c r="MHK55" s="15"/>
      <c r="MHL55" s="15"/>
      <c r="MHM55" s="15"/>
      <c r="MHN55" s="15"/>
      <c r="MHO55" s="15"/>
      <c r="MHP55" s="15"/>
      <c r="MHQ55" s="15"/>
      <c r="MHR55" s="15"/>
      <c r="MHS55" s="15"/>
      <c r="MHT55" s="15"/>
      <c r="MHU55" s="15"/>
      <c r="MHV55" s="15"/>
      <c r="MHW55" s="15"/>
      <c r="MHX55" s="15"/>
      <c r="MHY55" s="15"/>
      <c r="MHZ55" s="15"/>
      <c r="MIA55" s="15"/>
      <c r="MIB55" s="15"/>
      <c r="MIC55" s="15"/>
      <c r="MID55" s="15"/>
      <c r="MIE55" s="15"/>
      <c r="MIF55" s="15"/>
      <c r="MIG55" s="15"/>
      <c r="MIH55" s="15"/>
      <c r="MII55" s="15"/>
      <c r="MIJ55" s="15"/>
      <c r="MIK55" s="15"/>
      <c r="MIL55" s="15"/>
      <c r="MIM55" s="15"/>
      <c r="MIN55" s="15"/>
      <c r="MIO55" s="15"/>
      <c r="MIP55" s="15"/>
      <c r="MIQ55" s="15"/>
      <c r="MIR55" s="15"/>
      <c r="MIS55" s="15"/>
      <c r="MIT55" s="15"/>
      <c r="MIU55" s="15"/>
      <c r="MIV55" s="15"/>
      <c r="MIW55" s="15"/>
      <c r="MIX55" s="15"/>
      <c r="MIY55" s="15"/>
      <c r="MIZ55" s="15"/>
      <c r="MJA55" s="15"/>
      <c r="MJB55" s="15"/>
      <c r="MJC55" s="15"/>
      <c r="MJD55" s="15"/>
      <c r="MJE55" s="15"/>
      <c r="MJF55" s="15"/>
      <c r="MJG55" s="15"/>
      <c r="MJH55" s="15"/>
      <c r="MJI55" s="15"/>
      <c r="MJJ55" s="15"/>
      <c r="MJK55" s="15"/>
      <c r="MJL55" s="15"/>
      <c r="MJM55" s="15"/>
      <c r="MJN55" s="15"/>
      <c r="MJO55" s="15"/>
      <c r="MJP55" s="15"/>
      <c r="MJQ55" s="15"/>
      <c r="MJR55" s="15"/>
      <c r="MJS55" s="15"/>
      <c r="MJT55" s="15"/>
      <c r="MJU55" s="15"/>
      <c r="MJV55" s="15"/>
      <c r="MJW55" s="15"/>
      <c r="MJX55" s="15"/>
      <c r="MJY55" s="15"/>
      <c r="MJZ55" s="15"/>
      <c r="MKA55" s="15"/>
      <c r="MKB55" s="15"/>
      <c r="MKC55" s="15"/>
      <c r="MKD55" s="15"/>
      <c r="MKE55" s="15"/>
      <c r="MKF55" s="15"/>
      <c r="MKG55" s="15"/>
      <c r="MKH55" s="15"/>
      <c r="MKI55" s="15"/>
      <c r="MKJ55" s="15"/>
      <c r="MKK55" s="15"/>
      <c r="MKL55" s="15"/>
      <c r="MKM55" s="15"/>
      <c r="MKN55" s="15"/>
      <c r="MKO55" s="15"/>
      <c r="MKP55" s="15"/>
      <c r="MKQ55" s="15"/>
      <c r="MKR55" s="15"/>
      <c r="MKS55" s="15"/>
      <c r="MKT55" s="15"/>
      <c r="MKU55" s="15"/>
      <c r="MKV55" s="15"/>
      <c r="MKW55" s="15"/>
      <c r="MKX55" s="15"/>
      <c r="MKY55" s="15"/>
      <c r="MKZ55" s="15"/>
      <c r="MLA55" s="15"/>
      <c r="MLB55" s="15"/>
      <c r="MLC55" s="15"/>
      <c r="MLD55" s="15"/>
      <c r="MLE55" s="15"/>
      <c r="MLF55" s="15"/>
      <c r="MLG55" s="15"/>
      <c r="MLH55" s="15"/>
      <c r="MLI55" s="15"/>
      <c r="MLJ55" s="15"/>
      <c r="MLK55" s="15"/>
      <c r="MLL55" s="15"/>
      <c r="MLM55" s="15"/>
      <c r="MLN55" s="15"/>
      <c r="MLO55" s="15"/>
      <c r="MLP55" s="15"/>
      <c r="MLQ55" s="15"/>
      <c r="MLR55" s="15"/>
      <c r="MLS55" s="15"/>
      <c r="MLT55" s="15"/>
      <c r="MLU55" s="15"/>
      <c r="MLV55" s="15"/>
      <c r="MLW55" s="15"/>
      <c r="MLX55" s="15"/>
      <c r="MLY55" s="15"/>
      <c r="MLZ55" s="15"/>
      <c r="MMA55" s="15"/>
      <c r="MMB55" s="15"/>
      <c r="MMC55" s="15"/>
      <c r="MMD55" s="15"/>
      <c r="MME55" s="15"/>
      <c r="MMF55" s="15"/>
      <c r="MMG55" s="15"/>
      <c r="MMH55" s="15"/>
      <c r="MMI55" s="15"/>
      <c r="MMJ55" s="15"/>
      <c r="MMK55" s="15"/>
      <c r="MML55" s="15"/>
      <c r="MMM55" s="15"/>
      <c r="MMN55" s="15"/>
      <c r="MMO55" s="15"/>
      <c r="MMP55" s="15"/>
      <c r="MMQ55" s="15"/>
      <c r="MMR55" s="15"/>
      <c r="MMS55" s="15"/>
      <c r="MMT55" s="15"/>
      <c r="MMU55" s="15"/>
      <c r="MMV55" s="15"/>
      <c r="MMW55" s="15"/>
      <c r="MMX55" s="15"/>
      <c r="MMY55" s="15"/>
      <c r="MMZ55" s="15"/>
      <c r="MNA55" s="15"/>
      <c r="MNB55" s="15"/>
      <c r="MNC55" s="15"/>
      <c r="MND55" s="15"/>
      <c r="MNE55" s="15"/>
      <c r="MNF55" s="15"/>
      <c r="MNG55" s="15"/>
      <c r="MNH55" s="15"/>
      <c r="MNI55" s="15"/>
      <c r="MNJ55" s="15"/>
      <c r="MNK55" s="15"/>
      <c r="MNL55" s="15"/>
      <c r="MNM55" s="15"/>
      <c r="MNN55" s="15"/>
      <c r="MNO55" s="15"/>
      <c r="MNP55" s="15"/>
      <c r="MNQ55" s="15"/>
      <c r="MNR55" s="15"/>
      <c r="MNS55" s="15"/>
      <c r="MNT55" s="15"/>
      <c r="MNU55" s="15"/>
      <c r="MNV55" s="15"/>
      <c r="MNW55" s="15"/>
      <c r="MNX55" s="15"/>
      <c r="MNY55" s="15"/>
      <c r="MNZ55" s="15"/>
      <c r="MOA55" s="15"/>
      <c r="MOB55" s="15"/>
      <c r="MOC55" s="15"/>
      <c r="MOD55" s="15"/>
      <c r="MOE55" s="15"/>
      <c r="MOF55" s="15"/>
      <c r="MOG55" s="15"/>
      <c r="MOH55" s="15"/>
      <c r="MOI55" s="15"/>
      <c r="MOJ55" s="15"/>
      <c r="MOK55" s="15"/>
      <c r="MOL55" s="15"/>
      <c r="MOM55" s="15"/>
      <c r="MON55" s="15"/>
      <c r="MOO55" s="15"/>
      <c r="MOP55" s="15"/>
      <c r="MOQ55" s="15"/>
      <c r="MOR55" s="15"/>
      <c r="MOS55" s="15"/>
      <c r="MOT55" s="15"/>
      <c r="MOU55" s="15"/>
      <c r="MOV55" s="15"/>
      <c r="MOW55" s="15"/>
      <c r="MOX55" s="15"/>
      <c r="MOY55" s="15"/>
      <c r="MOZ55" s="15"/>
      <c r="MPA55" s="15"/>
      <c r="MPB55" s="15"/>
      <c r="MPC55" s="15"/>
      <c r="MPD55" s="15"/>
      <c r="MPE55" s="15"/>
      <c r="MPF55" s="15"/>
      <c r="MPG55" s="15"/>
      <c r="MPH55" s="15"/>
      <c r="MPI55" s="15"/>
      <c r="MPJ55" s="15"/>
      <c r="MPK55" s="15"/>
      <c r="MPL55" s="15"/>
      <c r="MPM55" s="15"/>
      <c r="MPN55" s="15"/>
      <c r="MPO55" s="15"/>
      <c r="MPP55" s="15"/>
      <c r="MPQ55" s="15"/>
      <c r="MPR55" s="15"/>
      <c r="MPS55" s="15"/>
      <c r="MPT55" s="15"/>
      <c r="MPU55" s="15"/>
      <c r="MPV55" s="15"/>
      <c r="MPW55" s="15"/>
      <c r="MPX55" s="15"/>
      <c r="MPY55" s="15"/>
      <c r="MPZ55" s="15"/>
      <c r="MQA55" s="15"/>
      <c r="MQB55" s="15"/>
      <c r="MQC55" s="15"/>
      <c r="MQD55" s="15"/>
      <c r="MQE55" s="15"/>
      <c r="MQF55" s="15"/>
      <c r="MQG55" s="15"/>
      <c r="MQH55" s="15"/>
      <c r="MQI55" s="15"/>
      <c r="MQJ55" s="15"/>
      <c r="MQK55" s="15"/>
      <c r="MQL55" s="15"/>
      <c r="MQM55" s="15"/>
      <c r="MQN55" s="15"/>
      <c r="MQO55" s="15"/>
      <c r="MQP55" s="15"/>
      <c r="MQQ55" s="15"/>
      <c r="MQR55" s="15"/>
      <c r="MQS55" s="15"/>
      <c r="MQT55" s="15"/>
      <c r="MQU55" s="15"/>
      <c r="MQV55" s="15"/>
      <c r="MQW55" s="15"/>
      <c r="MQX55" s="15"/>
      <c r="MQY55" s="15"/>
      <c r="MQZ55" s="15"/>
      <c r="MRA55" s="15"/>
      <c r="MRB55" s="15"/>
      <c r="MRC55" s="15"/>
      <c r="MRD55" s="15"/>
      <c r="MRE55" s="15"/>
      <c r="MRF55" s="15"/>
      <c r="MRG55" s="15"/>
      <c r="MRH55" s="15"/>
      <c r="MRI55" s="15"/>
      <c r="MRJ55" s="15"/>
      <c r="MRK55" s="15"/>
      <c r="MRL55" s="15"/>
      <c r="MRM55" s="15"/>
      <c r="MRN55" s="15"/>
      <c r="MRO55" s="15"/>
      <c r="MRP55" s="15"/>
      <c r="MRQ55" s="15"/>
      <c r="MRR55" s="15"/>
      <c r="MRS55" s="15"/>
      <c r="MRT55" s="15"/>
      <c r="MRU55" s="15"/>
      <c r="MRV55" s="15"/>
      <c r="MRW55" s="15"/>
      <c r="MRX55" s="15"/>
      <c r="MRY55" s="15"/>
      <c r="MRZ55" s="15"/>
      <c r="MSA55" s="15"/>
      <c r="MSB55" s="15"/>
      <c r="MSC55" s="15"/>
      <c r="MSD55" s="15"/>
      <c r="MSE55" s="15"/>
      <c r="MSF55" s="15"/>
      <c r="MSG55" s="15"/>
      <c r="MSH55" s="15"/>
      <c r="MSI55" s="15"/>
      <c r="MSJ55" s="15"/>
      <c r="MSK55" s="15"/>
      <c r="MSL55" s="15"/>
      <c r="MSM55" s="15"/>
      <c r="MSN55" s="15"/>
      <c r="MSO55" s="15"/>
      <c r="MSP55" s="15"/>
      <c r="MSQ55" s="15"/>
      <c r="MSR55" s="15"/>
      <c r="MSS55" s="15"/>
      <c r="MST55" s="15"/>
      <c r="MSU55" s="15"/>
      <c r="MSV55" s="15"/>
      <c r="MSW55" s="15"/>
      <c r="MSX55" s="15"/>
      <c r="MSY55" s="15"/>
      <c r="MSZ55" s="15"/>
      <c r="MTA55" s="15"/>
      <c r="MTB55" s="15"/>
      <c r="MTC55" s="15"/>
      <c r="MTD55" s="15"/>
      <c r="MTE55" s="15"/>
      <c r="MTF55" s="15"/>
      <c r="MTG55" s="15"/>
      <c r="MTH55" s="15"/>
      <c r="MTI55" s="15"/>
      <c r="MTJ55" s="15"/>
      <c r="MTK55" s="15"/>
      <c r="MTL55" s="15"/>
      <c r="MTM55" s="15"/>
      <c r="MTN55" s="15"/>
      <c r="MTO55" s="15"/>
      <c r="MTP55" s="15"/>
      <c r="MTQ55" s="15"/>
      <c r="MTR55" s="15"/>
      <c r="MTS55" s="15"/>
      <c r="MTT55" s="15"/>
      <c r="MTU55" s="15"/>
      <c r="MTV55" s="15"/>
      <c r="MTW55" s="15"/>
      <c r="MTX55" s="15"/>
      <c r="MTY55" s="15"/>
      <c r="MTZ55" s="15"/>
      <c r="MUA55" s="15"/>
      <c r="MUB55" s="15"/>
      <c r="MUC55" s="15"/>
      <c r="MUD55" s="15"/>
      <c r="MUE55" s="15"/>
      <c r="MUF55" s="15"/>
      <c r="MUG55" s="15"/>
      <c r="MUH55" s="15"/>
      <c r="MUI55" s="15"/>
      <c r="MUJ55" s="15"/>
      <c r="MUK55" s="15"/>
      <c r="MUL55" s="15"/>
      <c r="MUM55" s="15"/>
      <c r="MUN55" s="15"/>
      <c r="MUO55" s="15"/>
      <c r="MUP55" s="15"/>
      <c r="MUQ55" s="15"/>
      <c r="MUR55" s="15"/>
      <c r="MUS55" s="15"/>
      <c r="MUT55" s="15"/>
      <c r="MUU55" s="15"/>
      <c r="MUV55" s="15"/>
      <c r="MUW55" s="15"/>
      <c r="MUX55" s="15"/>
      <c r="MUY55" s="15"/>
      <c r="MUZ55" s="15"/>
      <c r="MVA55" s="15"/>
      <c r="MVB55" s="15"/>
      <c r="MVC55" s="15"/>
      <c r="MVD55" s="15"/>
      <c r="MVE55" s="15"/>
      <c r="MVF55" s="15"/>
      <c r="MVG55" s="15"/>
      <c r="MVH55" s="15"/>
      <c r="MVI55" s="15"/>
      <c r="MVJ55" s="15"/>
      <c r="MVK55" s="15"/>
      <c r="MVL55" s="15"/>
      <c r="MVM55" s="15"/>
      <c r="MVN55" s="15"/>
      <c r="MVO55" s="15"/>
      <c r="MVP55" s="15"/>
      <c r="MVQ55" s="15"/>
      <c r="MVR55" s="15"/>
      <c r="MVS55" s="15"/>
      <c r="MVT55" s="15"/>
      <c r="MVU55" s="15"/>
      <c r="MVV55" s="15"/>
      <c r="MVW55" s="15"/>
      <c r="MVX55" s="15"/>
      <c r="MVY55" s="15"/>
      <c r="MVZ55" s="15"/>
      <c r="MWA55" s="15"/>
      <c r="MWB55" s="15"/>
      <c r="MWC55" s="15"/>
      <c r="MWD55" s="15"/>
      <c r="MWE55" s="15"/>
      <c r="MWF55" s="15"/>
      <c r="MWG55" s="15"/>
      <c r="MWH55" s="15"/>
      <c r="MWI55" s="15"/>
      <c r="MWJ55" s="15"/>
      <c r="MWK55" s="15"/>
      <c r="MWL55" s="15"/>
      <c r="MWM55" s="15"/>
      <c r="MWN55" s="15"/>
      <c r="MWO55" s="15"/>
      <c r="MWP55" s="15"/>
      <c r="MWQ55" s="15"/>
      <c r="MWR55" s="15"/>
      <c r="MWS55" s="15"/>
      <c r="MWT55" s="15"/>
      <c r="MWU55" s="15"/>
      <c r="MWV55" s="15"/>
      <c r="MWW55" s="15"/>
      <c r="MWX55" s="15"/>
      <c r="MWY55" s="15"/>
      <c r="MWZ55" s="15"/>
      <c r="MXA55" s="15"/>
      <c r="MXB55" s="15"/>
      <c r="MXC55" s="15"/>
      <c r="MXD55" s="15"/>
      <c r="MXE55" s="15"/>
      <c r="MXF55" s="15"/>
      <c r="MXG55" s="15"/>
      <c r="MXH55" s="15"/>
      <c r="MXI55" s="15"/>
      <c r="MXJ55" s="15"/>
      <c r="MXK55" s="15"/>
      <c r="MXL55" s="15"/>
      <c r="MXM55" s="15"/>
      <c r="MXN55" s="15"/>
      <c r="MXO55" s="15"/>
      <c r="MXP55" s="15"/>
      <c r="MXQ55" s="15"/>
      <c r="MXR55" s="15"/>
      <c r="MXS55" s="15"/>
      <c r="MXT55" s="15"/>
      <c r="MXU55" s="15"/>
      <c r="MXV55" s="15"/>
      <c r="MXW55" s="15"/>
      <c r="MXX55" s="15"/>
      <c r="MXY55" s="15"/>
      <c r="MXZ55" s="15"/>
      <c r="MYA55" s="15"/>
      <c r="MYB55" s="15"/>
      <c r="MYC55" s="15"/>
      <c r="MYD55" s="15"/>
      <c r="MYE55" s="15"/>
      <c r="MYF55" s="15"/>
      <c r="MYG55" s="15"/>
      <c r="MYH55" s="15"/>
      <c r="MYI55" s="15"/>
      <c r="MYJ55" s="15"/>
      <c r="MYK55" s="15"/>
      <c r="MYL55" s="15"/>
      <c r="MYM55" s="15"/>
      <c r="MYN55" s="15"/>
      <c r="MYO55" s="15"/>
      <c r="MYP55" s="15"/>
      <c r="MYQ55" s="15"/>
      <c r="MYR55" s="15"/>
      <c r="MYS55" s="15"/>
      <c r="MYT55" s="15"/>
      <c r="MYU55" s="15"/>
      <c r="MYV55" s="15"/>
      <c r="MYW55" s="15"/>
      <c r="MYX55" s="15"/>
      <c r="MYY55" s="15"/>
      <c r="MYZ55" s="15"/>
      <c r="MZA55" s="15"/>
      <c r="MZB55" s="15"/>
      <c r="MZC55" s="15"/>
      <c r="MZD55" s="15"/>
      <c r="MZE55" s="15"/>
      <c r="MZF55" s="15"/>
      <c r="MZG55" s="15"/>
      <c r="MZH55" s="15"/>
      <c r="MZI55" s="15"/>
      <c r="MZJ55" s="15"/>
      <c r="MZK55" s="15"/>
      <c r="MZL55" s="15"/>
      <c r="MZM55" s="15"/>
      <c r="MZN55" s="15"/>
      <c r="MZO55" s="15"/>
      <c r="MZP55" s="15"/>
      <c r="MZQ55" s="15"/>
      <c r="MZR55" s="15"/>
      <c r="MZS55" s="15"/>
      <c r="MZT55" s="15"/>
      <c r="MZU55" s="15"/>
      <c r="MZV55" s="15"/>
      <c r="MZW55" s="15"/>
      <c r="MZX55" s="15"/>
      <c r="MZY55" s="15"/>
      <c r="MZZ55" s="15"/>
      <c r="NAA55" s="15"/>
      <c r="NAB55" s="15"/>
      <c r="NAC55" s="15"/>
      <c r="NAD55" s="15"/>
      <c r="NAE55" s="15"/>
      <c r="NAF55" s="15"/>
      <c r="NAG55" s="15"/>
      <c r="NAH55" s="15"/>
      <c r="NAI55" s="15"/>
      <c r="NAJ55" s="15"/>
      <c r="NAK55" s="15"/>
      <c r="NAL55" s="15"/>
      <c r="NAM55" s="15"/>
      <c r="NAN55" s="15"/>
      <c r="NAO55" s="15"/>
      <c r="NAP55" s="15"/>
      <c r="NAQ55" s="15"/>
      <c r="NAR55" s="15"/>
      <c r="NAS55" s="15"/>
      <c r="NAT55" s="15"/>
      <c r="NAU55" s="15"/>
      <c r="NAV55" s="15"/>
      <c r="NAW55" s="15"/>
      <c r="NAX55" s="15"/>
      <c r="NAY55" s="15"/>
      <c r="NAZ55" s="15"/>
      <c r="NBA55" s="15"/>
      <c r="NBB55" s="15"/>
      <c r="NBC55" s="15"/>
      <c r="NBD55" s="15"/>
      <c r="NBE55" s="15"/>
      <c r="NBF55" s="15"/>
      <c r="NBG55" s="15"/>
      <c r="NBH55" s="15"/>
      <c r="NBI55" s="15"/>
      <c r="NBJ55" s="15"/>
      <c r="NBK55" s="15"/>
      <c r="NBL55" s="15"/>
      <c r="NBM55" s="15"/>
      <c r="NBN55" s="15"/>
      <c r="NBO55" s="15"/>
      <c r="NBP55" s="15"/>
      <c r="NBQ55" s="15"/>
      <c r="NBR55" s="15"/>
      <c r="NBS55" s="15"/>
      <c r="NBT55" s="15"/>
      <c r="NBU55" s="15"/>
      <c r="NBV55" s="15"/>
      <c r="NBW55" s="15"/>
      <c r="NBX55" s="15"/>
      <c r="NBY55" s="15"/>
      <c r="NBZ55" s="15"/>
      <c r="NCA55" s="15"/>
      <c r="NCB55" s="15"/>
      <c r="NCC55" s="15"/>
      <c r="NCD55" s="15"/>
      <c r="NCE55" s="15"/>
      <c r="NCF55" s="15"/>
      <c r="NCG55" s="15"/>
      <c r="NCH55" s="15"/>
      <c r="NCI55" s="15"/>
      <c r="NCJ55" s="15"/>
      <c r="NCK55" s="15"/>
      <c r="NCL55" s="15"/>
      <c r="NCM55" s="15"/>
      <c r="NCN55" s="15"/>
      <c r="NCO55" s="15"/>
      <c r="NCP55" s="15"/>
      <c r="NCQ55" s="15"/>
      <c r="NCR55" s="15"/>
      <c r="NCS55" s="15"/>
      <c r="NCT55" s="15"/>
      <c r="NCU55" s="15"/>
      <c r="NCV55" s="15"/>
      <c r="NCW55" s="15"/>
      <c r="NCX55" s="15"/>
      <c r="NCY55" s="15"/>
      <c r="NCZ55" s="15"/>
      <c r="NDA55" s="15"/>
      <c r="NDB55" s="15"/>
      <c r="NDC55" s="15"/>
      <c r="NDD55" s="15"/>
      <c r="NDE55" s="15"/>
      <c r="NDF55" s="15"/>
      <c r="NDG55" s="15"/>
      <c r="NDH55" s="15"/>
      <c r="NDI55" s="15"/>
      <c r="NDJ55" s="15"/>
      <c r="NDK55" s="15"/>
      <c r="NDL55" s="15"/>
      <c r="NDM55" s="15"/>
      <c r="NDN55" s="15"/>
      <c r="NDO55" s="15"/>
      <c r="NDP55" s="15"/>
      <c r="NDQ55" s="15"/>
      <c r="NDR55" s="15"/>
      <c r="NDS55" s="15"/>
      <c r="NDT55" s="15"/>
      <c r="NDU55" s="15"/>
      <c r="NDV55" s="15"/>
      <c r="NDW55" s="15"/>
      <c r="NDX55" s="15"/>
      <c r="NDY55" s="15"/>
      <c r="NDZ55" s="15"/>
      <c r="NEA55" s="15"/>
      <c r="NEB55" s="15"/>
      <c r="NEC55" s="15"/>
      <c r="NED55" s="15"/>
      <c r="NEE55" s="15"/>
      <c r="NEF55" s="15"/>
      <c r="NEG55" s="15"/>
      <c r="NEH55" s="15"/>
      <c r="NEI55" s="15"/>
      <c r="NEJ55" s="15"/>
      <c r="NEK55" s="15"/>
      <c r="NEL55" s="15"/>
      <c r="NEM55" s="15"/>
      <c r="NEN55" s="15"/>
      <c r="NEO55" s="15"/>
      <c r="NEP55" s="15"/>
      <c r="NEQ55" s="15"/>
      <c r="NER55" s="15"/>
      <c r="NES55" s="15"/>
      <c r="NET55" s="15"/>
      <c r="NEU55" s="15"/>
      <c r="NEV55" s="15"/>
      <c r="NEW55" s="15"/>
      <c r="NEX55" s="15"/>
      <c r="NEY55" s="15"/>
      <c r="NEZ55" s="15"/>
      <c r="NFA55" s="15"/>
      <c r="NFB55" s="15"/>
      <c r="NFC55" s="15"/>
      <c r="NFD55" s="15"/>
      <c r="NFE55" s="15"/>
      <c r="NFF55" s="15"/>
      <c r="NFG55" s="15"/>
      <c r="NFH55" s="15"/>
      <c r="NFI55" s="15"/>
      <c r="NFJ55" s="15"/>
      <c r="NFK55" s="15"/>
      <c r="NFL55" s="15"/>
      <c r="NFM55" s="15"/>
      <c r="NFN55" s="15"/>
      <c r="NFO55" s="15"/>
      <c r="NFP55" s="15"/>
      <c r="NFQ55" s="15"/>
      <c r="NFR55" s="15"/>
      <c r="NFS55" s="15"/>
      <c r="NFT55" s="15"/>
      <c r="NFU55" s="15"/>
      <c r="NFV55" s="15"/>
      <c r="NFW55" s="15"/>
      <c r="NFX55" s="15"/>
      <c r="NFY55" s="15"/>
      <c r="NFZ55" s="15"/>
      <c r="NGA55" s="15"/>
      <c r="NGB55" s="15"/>
      <c r="NGC55" s="15"/>
      <c r="NGD55" s="15"/>
      <c r="NGE55" s="15"/>
      <c r="NGF55" s="15"/>
      <c r="NGG55" s="15"/>
      <c r="NGH55" s="15"/>
      <c r="NGI55" s="15"/>
      <c r="NGJ55" s="15"/>
      <c r="NGK55" s="15"/>
      <c r="NGL55" s="15"/>
      <c r="NGM55" s="15"/>
      <c r="NGN55" s="15"/>
      <c r="NGO55" s="15"/>
      <c r="NGP55" s="15"/>
      <c r="NGQ55" s="15"/>
      <c r="NGR55" s="15"/>
      <c r="NGS55" s="15"/>
      <c r="NGT55" s="15"/>
      <c r="NGU55" s="15"/>
      <c r="NGV55" s="15"/>
      <c r="NGW55" s="15"/>
      <c r="NGX55" s="15"/>
      <c r="NGY55" s="15"/>
      <c r="NGZ55" s="15"/>
      <c r="NHA55" s="15"/>
      <c r="NHB55" s="15"/>
      <c r="NHC55" s="15"/>
      <c r="NHD55" s="15"/>
      <c r="NHE55" s="15"/>
      <c r="NHF55" s="15"/>
      <c r="NHG55" s="15"/>
      <c r="NHH55" s="15"/>
      <c r="NHI55" s="15"/>
      <c r="NHJ55" s="15"/>
      <c r="NHK55" s="15"/>
      <c r="NHL55" s="15"/>
      <c r="NHM55" s="15"/>
      <c r="NHN55" s="15"/>
      <c r="NHO55" s="15"/>
      <c r="NHP55" s="15"/>
      <c r="NHQ55" s="15"/>
      <c r="NHR55" s="15"/>
      <c r="NHS55" s="15"/>
      <c r="NHT55" s="15"/>
      <c r="NHU55" s="15"/>
      <c r="NHV55" s="15"/>
      <c r="NHW55" s="15"/>
      <c r="NHX55" s="15"/>
      <c r="NHY55" s="15"/>
      <c r="NHZ55" s="15"/>
      <c r="NIA55" s="15"/>
      <c r="NIB55" s="15"/>
      <c r="NIC55" s="15"/>
      <c r="NID55" s="15"/>
      <c r="NIE55" s="15"/>
      <c r="NIF55" s="15"/>
      <c r="NIG55" s="15"/>
      <c r="NIH55" s="15"/>
      <c r="NII55" s="15"/>
      <c r="NIJ55" s="15"/>
      <c r="NIK55" s="15"/>
      <c r="NIL55" s="15"/>
      <c r="NIM55" s="15"/>
      <c r="NIN55" s="15"/>
      <c r="NIO55" s="15"/>
      <c r="NIP55" s="15"/>
      <c r="NIQ55" s="15"/>
      <c r="NIR55" s="15"/>
      <c r="NIS55" s="15"/>
      <c r="NIT55" s="15"/>
      <c r="NIU55" s="15"/>
      <c r="NIV55" s="15"/>
      <c r="NIW55" s="15"/>
      <c r="NIX55" s="15"/>
      <c r="NIY55" s="15"/>
      <c r="NIZ55" s="15"/>
      <c r="NJA55" s="15"/>
      <c r="NJB55" s="15"/>
      <c r="NJC55" s="15"/>
      <c r="NJD55" s="15"/>
      <c r="NJE55" s="15"/>
      <c r="NJF55" s="15"/>
      <c r="NJG55" s="15"/>
      <c r="NJH55" s="15"/>
      <c r="NJI55" s="15"/>
      <c r="NJJ55" s="15"/>
      <c r="NJK55" s="15"/>
      <c r="NJL55" s="15"/>
      <c r="NJM55" s="15"/>
      <c r="NJN55" s="15"/>
      <c r="NJO55" s="15"/>
      <c r="NJP55" s="15"/>
      <c r="NJQ55" s="15"/>
      <c r="NJR55" s="15"/>
      <c r="NJS55" s="15"/>
      <c r="NJT55" s="15"/>
      <c r="NJU55" s="15"/>
      <c r="NJV55" s="15"/>
      <c r="NJW55" s="15"/>
      <c r="NJX55" s="15"/>
      <c r="NJY55" s="15"/>
      <c r="NJZ55" s="15"/>
      <c r="NKA55" s="15"/>
      <c r="NKB55" s="15"/>
      <c r="NKC55" s="15"/>
      <c r="NKD55" s="15"/>
      <c r="NKE55" s="15"/>
      <c r="NKF55" s="15"/>
      <c r="NKG55" s="15"/>
      <c r="NKH55" s="15"/>
      <c r="NKI55" s="15"/>
      <c r="NKJ55" s="15"/>
      <c r="NKK55" s="15"/>
      <c r="NKL55" s="15"/>
      <c r="NKM55" s="15"/>
      <c r="NKN55" s="15"/>
      <c r="NKO55" s="15"/>
      <c r="NKP55" s="15"/>
      <c r="NKQ55" s="15"/>
      <c r="NKR55" s="15"/>
      <c r="NKS55" s="15"/>
      <c r="NKT55" s="15"/>
      <c r="NKU55" s="15"/>
      <c r="NKV55" s="15"/>
      <c r="NKW55" s="15"/>
      <c r="NKX55" s="15"/>
      <c r="NKY55" s="15"/>
      <c r="NKZ55" s="15"/>
      <c r="NLA55" s="15"/>
      <c r="NLB55" s="15"/>
      <c r="NLC55" s="15"/>
      <c r="NLD55" s="15"/>
      <c r="NLE55" s="15"/>
      <c r="NLF55" s="15"/>
      <c r="NLG55" s="15"/>
      <c r="NLH55" s="15"/>
      <c r="NLI55" s="15"/>
      <c r="NLJ55" s="15"/>
      <c r="NLK55" s="15"/>
      <c r="NLL55" s="15"/>
      <c r="NLM55" s="15"/>
      <c r="NLN55" s="15"/>
      <c r="NLO55" s="15"/>
      <c r="NLP55" s="15"/>
      <c r="NLQ55" s="15"/>
      <c r="NLR55" s="15"/>
      <c r="NLS55" s="15"/>
      <c r="NLT55" s="15"/>
      <c r="NLU55" s="15"/>
      <c r="NLV55" s="15"/>
      <c r="NLW55" s="15"/>
      <c r="NLX55" s="15"/>
      <c r="NLY55" s="15"/>
      <c r="NLZ55" s="15"/>
      <c r="NMA55" s="15"/>
      <c r="NMB55" s="15"/>
      <c r="NMC55" s="15"/>
      <c r="NMD55" s="15"/>
      <c r="NME55" s="15"/>
      <c r="NMF55" s="15"/>
      <c r="NMG55" s="15"/>
      <c r="NMH55" s="15"/>
      <c r="NMI55" s="15"/>
      <c r="NMJ55" s="15"/>
      <c r="NMK55" s="15"/>
      <c r="NML55" s="15"/>
      <c r="NMM55" s="15"/>
      <c r="NMN55" s="15"/>
      <c r="NMO55" s="15"/>
      <c r="NMP55" s="15"/>
      <c r="NMQ55" s="15"/>
      <c r="NMR55" s="15"/>
      <c r="NMS55" s="15"/>
      <c r="NMT55" s="15"/>
      <c r="NMU55" s="15"/>
      <c r="NMV55" s="15"/>
      <c r="NMW55" s="15"/>
      <c r="NMX55" s="15"/>
      <c r="NMY55" s="15"/>
      <c r="NMZ55" s="15"/>
      <c r="NNA55" s="15"/>
      <c r="NNB55" s="15"/>
      <c r="NNC55" s="15"/>
      <c r="NND55" s="15"/>
      <c r="NNE55" s="15"/>
      <c r="NNF55" s="15"/>
      <c r="NNG55" s="15"/>
      <c r="NNH55" s="15"/>
      <c r="NNI55" s="15"/>
      <c r="NNJ55" s="15"/>
      <c r="NNK55" s="15"/>
      <c r="NNL55" s="15"/>
      <c r="NNM55" s="15"/>
      <c r="NNN55" s="15"/>
      <c r="NNO55" s="15"/>
      <c r="NNP55" s="15"/>
      <c r="NNQ55" s="15"/>
      <c r="NNR55" s="15"/>
      <c r="NNS55" s="15"/>
      <c r="NNT55" s="15"/>
      <c r="NNU55" s="15"/>
      <c r="NNV55" s="15"/>
      <c r="NNW55" s="15"/>
      <c r="NNX55" s="15"/>
      <c r="NNY55" s="15"/>
      <c r="NNZ55" s="15"/>
      <c r="NOA55" s="15"/>
      <c r="NOB55" s="15"/>
      <c r="NOC55" s="15"/>
      <c r="NOD55" s="15"/>
      <c r="NOE55" s="15"/>
      <c r="NOF55" s="15"/>
      <c r="NOG55" s="15"/>
      <c r="NOH55" s="15"/>
      <c r="NOI55" s="15"/>
      <c r="NOJ55" s="15"/>
      <c r="NOK55" s="15"/>
      <c r="NOL55" s="15"/>
      <c r="NOM55" s="15"/>
      <c r="NON55" s="15"/>
      <c r="NOO55" s="15"/>
      <c r="NOP55" s="15"/>
      <c r="NOQ55" s="15"/>
      <c r="NOR55" s="15"/>
      <c r="NOS55" s="15"/>
      <c r="NOT55" s="15"/>
      <c r="NOU55" s="15"/>
      <c r="NOV55" s="15"/>
      <c r="NOW55" s="15"/>
      <c r="NOX55" s="15"/>
      <c r="NOY55" s="15"/>
      <c r="NOZ55" s="15"/>
      <c r="NPA55" s="15"/>
      <c r="NPB55" s="15"/>
      <c r="NPC55" s="15"/>
      <c r="NPD55" s="15"/>
      <c r="NPE55" s="15"/>
      <c r="NPF55" s="15"/>
      <c r="NPG55" s="15"/>
      <c r="NPH55" s="15"/>
      <c r="NPI55" s="15"/>
      <c r="NPJ55" s="15"/>
      <c r="NPK55" s="15"/>
      <c r="NPL55" s="15"/>
      <c r="NPM55" s="15"/>
      <c r="NPN55" s="15"/>
      <c r="NPO55" s="15"/>
      <c r="NPP55" s="15"/>
      <c r="NPQ55" s="15"/>
      <c r="NPR55" s="15"/>
      <c r="NPS55" s="15"/>
      <c r="NPT55" s="15"/>
      <c r="NPU55" s="15"/>
      <c r="NPV55" s="15"/>
      <c r="NPW55" s="15"/>
      <c r="NPX55" s="15"/>
      <c r="NPY55" s="15"/>
      <c r="NPZ55" s="15"/>
      <c r="NQA55" s="15"/>
      <c r="NQB55" s="15"/>
      <c r="NQC55" s="15"/>
      <c r="NQD55" s="15"/>
      <c r="NQE55" s="15"/>
      <c r="NQF55" s="15"/>
      <c r="NQG55" s="15"/>
      <c r="NQH55" s="15"/>
      <c r="NQI55" s="15"/>
      <c r="NQJ55" s="15"/>
      <c r="NQK55" s="15"/>
      <c r="NQL55" s="15"/>
      <c r="NQM55" s="15"/>
      <c r="NQN55" s="15"/>
      <c r="NQO55" s="15"/>
      <c r="NQP55" s="15"/>
      <c r="NQQ55" s="15"/>
      <c r="NQR55" s="15"/>
      <c r="NQS55" s="15"/>
      <c r="NQT55" s="15"/>
      <c r="NQU55" s="15"/>
      <c r="NQV55" s="15"/>
      <c r="NQW55" s="15"/>
      <c r="NQX55" s="15"/>
      <c r="NQY55" s="15"/>
      <c r="NQZ55" s="15"/>
      <c r="NRA55" s="15"/>
      <c r="NRB55" s="15"/>
      <c r="NRC55" s="15"/>
      <c r="NRD55" s="15"/>
      <c r="NRE55" s="15"/>
      <c r="NRF55" s="15"/>
      <c r="NRG55" s="15"/>
      <c r="NRH55" s="15"/>
      <c r="NRI55" s="15"/>
      <c r="NRJ55" s="15"/>
      <c r="NRK55" s="15"/>
      <c r="NRL55" s="15"/>
      <c r="NRM55" s="15"/>
      <c r="NRN55" s="15"/>
      <c r="NRO55" s="15"/>
      <c r="NRP55" s="15"/>
      <c r="NRQ55" s="15"/>
      <c r="NRR55" s="15"/>
      <c r="NRS55" s="15"/>
      <c r="NRT55" s="15"/>
      <c r="NRU55" s="15"/>
      <c r="NRV55" s="15"/>
      <c r="NRW55" s="15"/>
      <c r="NRX55" s="15"/>
      <c r="NRY55" s="15"/>
      <c r="NRZ55" s="15"/>
      <c r="NSA55" s="15"/>
      <c r="NSB55" s="15"/>
      <c r="NSC55" s="15"/>
      <c r="NSD55" s="15"/>
      <c r="NSE55" s="15"/>
      <c r="NSF55" s="15"/>
      <c r="NSG55" s="15"/>
      <c r="NSH55" s="15"/>
      <c r="NSI55" s="15"/>
      <c r="NSJ55" s="15"/>
      <c r="NSK55" s="15"/>
      <c r="NSL55" s="15"/>
      <c r="NSM55" s="15"/>
      <c r="NSN55" s="15"/>
      <c r="NSO55" s="15"/>
      <c r="NSP55" s="15"/>
      <c r="NSQ55" s="15"/>
      <c r="NSR55" s="15"/>
      <c r="NSS55" s="15"/>
      <c r="NST55" s="15"/>
      <c r="NSU55" s="15"/>
      <c r="NSV55" s="15"/>
      <c r="NSW55" s="15"/>
      <c r="NSX55" s="15"/>
      <c r="NSY55" s="15"/>
      <c r="NSZ55" s="15"/>
      <c r="NTA55" s="15"/>
      <c r="NTB55" s="15"/>
      <c r="NTC55" s="15"/>
      <c r="NTD55" s="15"/>
      <c r="NTE55" s="15"/>
      <c r="NTF55" s="15"/>
      <c r="NTG55" s="15"/>
      <c r="NTH55" s="15"/>
      <c r="NTI55" s="15"/>
      <c r="NTJ55" s="15"/>
      <c r="NTK55" s="15"/>
      <c r="NTL55" s="15"/>
      <c r="NTM55" s="15"/>
      <c r="NTN55" s="15"/>
      <c r="NTO55" s="15"/>
      <c r="NTP55" s="15"/>
      <c r="NTQ55" s="15"/>
      <c r="NTR55" s="15"/>
      <c r="NTS55" s="15"/>
      <c r="NTT55" s="15"/>
      <c r="NTU55" s="15"/>
      <c r="NTV55" s="15"/>
      <c r="NTW55" s="15"/>
      <c r="NTX55" s="15"/>
      <c r="NTY55" s="15"/>
      <c r="NTZ55" s="15"/>
      <c r="NUA55" s="15"/>
      <c r="NUB55" s="15"/>
      <c r="NUC55" s="15"/>
      <c r="NUD55" s="15"/>
      <c r="NUE55" s="15"/>
      <c r="NUF55" s="15"/>
      <c r="NUG55" s="15"/>
      <c r="NUH55" s="15"/>
      <c r="NUI55" s="15"/>
      <c r="NUJ55" s="15"/>
      <c r="NUK55" s="15"/>
      <c r="NUL55" s="15"/>
      <c r="NUM55" s="15"/>
      <c r="NUN55" s="15"/>
      <c r="NUO55" s="15"/>
      <c r="NUP55" s="15"/>
      <c r="NUQ55" s="15"/>
      <c r="NUR55" s="15"/>
      <c r="NUS55" s="15"/>
      <c r="NUT55" s="15"/>
      <c r="NUU55" s="15"/>
      <c r="NUV55" s="15"/>
      <c r="NUW55" s="15"/>
      <c r="NUX55" s="15"/>
      <c r="NUY55" s="15"/>
      <c r="NUZ55" s="15"/>
      <c r="NVA55" s="15"/>
      <c r="NVB55" s="15"/>
      <c r="NVC55" s="15"/>
      <c r="NVD55" s="15"/>
      <c r="NVE55" s="15"/>
      <c r="NVF55" s="15"/>
      <c r="NVG55" s="15"/>
      <c r="NVH55" s="15"/>
      <c r="NVI55" s="15"/>
      <c r="NVJ55" s="15"/>
      <c r="NVK55" s="15"/>
      <c r="NVL55" s="15"/>
      <c r="NVM55" s="15"/>
      <c r="NVN55" s="15"/>
      <c r="NVO55" s="15"/>
      <c r="NVP55" s="15"/>
      <c r="NVQ55" s="15"/>
      <c r="NVR55" s="15"/>
      <c r="NVS55" s="15"/>
      <c r="NVT55" s="15"/>
      <c r="NVU55" s="15"/>
      <c r="NVV55" s="15"/>
      <c r="NVW55" s="15"/>
      <c r="NVX55" s="15"/>
      <c r="NVY55" s="15"/>
      <c r="NVZ55" s="15"/>
      <c r="NWA55" s="15"/>
      <c r="NWB55" s="15"/>
      <c r="NWC55" s="15"/>
      <c r="NWD55" s="15"/>
      <c r="NWE55" s="15"/>
      <c r="NWF55" s="15"/>
      <c r="NWG55" s="15"/>
      <c r="NWH55" s="15"/>
      <c r="NWI55" s="15"/>
      <c r="NWJ55" s="15"/>
      <c r="NWK55" s="15"/>
      <c r="NWL55" s="15"/>
      <c r="NWM55" s="15"/>
      <c r="NWN55" s="15"/>
      <c r="NWO55" s="15"/>
      <c r="NWP55" s="15"/>
      <c r="NWQ55" s="15"/>
      <c r="NWR55" s="15"/>
      <c r="NWS55" s="15"/>
      <c r="NWT55" s="15"/>
      <c r="NWU55" s="15"/>
      <c r="NWV55" s="15"/>
      <c r="NWW55" s="15"/>
      <c r="NWX55" s="15"/>
      <c r="NWY55" s="15"/>
      <c r="NWZ55" s="15"/>
      <c r="NXA55" s="15"/>
      <c r="NXB55" s="15"/>
      <c r="NXC55" s="15"/>
      <c r="NXD55" s="15"/>
      <c r="NXE55" s="15"/>
      <c r="NXF55" s="15"/>
      <c r="NXG55" s="15"/>
      <c r="NXH55" s="15"/>
      <c r="NXI55" s="15"/>
      <c r="NXJ55" s="15"/>
      <c r="NXK55" s="15"/>
      <c r="NXL55" s="15"/>
      <c r="NXM55" s="15"/>
      <c r="NXN55" s="15"/>
      <c r="NXO55" s="15"/>
      <c r="NXP55" s="15"/>
      <c r="NXQ55" s="15"/>
      <c r="NXR55" s="15"/>
      <c r="NXS55" s="15"/>
      <c r="NXT55" s="15"/>
      <c r="NXU55" s="15"/>
      <c r="NXV55" s="15"/>
      <c r="NXW55" s="15"/>
      <c r="NXX55" s="15"/>
      <c r="NXY55" s="15"/>
      <c r="NXZ55" s="15"/>
      <c r="NYA55" s="15"/>
      <c r="NYB55" s="15"/>
      <c r="NYC55" s="15"/>
      <c r="NYD55" s="15"/>
      <c r="NYE55" s="15"/>
      <c r="NYF55" s="15"/>
      <c r="NYG55" s="15"/>
      <c r="NYH55" s="15"/>
      <c r="NYI55" s="15"/>
      <c r="NYJ55" s="15"/>
      <c r="NYK55" s="15"/>
      <c r="NYL55" s="15"/>
      <c r="NYM55" s="15"/>
      <c r="NYN55" s="15"/>
      <c r="NYO55" s="15"/>
      <c r="NYP55" s="15"/>
      <c r="NYQ55" s="15"/>
      <c r="NYR55" s="15"/>
      <c r="NYS55" s="15"/>
      <c r="NYT55" s="15"/>
      <c r="NYU55" s="15"/>
      <c r="NYV55" s="15"/>
      <c r="NYW55" s="15"/>
      <c r="NYX55" s="15"/>
      <c r="NYY55" s="15"/>
      <c r="NYZ55" s="15"/>
      <c r="NZA55" s="15"/>
      <c r="NZB55" s="15"/>
      <c r="NZC55" s="15"/>
      <c r="NZD55" s="15"/>
      <c r="NZE55" s="15"/>
      <c r="NZF55" s="15"/>
      <c r="NZG55" s="15"/>
      <c r="NZH55" s="15"/>
      <c r="NZI55" s="15"/>
      <c r="NZJ55" s="15"/>
      <c r="NZK55" s="15"/>
      <c r="NZL55" s="15"/>
      <c r="NZM55" s="15"/>
      <c r="NZN55" s="15"/>
      <c r="NZO55" s="15"/>
      <c r="NZP55" s="15"/>
      <c r="NZQ55" s="15"/>
      <c r="NZR55" s="15"/>
      <c r="NZS55" s="15"/>
      <c r="NZT55" s="15"/>
      <c r="NZU55" s="15"/>
      <c r="NZV55" s="15"/>
      <c r="NZW55" s="15"/>
      <c r="NZX55" s="15"/>
      <c r="NZY55" s="15"/>
      <c r="NZZ55" s="15"/>
      <c r="OAA55" s="15"/>
      <c r="OAB55" s="15"/>
      <c r="OAC55" s="15"/>
      <c r="OAD55" s="15"/>
      <c r="OAE55" s="15"/>
      <c r="OAF55" s="15"/>
      <c r="OAG55" s="15"/>
      <c r="OAH55" s="15"/>
      <c r="OAI55" s="15"/>
      <c r="OAJ55" s="15"/>
      <c r="OAK55" s="15"/>
      <c r="OAL55" s="15"/>
      <c r="OAM55" s="15"/>
      <c r="OAN55" s="15"/>
      <c r="OAO55" s="15"/>
      <c r="OAP55" s="15"/>
      <c r="OAQ55" s="15"/>
      <c r="OAR55" s="15"/>
      <c r="OAS55" s="15"/>
      <c r="OAT55" s="15"/>
      <c r="OAU55" s="15"/>
      <c r="OAV55" s="15"/>
      <c r="OAW55" s="15"/>
      <c r="OAX55" s="15"/>
      <c r="OAY55" s="15"/>
      <c r="OAZ55" s="15"/>
      <c r="OBA55" s="15"/>
      <c r="OBB55" s="15"/>
      <c r="OBC55" s="15"/>
      <c r="OBD55" s="15"/>
      <c r="OBE55" s="15"/>
      <c r="OBF55" s="15"/>
      <c r="OBG55" s="15"/>
      <c r="OBH55" s="15"/>
      <c r="OBI55" s="15"/>
      <c r="OBJ55" s="15"/>
      <c r="OBK55" s="15"/>
      <c r="OBL55" s="15"/>
      <c r="OBM55" s="15"/>
      <c r="OBN55" s="15"/>
      <c r="OBO55" s="15"/>
      <c r="OBP55" s="15"/>
      <c r="OBQ55" s="15"/>
      <c r="OBR55" s="15"/>
      <c r="OBS55" s="15"/>
      <c r="OBT55" s="15"/>
      <c r="OBU55" s="15"/>
      <c r="OBV55" s="15"/>
      <c r="OBW55" s="15"/>
      <c r="OBX55" s="15"/>
      <c r="OBY55" s="15"/>
      <c r="OBZ55" s="15"/>
      <c r="OCA55" s="15"/>
      <c r="OCB55" s="15"/>
      <c r="OCC55" s="15"/>
      <c r="OCD55" s="15"/>
      <c r="OCE55" s="15"/>
      <c r="OCF55" s="15"/>
      <c r="OCG55" s="15"/>
      <c r="OCH55" s="15"/>
      <c r="OCI55" s="15"/>
      <c r="OCJ55" s="15"/>
      <c r="OCK55" s="15"/>
      <c r="OCL55" s="15"/>
      <c r="OCM55" s="15"/>
      <c r="OCN55" s="15"/>
      <c r="OCO55" s="15"/>
      <c r="OCP55" s="15"/>
      <c r="OCQ55" s="15"/>
      <c r="OCR55" s="15"/>
      <c r="OCS55" s="15"/>
      <c r="OCT55" s="15"/>
      <c r="OCU55" s="15"/>
      <c r="OCV55" s="15"/>
      <c r="OCW55" s="15"/>
      <c r="OCX55" s="15"/>
      <c r="OCY55" s="15"/>
      <c r="OCZ55" s="15"/>
      <c r="ODA55" s="15"/>
      <c r="ODB55" s="15"/>
      <c r="ODC55" s="15"/>
      <c r="ODD55" s="15"/>
      <c r="ODE55" s="15"/>
      <c r="ODF55" s="15"/>
      <c r="ODG55" s="15"/>
      <c r="ODH55" s="15"/>
      <c r="ODI55" s="15"/>
      <c r="ODJ55" s="15"/>
      <c r="ODK55" s="15"/>
      <c r="ODL55" s="15"/>
      <c r="ODM55" s="15"/>
      <c r="ODN55" s="15"/>
      <c r="ODO55" s="15"/>
      <c r="ODP55" s="15"/>
      <c r="ODQ55" s="15"/>
      <c r="ODR55" s="15"/>
      <c r="ODS55" s="15"/>
      <c r="ODT55" s="15"/>
      <c r="ODU55" s="15"/>
      <c r="ODV55" s="15"/>
      <c r="ODW55" s="15"/>
      <c r="ODX55" s="15"/>
      <c r="ODY55" s="15"/>
      <c r="ODZ55" s="15"/>
      <c r="OEA55" s="15"/>
      <c r="OEB55" s="15"/>
      <c r="OEC55" s="15"/>
      <c r="OED55" s="15"/>
      <c r="OEE55" s="15"/>
      <c r="OEF55" s="15"/>
      <c r="OEG55" s="15"/>
      <c r="OEH55" s="15"/>
      <c r="OEI55" s="15"/>
      <c r="OEJ55" s="15"/>
      <c r="OEK55" s="15"/>
      <c r="OEL55" s="15"/>
      <c r="OEM55" s="15"/>
      <c r="OEN55" s="15"/>
      <c r="OEO55" s="15"/>
      <c r="OEP55" s="15"/>
      <c r="OEQ55" s="15"/>
      <c r="OER55" s="15"/>
      <c r="OES55" s="15"/>
      <c r="OET55" s="15"/>
      <c r="OEU55" s="15"/>
      <c r="OEV55" s="15"/>
      <c r="OEW55" s="15"/>
      <c r="OEX55" s="15"/>
      <c r="OEY55" s="15"/>
      <c r="OEZ55" s="15"/>
      <c r="OFA55" s="15"/>
      <c r="OFB55" s="15"/>
      <c r="OFC55" s="15"/>
      <c r="OFD55" s="15"/>
      <c r="OFE55" s="15"/>
      <c r="OFF55" s="15"/>
      <c r="OFG55" s="15"/>
      <c r="OFH55" s="15"/>
      <c r="OFI55" s="15"/>
      <c r="OFJ55" s="15"/>
      <c r="OFK55" s="15"/>
      <c r="OFL55" s="15"/>
      <c r="OFM55" s="15"/>
      <c r="OFN55" s="15"/>
      <c r="OFO55" s="15"/>
      <c r="OFP55" s="15"/>
      <c r="OFQ55" s="15"/>
      <c r="OFR55" s="15"/>
      <c r="OFS55" s="15"/>
      <c r="OFT55" s="15"/>
      <c r="OFU55" s="15"/>
      <c r="OFV55" s="15"/>
      <c r="OFW55" s="15"/>
      <c r="OFX55" s="15"/>
      <c r="OFY55" s="15"/>
      <c r="OFZ55" s="15"/>
      <c r="OGA55" s="15"/>
      <c r="OGB55" s="15"/>
      <c r="OGC55" s="15"/>
      <c r="OGD55" s="15"/>
      <c r="OGE55" s="15"/>
      <c r="OGF55" s="15"/>
      <c r="OGG55" s="15"/>
      <c r="OGH55" s="15"/>
      <c r="OGI55" s="15"/>
      <c r="OGJ55" s="15"/>
      <c r="OGK55" s="15"/>
      <c r="OGL55" s="15"/>
      <c r="OGM55" s="15"/>
      <c r="OGN55" s="15"/>
      <c r="OGO55" s="15"/>
      <c r="OGP55" s="15"/>
      <c r="OGQ55" s="15"/>
      <c r="OGR55" s="15"/>
      <c r="OGS55" s="15"/>
      <c r="OGT55" s="15"/>
      <c r="OGU55" s="15"/>
      <c r="OGV55" s="15"/>
      <c r="OGW55" s="15"/>
      <c r="OGX55" s="15"/>
      <c r="OGY55" s="15"/>
      <c r="OGZ55" s="15"/>
      <c r="OHA55" s="15"/>
      <c r="OHB55" s="15"/>
      <c r="OHC55" s="15"/>
      <c r="OHD55" s="15"/>
      <c r="OHE55" s="15"/>
      <c r="OHF55" s="15"/>
      <c r="OHG55" s="15"/>
      <c r="OHH55" s="15"/>
      <c r="OHI55" s="15"/>
      <c r="OHJ55" s="15"/>
      <c r="OHK55" s="15"/>
      <c r="OHL55" s="15"/>
      <c r="OHM55" s="15"/>
      <c r="OHN55" s="15"/>
      <c r="OHO55" s="15"/>
      <c r="OHP55" s="15"/>
      <c r="OHQ55" s="15"/>
      <c r="OHR55" s="15"/>
      <c r="OHS55" s="15"/>
      <c r="OHT55" s="15"/>
      <c r="OHU55" s="15"/>
      <c r="OHV55" s="15"/>
      <c r="OHW55" s="15"/>
      <c r="OHX55" s="15"/>
      <c r="OHY55" s="15"/>
      <c r="OHZ55" s="15"/>
      <c r="OIA55" s="15"/>
      <c r="OIB55" s="15"/>
      <c r="OIC55" s="15"/>
      <c r="OID55" s="15"/>
      <c r="OIE55" s="15"/>
      <c r="OIF55" s="15"/>
      <c r="OIG55" s="15"/>
      <c r="OIH55" s="15"/>
      <c r="OII55" s="15"/>
      <c r="OIJ55" s="15"/>
      <c r="OIK55" s="15"/>
      <c r="OIL55" s="15"/>
      <c r="OIM55" s="15"/>
      <c r="OIN55" s="15"/>
      <c r="OIO55" s="15"/>
      <c r="OIP55" s="15"/>
      <c r="OIQ55" s="15"/>
      <c r="OIR55" s="15"/>
      <c r="OIS55" s="15"/>
      <c r="OIT55" s="15"/>
      <c r="OIU55" s="15"/>
      <c r="OIV55" s="15"/>
      <c r="OIW55" s="15"/>
      <c r="OIX55" s="15"/>
      <c r="OIY55" s="15"/>
      <c r="OIZ55" s="15"/>
      <c r="OJA55" s="15"/>
      <c r="OJB55" s="15"/>
      <c r="OJC55" s="15"/>
      <c r="OJD55" s="15"/>
      <c r="OJE55" s="15"/>
      <c r="OJF55" s="15"/>
      <c r="OJG55" s="15"/>
      <c r="OJH55" s="15"/>
      <c r="OJI55" s="15"/>
      <c r="OJJ55" s="15"/>
      <c r="OJK55" s="15"/>
      <c r="OJL55" s="15"/>
      <c r="OJM55" s="15"/>
      <c r="OJN55" s="15"/>
      <c r="OJO55" s="15"/>
      <c r="OJP55" s="15"/>
      <c r="OJQ55" s="15"/>
      <c r="OJR55" s="15"/>
      <c r="OJS55" s="15"/>
      <c r="OJT55" s="15"/>
      <c r="OJU55" s="15"/>
      <c r="OJV55" s="15"/>
      <c r="OJW55" s="15"/>
      <c r="OJX55" s="15"/>
      <c r="OJY55" s="15"/>
      <c r="OJZ55" s="15"/>
      <c r="OKA55" s="15"/>
      <c r="OKB55" s="15"/>
      <c r="OKC55" s="15"/>
      <c r="OKD55" s="15"/>
      <c r="OKE55" s="15"/>
      <c r="OKF55" s="15"/>
      <c r="OKG55" s="15"/>
      <c r="OKH55" s="15"/>
      <c r="OKI55" s="15"/>
      <c r="OKJ55" s="15"/>
      <c r="OKK55" s="15"/>
      <c r="OKL55" s="15"/>
      <c r="OKM55" s="15"/>
      <c r="OKN55" s="15"/>
      <c r="OKO55" s="15"/>
      <c r="OKP55" s="15"/>
      <c r="OKQ55" s="15"/>
      <c r="OKR55" s="15"/>
      <c r="OKS55" s="15"/>
      <c r="OKT55" s="15"/>
      <c r="OKU55" s="15"/>
      <c r="OKV55" s="15"/>
      <c r="OKW55" s="15"/>
      <c r="OKX55" s="15"/>
      <c r="OKY55" s="15"/>
      <c r="OKZ55" s="15"/>
      <c r="OLA55" s="15"/>
      <c r="OLB55" s="15"/>
      <c r="OLC55" s="15"/>
      <c r="OLD55" s="15"/>
      <c r="OLE55" s="15"/>
      <c r="OLF55" s="15"/>
      <c r="OLG55" s="15"/>
      <c r="OLH55" s="15"/>
      <c r="OLI55" s="15"/>
      <c r="OLJ55" s="15"/>
      <c r="OLK55" s="15"/>
      <c r="OLL55" s="15"/>
      <c r="OLM55" s="15"/>
      <c r="OLN55" s="15"/>
      <c r="OLO55" s="15"/>
      <c r="OLP55" s="15"/>
      <c r="OLQ55" s="15"/>
      <c r="OLR55" s="15"/>
      <c r="OLS55" s="15"/>
      <c r="OLT55" s="15"/>
      <c r="OLU55" s="15"/>
      <c r="OLV55" s="15"/>
      <c r="OLW55" s="15"/>
      <c r="OLX55" s="15"/>
      <c r="OLY55" s="15"/>
      <c r="OLZ55" s="15"/>
      <c r="OMA55" s="15"/>
      <c r="OMB55" s="15"/>
      <c r="OMC55" s="15"/>
      <c r="OMD55" s="15"/>
      <c r="OME55" s="15"/>
      <c r="OMF55" s="15"/>
      <c r="OMG55" s="15"/>
      <c r="OMH55" s="15"/>
      <c r="OMI55" s="15"/>
      <c r="OMJ55" s="15"/>
      <c r="OMK55" s="15"/>
      <c r="OML55" s="15"/>
      <c r="OMM55" s="15"/>
      <c r="OMN55" s="15"/>
      <c r="OMO55" s="15"/>
      <c r="OMP55" s="15"/>
      <c r="OMQ55" s="15"/>
      <c r="OMR55" s="15"/>
      <c r="OMS55" s="15"/>
      <c r="OMT55" s="15"/>
      <c r="OMU55" s="15"/>
      <c r="OMV55" s="15"/>
      <c r="OMW55" s="15"/>
      <c r="OMX55" s="15"/>
      <c r="OMY55" s="15"/>
      <c r="OMZ55" s="15"/>
      <c r="ONA55" s="15"/>
      <c r="ONB55" s="15"/>
      <c r="ONC55" s="15"/>
      <c r="OND55" s="15"/>
      <c r="ONE55" s="15"/>
      <c r="ONF55" s="15"/>
      <c r="ONG55" s="15"/>
      <c r="ONH55" s="15"/>
      <c r="ONI55" s="15"/>
      <c r="ONJ55" s="15"/>
      <c r="ONK55" s="15"/>
      <c r="ONL55" s="15"/>
      <c r="ONM55" s="15"/>
      <c r="ONN55" s="15"/>
      <c r="ONO55" s="15"/>
      <c r="ONP55" s="15"/>
      <c r="ONQ55" s="15"/>
      <c r="ONR55" s="15"/>
      <c r="ONS55" s="15"/>
      <c r="ONT55" s="15"/>
      <c r="ONU55" s="15"/>
      <c r="ONV55" s="15"/>
      <c r="ONW55" s="15"/>
      <c r="ONX55" s="15"/>
      <c r="ONY55" s="15"/>
      <c r="ONZ55" s="15"/>
      <c r="OOA55" s="15"/>
      <c r="OOB55" s="15"/>
      <c r="OOC55" s="15"/>
      <c r="OOD55" s="15"/>
      <c r="OOE55" s="15"/>
      <c r="OOF55" s="15"/>
      <c r="OOG55" s="15"/>
      <c r="OOH55" s="15"/>
      <c r="OOI55" s="15"/>
      <c r="OOJ55" s="15"/>
      <c r="OOK55" s="15"/>
      <c r="OOL55" s="15"/>
      <c r="OOM55" s="15"/>
      <c r="OON55" s="15"/>
      <c r="OOO55" s="15"/>
      <c r="OOP55" s="15"/>
      <c r="OOQ55" s="15"/>
      <c r="OOR55" s="15"/>
      <c r="OOS55" s="15"/>
      <c r="OOT55" s="15"/>
      <c r="OOU55" s="15"/>
      <c r="OOV55" s="15"/>
      <c r="OOW55" s="15"/>
      <c r="OOX55" s="15"/>
      <c r="OOY55" s="15"/>
      <c r="OOZ55" s="15"/>
      <c r="OPA55" s="15"/>
      <c r="OPB55" s="15"/>
      <c r="OPC55" s="15"/>
      <c r="OPD55" s="15"/>
      <c r="OPE55" s="15"/>
      <c r="OPF55" s="15"/>
      <c r="OPG55" s="15"/>
      <c r="OPH55" s="15"/>
      <c r="OPI55" s="15"/>
      <c r="OPJ55" s="15"/>
      <c r="OPK55" s="15"/>
      <c r="OPL55" s="15"/>
      <c r="OPM55" s="15"/>
      <c r="OPN55" s="15"/>
      <c r="OPO55" s="15"/>
      <c r="OPP55" s="15"/>
      <c r="OPQ55" s="15"/>
      <c r="OPR55" s="15"/>
      <c r="OPS55" s="15"/>
      <c r="OPT55" s="15"/>
      <c r="OPU55" s="15"/>
      <c r="OPV55" s="15"/>
      <c r="OPW55" s="15"/>
      <c r="OPX55" s="15"/>
      <c r="OPY55" s="15"/>
      <c r="OPZ55" s="15"/>
      <c r="OQA55" s="15"/>
      <c r="OQB55" s="15"/>
      <c r="OQC55" s="15"/>
      <c r="OQD55" s="15"/>
      <c r="OQE55" s="15"/>
      <c r="OQF55" s="15"/>
      <c r="OQG55" s="15"/>
      <c r="OQH55" s="15"/>
      <c r="OQI55" s="15"/>
      <c r="OQJ55" s="15"/>
      <c r="OQK55" s="15"/>
      <c r="OQL55" s="15"/>
      <c r="OQM55" s="15"/>
      <c r="OQN55" s="15"/>
      <c r="OQO55" s="15"/>
      <c r="OQP55" s="15"/>
      <c r="OQQ55" s="15"/>
      <c r="OQR55" s="15"/>
      <c r="OQS55" s="15"/>
      <c r="OQT55" s="15"/>
      <c r="OQU55" s="15"/>
      <c r="OQV55" s="15"/>
      <c r="OQW55" s="15"/>
      <c r="OQX55" s="15"/>
      <c r="OQY55" s="15"/>
      <c r="OQZ55" s="15"/>
      <c r="ORA55" s="15"/>
      <c r="ORB55" s="15"/>
      <c r="ORC55" s="15"/>
      <c r="ORD55" s="15"/>
      <c r="ORE55" s="15"/>
      <c r="ORF55" s="15"/>
      <c r="ORG55" s="15"/>
      <c r="ORH55" s="15"/>
      <c r="ORI55" s="15"/>
      <c r="ORJ55" s="15"/>
      <c r="ORK55" s="15"/>
      <c r="ORL55" s="15"/>
      <c r="ORM55" s="15"/>
      <c r="ORN55" s="15"/>
      <c r="ORO55" s="15"/>
      <c r="ORP55" s="15"/>
      <c r="ORQ55" s="15"/>
      <c r="ORR55" s="15"/>
      <c r="ORS55" s="15"/>
      <c r="ORT55" s="15"/>
      <c r="ORU55" s="15"/>
      <c r="ORV55" s="15"/>
      <c r="ORW55" s="15"/>
      <c r="ORX55" s="15"/>
      <c r="ORY55" s="15"/>
      <c r="ORZ55" s="15"/>
      <c r="OSA55" s="15"/>
      <c r="OSB55" s="15"/>
      <c r="OSC55" s="15"/>
      <c r="OSD55" s="15"/>
      <c r="OSE55" s="15"/>
      <c r="OSF55" s="15"/>
      <c r="OSG55" s="15"/>
      <c r="OSH55" s="15"/>
      <c r="OSI55" s="15"/>
      <c r="OSJ55" s="15"/>
      <c r="OSK55" s="15"/>
      <c r="OSL55" s="15"/>
      <c r="OSM55" s="15"/>
      <c r="OSN55" s="15"/>
      <c r="OSO55" s="15"/>
      <c r="OSP55" s="15"/>
      <c r="OSQ55" s="15"/>
      <c r="OSR55" s="15"/>
      <c r="OSS55" s="15"/>
      <c r="OST55" s="15"/>
      <c r="OSU55" s="15"/>
      <c r="OSV55" s="15"/>
      <c r="OSW55" s="15"/>
      <c r="OSX55" s="15"/>
      <c r="OSY55" s="15"/>
      <c r="OSZ55" s="15"/>
      <c r="OTA55" s="15"/>
      <c r="OTB55" s="15"/>
      <c r="OTC55" s="15"/>
      <c r="OTD55" s="15"/>
      <c r="OTE55" s="15"/>
      <c r="OTF55" s="15"/>
      <c r="OTG55" s="15"/>
      <c r="OTH55" s="15"/>
      <c r="OTI55" s="15"/>
      <c r="OTJ55" s="15"/>
      <c r="OTK55" s="15"/>
      <c r="OTL55" s="15"/>
      <c r="OTM55" s="15"/>
      <c r="OTN55" s="15"/>
      <c r="OTO55" s="15"/>
      <c r="OTP55" s="15"/>
      <c r="OTQ55" s="15"/>
      <c r="OTR55" s="15"/>
      <c r="OTS55" s="15"/>
      <c r="OTT55" s="15"/>
      <c r="OTU55" s="15"/>
      <c r="OTV55" s="15"/>
      <c r="OTW55" s="15"/>
      <c r="OTX55" s="15"/>
      <c r="OTY55" s="15"/>
      <c r="OTZ55" s="15"/>
      <c r="OUA55" s="15"/>
      <c r="OUB55" s="15"/>
      <c r="OUC55" s="15"/>
      <c r="OUD55" s="15"/>
      <c r="OUE55" s="15"/>
      <c r="OUF55" s="15"/>
      <c r="OUG55" s="15"/>
      <c r="OUH55" s="15"/>
      <c r="OUI55" s="15"/>
      <c r="OUJ55" s="15"/>
      <c r="OUK55" s="15"/>
      <c r="OUL55" s="15"/>
      <c r="OUM55" s="15"/>
      <c r="OUN55" s="15"/>
      <c r="OUO55" s="15"/>
      <c r="OUP55" s="15"/>
      <c r="OUQ55" s="15"/>
      <c r="OUR55" s="15"/>
      <c r="OUS55" s="15"/>
      <c r="OUT55" s="15"/>
      <c r="OUU55" s="15"/>
      <c r="OUV55" s="15"/>
      <c r="OUW55" s="15"/>
      <c r="OUX55" s="15"/>
      <c r="OUY55" s="15"/>
      <c r="OUZ55" s="15"/>
      <c r="OVA55" s="15"/>
      <c r="OVB55" s="15"/>
      <c r="OVC55" s="15"/>
      <c r="OVD55" s="15"/>
      <c r="OVE55" s="15"/>
      <c r="OVF55" s="15"/>
      <c r="OVG55" s="15"/>
      <c r="OVH55" s="15"/>
      <c r="OVI55" s="15"/>
      <c r="OVJ55" s="15"/>
      <c r="OVK55" s="15"/>
      <c r="OVL55" s="15"/>
      <c r="OVM55" s="15"/>
      <c r="OVN55" s="15"/>
      <c r="OVO55" s="15"/>
      <c r="OVP55" s="15"/>
      <c r="OVQ55" s="15"/>
      <c r="OVR55" s="15"/>
      <c r="OVS55" s="15"/>
      <c r="OVT55" s="15"/>
      <c r="OVU55" s="15"/>
      <c r="OVV55" s="15"/>
      <c r="OVW55" s="15"/>
      <c r="OVX55" s="15"/>
      <c r="OVY55" s="15"/>
      <c r="OVZ55" s="15"/>
      <c r="OWA55" s="15"/>
      <c r="OWB55" s="15"/>
      <c r="OWC55" s="15"/>
      <c r="OWD55" s="15"/>
      <c r="OWE55" s="15"/>
      <c r="OWF55" s="15"/>
      <c r="OWG55" s="15"/>
      <c r="OWH55" s="15"/>
      <c r="OWI55" s="15"/>
      <c r="OWJ55" s="15"/>
      <c r="OWK55" s="15"/>
      <c r="OWL55" s="15"/>
      <c r="OWM55" s="15"/>
      <c r="OWN55" s="15"/>
      <c r="OWO55" s="15"/>
      <c r="OWP55" s="15"/>
      <c r="OWQ55" s="15"/>
      <c r="OWR55" s="15"/>
      <c r="OWS55" s="15"/>
      <c r="OWT55" s="15"/>
      <c r="OWU55" s="15"/>
      <c r="OWV55" s="15"/>
      <c r="OWW55" s="15"/>
      <c r="OWX55" s="15"/>
      <c r="OWY55" s="15"/>
      <c r="OWZ55" s="15"/>
      <c r="OXA55" s="15"/>
      <c r="OXB55" s="15"/>
      <c r="OXC55" s="15"/>
      <c r="OXD55" s="15"/>
      <c r="OXE55" s="15"/>
      <c r="OXF55" s="15"/>
      <c r="OXG55" s="15"/>
      <c r="OXH55" s="15"/>
      <c r="OXI55" s="15"/>
      <c r="OXJ55" s="15"/>
      <c r="OXK55" s="15"/>
      <c r="OXL55" s="15"/>
      <c r="OXM55" s="15"/>
      <c r="OXN55" s="15"/>
      <c r="OXO55" s="15"/>
      <c r="OXP55" s="15"/>
      <c r="OXQ55" s="15"/>
      <c r="OXR55" s="15"/>
      <c r="OXS55" s="15"/>
      <c r="OXT55" s="15"/>
      <c r="OXU55" s="15"/>
      <c r="OXV55" s="15"/>
      <c r="OXW55" s="15"/>
      <c r="OXX55" s="15"/>
      <c r="OXY55" s="15"/>
      <c r="OXZ55" s="15"/>
      <c r="OYA55" s="15"/>
      <c r="OYB55" s="15"/>
      <c r="OYC55" s="15"/>
      <c r="OYD55" s="15"/>
      <c r="OYE55" s="15"/>
      <c r="OYF55" s="15"/>
      <c r="OYG55" s="15"/>
      <c r="OYH55" s="15"/>
      <c r="OYI55" s="15"/>
      <c r="OYJ55" s="15"/>
      <c r="OYK55" s="15"/>
      <c r="OYL55" s="15"/>
      <c r="OYM55" s="15"/>
      <c r="OYN55" s="15"/>
      <c r="OYO55" s="15"/>
      <c r="OYP55" s="15"/>
      <c r="OYQ55" s="15"/>
      <c r="OYR55" s="15"/>
      <c r="OYS55" s="15"/>
      <c r="OYT55" s="15"/>
      <c r="OYU55" s="15"/>
      <c r="OYV55" s="15"/>
      <c r="OYW55" s="15"/>
      <c r="OYX55" s="15"/>
      <c r="OYY55" s="15"/>
      <c r="OYZ55" s="15"/>
      <c r="OZA55" s="15"/>
      <c r="OZB55" s="15"/>
      <c r="OZC55" s="15"/>
      <c r="OZD55" s="15"/>
      <c r="OZE55" s="15"/>
      <c r="OZF55" s="15"/>
      <c r="OZG55" s="15"/>
      <c r="OZH55" s="15"/>
      <c r="OZI55" s="15"/>
      <c r="OZJ55" s="15"/>
      <c r="OZK55" s="15"/>
      <c r="OZL55" s="15"/>
      <c r="OZM55" s="15"/>
      <c r="OZN55" s="15"/>
      <c r="OZO55" s="15"/>
      <c r="OZP55" s="15"/>
      <c r="OZQ55" s="15"/>
      <c r="OZR55" s="15"/>
      <c r="OZS55" s="15"/>
      <c r="OZT55" s="15"/>
      <c r="OZU55" s="15"/>
      <c r="OZV55" s="15"/>
      <c r="OZW55" s="15"/>
      <c r="OZX55" s="15"/>
      <c r="OZY55" s="15"/>
      <c r="OZZ55" s="15"/>
      <c r="PAA55" s="15"/>
      <c r="PAB55" s="15"/>
      <c r="PAC55" s="15"/>
      <c r="PAD55" s="15"/>
      <c r="PAE55" s="15"/>
      <c r="PAF55" s="15"/>
      <c r="PAG55" s="15"/>
      <c r="PAH55" s="15"/>
      <c r="PAI55" s="15"/>
      <c r="PAJ55" s="15"/>
      <c r="PAK55" s="15"/>
      <c r="PAL55" s="15"/>
      <c r="PAM55" s="15"/>
      <c r="PAN55" s="15"/>
      <c r="PAO55" s="15"/>
      <c r="PAP55" s="15"/>
      <c r="PAQ55" s="15"/>
      <c r="PAR55" s="15"/>
      <c r="PAS55" s="15"/>
      <c r="PAT55" s="15"/>
      <c r="PAU55" s="15"/>
      <c r="PAV55" s="15"/>
      <c r="PAW55" s="15"/>
      <c r="PAX55" s="15"/>
      <c r="PAY55" s="15"/>
      <c r="PAZ55" s="15"/>
      <c r="PBA55" s="15"/>
      <c r="PBB55" s="15"/>
      <c r="PBC55" s="15"/>
      <c r="PBD55" s="15"/>
      <c r="PBE55" s="15"/>
      <c r="PBF55" s="15"/>
      <c r="PBG55" s="15"/>
      <c r="PBH55" s="15"/>
      <c r="PBI55" s="15"/>
      <c r="PBJ55" s="15"/>
      <c r="PBK55" s="15"/>
      <c r="PBL55" s="15"/>
      <c r="PBM55" s="15"/>
      <c r="PBN55" s="15"/>
      <c r="PBO55" s="15"/>
      <c r="PBP55" s="15"/>
      <c r="PBQ55" s="15"/>
      <c r="PBR55" s="15"/>
      <c r="PBS55" s="15"/>
      <c r="PBT55" s="15"/>
      <c r="PBU55" s="15"/>
      <c r="PBV55" s="15"/>
      <c r="PBW55" s="15"/>
      <c r="PBX55" s="15"/>
      <c r="PBY55" s="15"/>
      <c r="PBZ55" s="15"/>
      <c r="PCA55" s="15"/>
      <c r="PCB55" s="15"/>
      <c r="PCC55" s="15"/>
      <c r="PCD55" s="15"/>
      <c r="PCE55" s="15"/>
      <c r="PCF55" s="15"/>
      <c r="PCG55" s="15"/>
      <c r="PCH55" s="15"/>
      <c r="PCI55" s="15"/>
      <c r="PCJ55" s="15"/>
      <c r="PCK55" s="15"/>
      <c r="PCL55" s="15"/>
      <c r="PCM55" s="15"/>
      <c r="PCN55" s="15"/>
      <c r="PCO55" s="15"/>
      <c r="PCP55" s="15"/>
      <c r="PCQ55" s="15"/>
      <c r="PCR55" s="15"/>
      <c r="PCS55" s="15"/>
      <c r="PCT55" s="15"/>
      <c r="PCU55" s="15"/>
      <c r="PCV55" s="15"/>
      <c r="PCW55" s="15"/>
      <c r="PCX55" s="15"/>
      <c r="PCY55" s="15"/>
      <c r="PCZ55" s="15"/>
      <c r="PDA55" s="15"/>
      <c r="PDB55" s="15"/>
      <c r="PDC55" s="15"/>
      <c r="PDD55" s="15"/>
      <c r="PDE55" s="15"/>
      <c r="PDF55" s="15"/>
      <c r="PDG55" s="15"/>
      <c r="PDH55" s="15"/>
      <c r="PDI55" s="15"/>
      <c r="PDJ55" s="15"/>
      <c r="PDK55" s="15"/>
      <c r="PDL55" s="15"/>
      <c r="PDM55" s="15"/>
      <c r="PDN55" s="15"/>
      <c r="PDO55" s="15"/>
      <c r="PDP55" s="15"/>
      <c r="PDQ55" s="15"/>
      <c r="PDR55" s="15"/>
      <c r="PDS55" s="15"/>
      <c r="PDT55" s="15"/>
      <c r="PDU55" s="15"/>
      <c r="PDV55" s="15"/>
      <c r="PDW55" s="15"/>
      <c r="PDX55" s="15"/>
      <c r="PDY55" s="15"/>
      <c r="PDZ55" s="15"/>
      <c r="PEA55" s="15"/>
      <c r="PEB55" s="15"/>
      <c r="PEC55" s="15"/>
      <c r="PED55" s="15"/>
      <c r="PEE55" s="15"/>
      <c r="PEF55" s="15"/>
      <c r="PEG55" s="15"/>
      <c r="PEH55" s="15"/>
      <c r="PEI55" s="15"/>
      <c r="PEJ55" s="15"/>
      <c r="PEK55" s="15"/>
      <c r="PEL55" s="15"/>
      <c r="PEM55" s="15"/>
      <c r="PEN55" s="15"/>
      <c r="PEO55" s="15"/>
      <c r="PEP55" s="15"/>
      <c r="PEQ55" s="15"/>
      <c r="PER55" s="15"/>
      <c r="PES55" s="15"/>
      <c r="PET55" s="15"/>
      <c r="PEU55" s="15"/>
      <c r="PEV55" s="15"/>
      <c r="PEW55" s="15"/>
      <c r="PEX55" s="15"/>
      <c r="PEY55" s="15"/>
      <c r="PEZ55" s="15"/>
      <c r="PFA55" s="15"/>
      <c r="PFB55" s="15"/>
      <c r="PFC55" s="15"/>
      <c r="PFD55" s="15"/>
      <c r="PFE55" s="15"/>
      <c r="PFF55" s="15"/>
      <c r="PFG55" s="15"/>
      <c r="PFH55" s="15"/>
      <c r="PFI55" s="15"/>
      <c r="PFJ55" s="15"/>
      <c r="PFK55" s="15"/>
      <c r="PFL55" s="15"/>
      <c r="PFM55" s="15"/>
      <c r="PFN55" s="15"/>
      <c r="PFO55" s="15"/>
      <c r="PFP55" s="15"/>
      <c r="PFQ55" s="15"/>
      <c r="PFR55" s="15"/>
      <c r="PFS55" s="15"/>
      <c r="PFT55" s="15"/>
      <c r="PFU55" s="15"/>
      <c r="PFV55" s="15"/>
      <c r="PFW55" s="15"/>
      <c r="PFX55" s="15"/>
      <c r="PFY55" s="15"/>
      <c r="PFZ55" s="15"/>
      <c r="PGA55" s="15"/>
      <c r="PGB55" s="15"/>
      <c r="PGC55" s="15"/>
      <c r="PGD55" s="15"/>
      <c r="PGE55" s="15"/>
      <c r="PGF55" s="15"/>
      <c r="PGG55" s="15"/>
      <c r="PGH55" s="15"/>
      <c r="PGI55" s="15"/>
      <c r="PGJ55" s="15"/>
      <c r="PGK55" s="15"/>
      <c r="PGL55" s="15"/>
      <c r="PGM55" s="15"/>
      <c r="PGN55" s="15"/>
      <c r="PGO55" s="15"/>
      <c r="PGP55" s="15"/>
      <c r="PGQ55" s="15"/>
      <c r="PGR55" s="15"/>
      <c r="PGS55" s="15"/>
      <c r="PGT55" s="15"/>
      <c r="PGU55" s="15"/>
      <c r="PGV55" s="15"/>
      <c r="PGW55" s="15"/>
      <c r="PGX55" s="15"/>
      <c r="PGY55" s="15"/>
      <c r="PGZ55" s="15"/>
      <c r="PHA55" s="15"/>
      <c r="PHB55" s="15"/>
      <c r="PHC55" s="15"/>
      <c r="PHD55" s="15"/>
      <c r="PHE55" s="15"/>
      <c r="PHF55" s="15"/>
      <c r="PHG55" s="15"/>
      <c r="PHH55" s="15"/>
      <c r="PHI55" s="15"/>
      <c r="PHJ55" s="15"/>
      <c r="PHK55" s="15"/>
      <c r="PHL55" s="15"/>
      <c r="PHM55" s="15"/>
      <c r="PHN55" s="15"/>
      <c r="PHO55" s="15"/>
      <c r="PHP55" s="15"/>
      <c r="PHQ55" s="15"/>
      <c r="PHR55" s="15"/>
      <c r="PHS55" s="15"/>
      <c r="PHT55" s="15"/>
      <c r="PHU55" s="15"/>
      <c r="PHV55" s="15"/>
      <c r="PHW55" s="15"/>
      <c r="PHX55" s="15"/>
      <c r="PHY55" s="15"/>
      <c r="PHZ55" s="15"/>
      <c r="PIA55" s="15"/>
      <c r="PIB55" s="15"/>
      <c r="PIC55" s="15"/>
      <c r="PID55" s="15"/>
      <c r="PIE55" s="15"/>
      <c r="PIF55" s="15"/>
      <c r="PIG55" s="15"/>
      <c r="PIH55" s="15"/>
      <c r="PII55" s="15"/>
      <c r="PIJ55" s="15"/>
      <c r="PIK55" s="15"/>
      <c r="PIL55" s="15"/>
      <c r="PIM55" s="15"/>
      <c r="PIN55" s="15"/>
      <c r="PIO55" s="15"/>
      <c r="PIP55" s="15"/>
      <c r="PIQ55" s="15"/>
      <c r="PIR55" s="15"/>
      <c r="PIS55" s="15"/>
      <c r="PIT55" s="15"/>
      <c r="PIU55" s="15"/>
      <c r="PIV55" s="15"/>
      <c r="PIW55" s="15"/>
      <c r="PIX55" s="15"/>
      <c r="PIY55" s="15"/>
      <c r="PIZ55" s="15"/>
      <c r="PJA55" s="15"/>
      <c r="PJB55" s="15"/>
      <c r="PJC55" s="15"/>
      <c r="PJD55" s="15"/>
      <c r="PJE55" s="15"/>
      <c r="PJF55" s="15"/>
      <c r="PJG55" s="15"/>
      <c r="PJH55" s="15"/>
      <c r="PJI55" s="15"/>
      <c r="PJJ55" s="15"/>
      <c r="PJK55" s="15"/>
      <c r="PJL55" s="15"/>
      <c r="PJM55" s="15"/>
      <c r="PJN55" s="15"/>
      <c r="PJO55" s="15"/>
      <c r="PJP55" s="15"/>
      <c r="PJQ55" s="15"/>
      <c r="PJR55" s="15"/>
      <c r="PJS55" s="15"/>
      <c r="PJT55" s="15"/>
      <c r="PJU55" s="15"/>
      <c r="PJV55" s="15"/>
      <c r="PJW55" s="15"/>
      <c r="PJX55" s="15"/>
      <c r="PJY55" s="15"/>
      <c r="PJZ55" s="15"/>
      <c r="PKA55" s="15"/>
      <c r="PKB55" s="15"/>
      <c r="PKC55" s="15"/>
      <c r="PKD55" s="15"/>
      <c r="PKE55" s="15"/>
      <c r="PKF55" s="15"/>
      <c r="PKG55" s="15"/>
      <c r="PKH55" s="15"/>
      <c r="PKI55" s="15"/>
      <c r="PKJ55" s="15"/>
      <c r="PKK55" s="15"/>
      <c r="PKL55" s="15"/>
      <c r="PKM55" s="15"/>
      <c r="PKN55" s="15"/>
      <c r="PKO55" s="15"/>
      <c r="PKP55" s="15"/>
      <c r="PKQ55" s="15"/>
      <c r="PKR55" s="15"/>
      <c r="PKS55" s="15"/>
      <c r="PKT55" s="15"/>
      <c r="PKU55" s="15"/>
      <c r="PKV55" s="15"/>
      <c r="PKW55" s="15"/>
      <c r="PKX55" s="15"/>
      <c r="PKY55" s="15"/>
      <c r="PKZ55" s="15"/>
      <c r="PLA55" s="15"/>
      <c r="PLB55" s="15"/>
      <c r="PLC55" s="15"/>
      <c r="PLD55" s="15"/>
      <c r="PLE55" s="15"/>
      <c r="PLF55" s="15"/>
      <c r="PLG55" s="15"/>
      <c r="PLH55" s="15"/>
      <c r="PLI55" s="15"/>
      <c r="PLJ55" s="15"/>
      <c r="PLK55" s="15"/>
      <c r="PLL55" s="15"/>
      <c r="PLM55" s="15"/>
      <c r="PLN55" s="15"/>
      <c r="PLO55" s="15"/>
      <c r="PLP55" s="15"/>
      <c r="PLQ55" s="15"/>
      <c r="PLR55" s="15"/>
      <c r="PLS55" s="15"/>
      <c r="PLT55" s="15"/>
      <c r="PLU55" s="15"/>
      <c r="PLV55" s="15"/>
      <c r="PLW55" s="15"/>
      <c r="PLX55" s="15"/>
      <c r="PLY55" s="15"/>
      <c r="PLZ55" s="15"/>
      <c r="PMA55" s="15"/>
      <c r="PMB55" s="15"/>
      <c r="PMC55" s="15"/>
      <c r="PMD55" s="15"/>
      <c r="PME55" s="15"/>
      <c r="PMF55" s="15"/>
      <c r="PMG55" s="15"/>
      <c r="PMH55" s="15"/>
      <c r="PMI55" s="15"/>
      <c r="PMJ55" s="15"/>
      <c r="PMK55" s="15"/>
      <c r="PML55" s="15"/>
      <c r="PMM55" s="15"/>
      <c r="PMN55" s="15"/>
      <c r="PMO55" s="15"/>
      <c r="PMP55" s="15"/>
      <c r="PMQ55" s="15"/>
      <c r="PMR55" s="15"/>
      <c r="PMS55" s="15"/>
      <c r="PMT55" s="15"/>
      <c r="PMU55" s="15"/>
      <c r="PMV55" s="15"/>
      <c r="PMW55" s="15"/>
      <c r="PMX55" s="15"/>
      <c r="PMY55" s="15"/>
      <c r="PMZ55" s="15"/>
      <c r="PNA55" s="15"/>
      <c r="PNB55" s="15"/>
      <c r="PNC55" s="15"/>
      <c r="PND55" s="15"/>
      <c r="PNE55" s="15"/>
      <c r="PNF55" s="15"/>
      <c r="PNG55" s="15"/>
      <c r="PNH55" s="15"/>
      <c r="PNI55" s="15"/>
      <c r="PNJ55" s="15"/>
      <c r="PNK55" s="15"/>
      <c r="PNL55" s="15"/>
      <c r="PNM55" s="15"/>
      <c r="PNN55" s="15"/>
      <c r="PNO55" s="15"/>
      <c r="PNP55" s="15"/>
      <c r="PNQ55" s="15"/>
      <c r="PNR55" s="15"/>
      <c r="PNS55" s="15"/>
      <c r="PNT55" s="15"/>
      <c r="PNU55" s="15"/>
      <c r="PNV55" s="15"/>
      <c r="PNW55" s="15"/>
      <c r="PNX55" s="15"/>
      <c r="PNY55" s="15"/>
      <c r="PNZ55" s="15"/>
      <c r="POA55" s="15"/>
      <c r="POB55" s="15"/>
      <c r="POC55" s="15"/>
      <c r="POD55" s="15"/>
      <c r="POE55" s="15"/>
      <c r="POF55" s="15"/>
      <c r="POG55" s="15"/>
      <c r="POH55" s="15"/>
      <c r="POI55" s="15"/>
      <c r="POJ55" s="15"/>
      <c r="POK55" s="15"/>
      <c r="POL55" s="15"/>
      <c r="POM55" s="15"/>
      <c r="PON55" s="15"/>
      <c r="POO55" s="15"/>
      <c r="POP55" s="15"/>
      <c r="POQ55" s="15"/>
      <c r="POR55" s="15"/>
      <c r="POS55" s="15"/>
      <c r="POT55" s="15"/>
      <c r="POU55" s="15"/>
      <c r="POV55" s="15"/>
      <c r="POW55" s="15"/>
      <c r="POX55" s="15"/>
      <c r="POY55" s="15"/>
      <c r="POZ55" s="15"/>
      <c r="PPA55" s="15"/>
      <c r="PPB55" s="15"/>
      <c r="PPC55" s="15"/>
      <c r="PPD55" s="15"/>
      <c r="PPE55" s="15"/>
      <c r="PPF55" s="15"/>
      <c r="PPG55" s="15"/>
      <c r="PPH55" s="15"/>
      <c r="PPI55" s="15"/>
      <c r="PPJ55" s="15"/>
      <c r="PPK55" s="15"/>
      <c r="PPL55" s="15"/>
      <c r="PPM55" s="15"/>
      <c r="PPN55" s="15"/>
      <c r="PPO55" s="15"/>
      <c r="PPP55" s="15"/>
      <c r="PPQ55" s="15"/>
      <c r="PPR55" s="15"/>
      <c r="PPS55" s="15"/>
      <c r="PPT55" s="15"/>
      <c r="PPU55" s="15"/>
      <c r="PPV55" s="15"/>
      <c r="PPW55" s="15"/>
      <c r="PPX55" s="15"/>
      <c r="PPY55" s="15"/>
      <c r="PPZ55" s="15"/>
      <c r="PQA55" s="15"/>
      <c r="PQB55" s="15"/>
      <c r="PQC55" s="15"/>
      <c r="PQD55" s="15"/>
      <c r="PQE55" s="15"/>
      <c r="PQF55" s="15"/>
      <c r="PQG55" s="15"/>
      <c r="PQH55" s="15"/>
      <c r="PQI55" s="15"/>
      <c r="PQJ55" s="15"/>
      <c r="PQK55" s="15"/>
      <c r="PQL55" s="15"/>
      <c r="PQM55" s="15"/>
      <c r="PQN55" s="15"/>
      <c r="PQO55" s="15"/>
      <c r="PQP55" s="15"/>
      <c r="PQQ55" s="15"/>
      <c r="PQR55" s="15"/>
      <c r="PQS55" s="15"/>
      <c r="PQT55" s="15"/>
      <c r="PQU55" s="15"/>
      <c r="PQV55" s="15"/>
      <c r="PQW55" s="15"/>
      <c r="PQX55" s="15"/>
      <c r="PQY55" s="15"/>
      <c r="PQZ55" s="15"/>
      <c r="PRA55" s="15"/>
      <c r="PRB55" s="15"/>
      <c r="PRC55" s="15"/>
      <c r="PRD55" s="15"/>
      <c r="PRE55" s="15"/>
      <c r="PRF55" s="15"/>
      <c r="PRG55" s="15"/>
      <c r="PRH55" s="15"/>
      <c r="PRI55" s="15"/>
      <c r="PRJ55" s="15"/>
      <c r="PRK55" s="15"/>
      <c r="PRL55" s="15"/>
      <c r="PRM55" s="15"/>
      <c r="PRN55" s="15"/>
      <c r="PRO55" s="15"/>
      <c r="PRP55" s="15"/>
      <c r="PRQ55" s="15"/>
      <c r="PRR55" s="15"/>
      <c r="PRS55" s="15"/>
      <c r="PRT55" s="15"/>
      <c r="PRU55" s="15"/>
      <c r="PRV55" s="15"/>
      <c r="PRW55" s="15"/>
      <c r="PRX55" s="15"/>
      <c r="PRY55" s="15"/>
      <c r="PRZ55" s="15"/>
      <c r="PSA55" s="15"/>
      <c r="PSB55" s="15"/>
      <c r="PSC55" s="15"/>
      <c r="PSD55" s="15"/>
      <c r="PSE55" s="15"/>
      <c r="PSF55" s="15"/>
      <c r="PSG55" s="15"/>
      <c r="PSH55" s="15"/>
      <c r="PSI55" s="15"/>
      <c r="PSJ55" s="15"/>
      <c r="PSK55" s="15"/>
      <c r="PSL55" s="15"/>
      <c r="PSM55" s="15"/>
      <c r="PSN55" s="15"/>
      <c r="PSO55" s="15"/>
      <c r="PSP55" s="15"/>
      <c r="PSQ55" s="15"/>
      <c r="PSR55" s="15"/>
      <c r="PSS55" s="15"/>
      <c r="PST55" s="15"/>
      <c r="PSU55" s="15"/>
      <c r="PSV55" s="15"/>
      <c r="PSW55" s="15"/>
      <c r="PSX55" s="15"/>
      <c r="PSY55" s="15"/>
      <c r="PSZ55" s="15"/>
      <c r="PTA55" s="15"/>
      <c r="PTB55" s="15"/>
      <c r="PTC55" s="15"/>
      <c r="PTD55" s="15"/>
      <c r="PTE55" s="15"/>
      <c r="PTF55" s="15"/>
      <c r="PTG55" s="15"/>
      <c r="PTH55" s="15"/>
      <c r="PTI55" s="15"/>
      <c r="PTJ55" s="15"/>
      <c r="PTK55" s="15"/>
      <c r="PTL55" s="15"/>
      <c r="PTM55" s="15"/>
      <c r="PTN55" s="15"/>
      <c r="PTO55" s="15"/>
      <c r="PTP55" s="15"/>
      <c r="PTQ55" s="15"/>
      <c r="PTR55" s="15"/>
      <c r="PTS55" s="15"/>
      <c r="PTT55" s="15"/>
      <c r="PTU55" s="15"/>
      <c r="PTV55" s="15"/>
      <c r="PTW55" s="15"/>
      <c r="PTX55" s="15"/>
      <c r="PTY55" s="15"/>
      <c r="PTZ55" s="15"/>
      <c r="PUA55" s="15"/>
      <c r="PUB55" s="15"/>
      <c r="PUC55" s="15"/>
      <c r="PUD55" s="15"/>
      <c r="PUE55" s="15"/>
      <c r="PUF55" s="15"/>
      <c r="PUG55" s="15"/>
      <c r="PUH55" s="15"/>
      <c r="PUI55" s="15"/>
      <c r="PUJ55" s="15"/>
      <c r="PUK55" s="15"/>
      <c r="PUL55" s="15"/>
      <c r="PUM55" s="15"/>
      <c r="PUN55" s="15"/>
      <c r="PUO55" s="15"/>
      <c r="PUP55" s="15"/>
      <c r="PUQ55" s="15"/>
      <c r="PUR55" s="15"/>
      <c r="PUS55" s="15"/>
      <c r="PUT55" s="15"/>
      <c r="PUU55" s="15"/>
      <c r="PUV55" s="15"/>
      <c r="PUW55" s="15"/>
      <c r="PUX55" s="15"/>
      <c r="PUY55" s="15"/>
      <c r="PUZ55" s="15"/>
      <c r="PVA55" s="15"/>
      <c r="PVB55" s="15"/>
      <c r="PVC55" s="15"/>
      <c r="PVD55" s="15"/>
      <c r="PVE55" s="15"/>
      <c r="PVF55" s="15"/>
      <c r="PVG55" s="15"/>
      <c r="PVH55" s="15"/>
      <c r="PVI55" s="15"/>
      <c r="PVJ55" s="15"/>
      <c r="PVK55" s="15"/>
      <c r="PVL55" s="15"/>
      <c r="PVM55" s="15"/>
      <c r="PVN55" s="15"/>
      <c r="PVO55" s="15"/>
      <c r="PVP55" s="15"/>
      <c r="PVQ55" s="15"/>
      <c r="PVR55" s="15"/>
      <c r="PVS55" s="15"/>
      <c r="PVT55" s="15"/>
      <c r="PVU55" s="15"/>
      <c r="PVV55" s="15"/>
      <c r="PVW55" s="15"/>
      <c r="PVX55" s="15"/>
      <c r="PVY55" s="15"/>
      <c r="PVZ55" s="15"/>
      <c r="PWA55" s="15"/>
      <c r="PWB55" s="15"/>
      <c r="PWC55" s="15"/>
      <c r="PWD55" s="15"/>
      <c r="PWE55" s="15"/>
      <c r="PWF55" s="15"/>
      <c r="PWG55" s="15"/>
      <c r="PWH55" s="15"/>
      <c r="PWI55" s="15"/>
      <c r="PWJ55" s="15"/>
      <c r="PWK55" s="15"/>
      <c r="PWL55" s="15"/>
      <c r="PWM55" s="15"/>
      <c r="PWN55" s="15"/>
      <c r="PWO55" s="15"/>
      <c r="PWP55" s="15"/>
      <c r="PWQ55" s="15"/>
      <c r="PWR55" s="15"/>
      <c r="PWS55" s="15"/>
      <c r="PWT55" s="15"/>
      <c r="PWU55" s="15"/>
      <c r="PWV55" s="15"/>
      <c r="PWW55" s="15"/>
      <c r="PWX55" s="15"/>
      <c r="PWY55" s="15"/>
      <c r="PWZ55" s="15"/>
      <c r="PXA55" s="15"/>
      <c r="PXB55" s="15"/>
      <c r="PXC55" s="15"/>
      <c r="PXD55" s="15"/>
      <c r="PXE55" s="15"/>
      <c r="PXF55" s="15"/>
      <c r="PXG55" s="15"/>
      <c r="PXH55" s="15"/>
      <c r="PXI55" s="15"/>
      <c r="PXJ55" s="15"/>
      <c r="PXK55" s="15"/>
      <c r="PXL55" s="15"/>
      <c r="PXM55" s="15"/>
      <c r="PXN55" s="15"/>
      <c r="PXO55" s="15"/>
      <c r="PXP55" s="15"/>
      <c r="PXQ55" s="15"/>
      <c r="PXR55" s="15"/>
      <c r="PXS55" s="15"/>
      <c r="PXT55" s="15"/>
      <c r="PXU55" s="15"/>
      <c r="PXV55" s="15"/>
      <c r="PXW55" s="15"/>
      <c r="PXX55" s="15"/>
      <c r="PXY55" s="15"/>
      <c r="PXZ55" s="15"/>
      <c r="PYA55" s="15"/>
      <c r="PYB55" s="15"/>
      <c r="PYC55" s="15"/>
      <c r="PYD55" s="15"/>
      <c r="PYE55" s="15"/>
      <c r="PYF55" s="15"/>
      <c r="PYG55" s="15"/>
      <c r="PYH55" s="15"/>
      <c r="PYI55" s="15"/>
      <c r="PYJ55" s="15"/>
      <c r="PYK55" s="15"/>
      <c r="PYL55" s="15"/>
      <c r="PYM55" s="15"/>
      <c r="PYN55" s="15"/>
      <c r="PYO55" s="15"/>
      <c r="PYP55" s="15"/>
      <c r="PYQ55" s="15"/>
      <c r="PYR55" s="15"/>
      <c r="PYS55" s="15"/>
      <c r="PYT55" s="15"/>
      <c r="PYU55" s="15"/>
      <c r="PYV55" s="15"/>
      <c r="PYW55" s="15"/>
      <c r="PYX55" s="15"/>
      <c r="PYY55" s="15"/>
      <c r="PYZ55" s="15"/>
      <c r="PZA55" s="15"/>
      <c r="PZB55" s="15"/>
      <c r="PZC55" s="15"/>
      <c r="PZD55" s="15"/>
      <c r="PZE55" s="15"/>
      <c r="PZF55" s="15"/>
      <c r="PZG55" s="15"/>
      <c r="PZH55" s="15"/>
      <c r="PZI55" s="15"/>
      <c r="PZJ55" s="15"/>
      <c r="PZK55" s="15"/>
      <c r="PZL55" s="15"/>
      <c r="PZM55" s="15"/>
      <c r="PZN55" s="15"/>
      <c r="PZO55" s="15"/>
      <c r="PZP55" s="15"/>
      <c r="PZQ55" s="15"/>
      <c r="PZR55" s="15"/>
      <c r="PZS55" s="15"/>
      <c r="PZT55" s="15"/>
      <c r="PZU55" s="15"/>
      <c r="PZV55" s="15"/>
      <c r="PZW55" s="15"/>
      <c r="PZX55" s="15"/>
      <c r="PZY55" s="15"/>
      <c r="PZZ55" s="15"/>
      <c r="QAA55" s="15"/>
      <c r="QAB55" s="15"/>
      <c r="QAC55" s="15"/>
      <c r="QAD55" s="15"/>
      <c r="QAE55" s="15"/>
      <c r="QAF55" s="15"/>
      <c r="QAG55" s="15"/>
      <c r="QAH55" s="15"/>
      <c r="QAI55" s="15"/>
      <c r="QAJ55" s="15"/>
      <c r="QAK55" s="15"/>
      <c r="QAL55" s="15"/>
      <c r="QAM55" s="15"/>
      <c r="QAN55" s="15"/>
      <c r="QAO55" s="15"/>
      <c r="QAP55" s="15"/>
      <c r="QAQ55" s="15"/>
      <c r="QAR55" s="15"/>
      <c r="QAS55" s="15"/>
      <c r="QAT55" s="15"/>
      <c r="QAU55" s="15"/>
      <c r="QAV55" s="15"/>
      <c r="QAW55" s="15"/>
      <c r="QAX55" s="15"/>
      <c r="QAY55" s="15"/>
      <c r="QAZ55" s="15"/>
      <c r="QBA55" s="15"/>
      <c r="QBB55" s="15"/>
      <c r="QBC55" s="15"/>
      <c r="QBD55" s="15"/>
      <c r="QBE55" s="15"/>
      <c r="QBF55" s="15"/>
      <c r="QBG55" s="15"/>
      <c r="QBH55" s="15"/>
      <c r="QBI55" s="15"/>
      <c r="QBJ55" s="15"/>
      <c r="QBK55" s="15"/>
      <c r="QBL55" s="15"/>
      <c r="QBM55" s="15"/>
      <c r="QBN55" s="15"/>
      <c r="QBO55" s="15"/>
      <c r="QBP55" s="15"/>
      <c r="QBQ55" s="15"/>
      <c r="QBR55" s="15"/>
      <c r="QBS55" s="15"/>
      <c r="QBT55" s="15"/>
      <c r="QBU55" s="15"/>
      <c r="QBV55" s="15"/>
      <c r="QBW55" s="15"/>
      <c r="QBX55" s="15"/>
      <c r="QBY55" s="15"/>
      <c r="QBZ55" s="15"/>
      <c r="QCA55" s="15"/>
      <c r="QCB55" s="15"/>
      <c r="QCC55" s="15"/>
      <c r="QCD55" s="15"/>
      <c r="QCE55" s="15"/>
      <c r="QCF55" s="15"/>
      <c r="QCG55" s="15"/>
      <c r="QCH55" s="15"/>
      <c r="QCI55" s="15"/>
      <c r="QCJ55" s="15"/>
      <c r="QCK55" s="15"/>
      <c r="QCL55" s="15"/>
      <c r="QCM55" s="15"/>
      <c r="QCN55" s="15"/>
      <c r="QCO55" s="15"/>
      <c r="QCP55" s="15"/>
      <c r="QCQ55" s="15"/>
      <c r="QCR55" s="15"/>
      <c r="QCS55" s="15"/>
      <c r="QCT55" s="15"/>
      <c r="QCU55" s="15"/>
      <c r="QCV55" s="15"/>
      <c r="QCW55" s="15"/>
      <c r="QCX55" s="15"/>
      <c r="QCY55" s="15"/>
      <c r="QCZ55" s="15"/>
      <c r="QDA55" s="15"/>
      <c r="QDB55" s="15"/>
      <c r="QDC55" s="15"/>
      <c r="QDD55" s="15"/>
      <c r="QDE55" s="15"/>
      <c r="QDF55" s="15"/>
      <c r="QDG55" s="15"/>
      <c r="QDH55" s="15"/>
      <c r="QDI55" s="15"/>
      <c r="QDJ55" s="15"/>
      <c r="QDK55" s="15"/>
      <c r="QDL55" s="15"/>
      <c r="QDM55" s="15"/>
      <c r="QDN55" s="15"/>
      <c r="QDO55" s="15"/>
      <c r="QDP55" s="15"/>
      <c r="QDQ55" s="15"/>
      <c r="QDR55" s="15"/>
      <c r="QDS55" s="15"/>
      <c r="QDT55" s="15"/>
      <c r="QDU55" s="15"/>
      <c r="QDV55" s="15"/>
      <c r="QDW55" s="15"/>
      <c r="QDX55" s="15"/>
      <c r="QDY55" s="15"/>
      <c r="QDZ55" s="15"/>
      <c r="QEA55" s="15"/>
      <c r="QEB55" s="15"/>
      <c r="QEC55" s="15"/>
      <c r="QED55" s="15"/>
      <c r="QEE55" s="15"/>
      <c r="QEF55" s="15"/>
      <c r="QEG55" s="15"/>
      <c r="QEH55" s="15"/>
      <c r="QEI55" s="15"/>
      <c r="QEJ55" s="15"/>
      <c r="QEK55" s="15"/>
      <c r="QEL55" s="15"/>
      <c r="QEM55" s="15"/>
      <c r="QEN55" s="15"/>
      <c r="QEO55" s="15"/>
      <c r="QEP55" s="15"/>
      <c r="QEQ55" s="15"/>
      <c r="QER55" s="15"/>
      <c r="QES55" s="15"/>
      <c r="QET55" s="15"/>
      <c r="QEU55" s="15"/>
      <c r="QEV55" s="15"/>
      <c r="QEW55" s="15"/>
      <c r="QEX55" s="15"/>
      <c r="QEY55" s="15"/>
      <c r="QEZ55" s="15"/>
      <c r="QFA55" s="15"/>
      <c r="QFB55" s="15"/>
      <c r="QFC55" s="15"/>
      <c r="QFD55" s="15"/>
      <c r="QFE55" s="15"/>
      <c r="QFF55" s="15"/>
      <c r="QFG55" s="15"/>
      <c r="QFH55" s="15"/>
      <c r="QFI55" s="15"/>
      <c r="QFJ55" s="15"/>
      <c r="QFK55" s="15"/>
      <c r="QFL55" s="15"/>
      <c r="QFM55" s="15"/>
      <c r="QFN55" s="15"/>
      <c r="QFO55" s="15"/>
      <c r="QFP55" s="15"/>
      <c r="QFQ55" s="15"/>
      <c r="QFR55" s="15"/>
      <c r="QFS55" s="15"/>
      <c r="QFT55" s="15"/>
      <c r="QFU55" s="15"/>
      <c r="QFV55" s="15"/>
      <c r="QFW55" s="15"/>
      <c r="QFX55" s="15"/>
      <c r="QFY55" s="15"/>
      <c r="QFZ55" s="15"/>
      <c r="QGA55" s="15"/>
      <c r="QGB55" s="15"/>
      <c r="QGC55" s="15"/>
      <c r="QGD55" s="15"/>
      <c r="QGE55" s="15"/>
      <c r="QGF55" s="15"/>
      <c r="QGG55" s="15"/>
      <c r="QGH55" s="15"/>
      <c r="QGI55" s="15"/>
      <c r="QGJ55" s="15"/>
      <c r="QGK55" s="15"/>
      <c r="QGL55" s="15"/>
      <c r="QGM55" s="15"/>
      <c r="QGN55" s="15"/>
      <c r="QGO55" s="15"/>
      <c r="QGP55" s="15"/>
      <c r="QGQ55" s="15"/>
      <c r="QGR55" s="15"/>
      <c r="QGS55" s="15"/>
      <c r="QGT55" s="15"/>
      <c r="QGU55" s="15"/>
      <c r="QGV55" s="15"/>
      <c r="QGW55" s="15"/>
      <c r="QGX55" s="15"/>
      <c r="QGY55" s="15"/>
      <c r="QGZ55" s="15"/>
      <c r="QHA55" s="15"/>
      <c r="QHB55" s="15"/>
      <c r="QHC55" s="15"/>
      <c r="QHD55" s="15"/>
      <c r="QHE55" s="15"/>
      <c r="QHF55" s="15"/>
      <c r="QHG55" s="15"/>
      <c r="QHH55" s="15"/>
      <c r="QHI55" s="15"/>
      <c r="QHJ55" s="15"/>
      <c r="QHK55" s="15"/>
      <c r="QHL55" s="15"/>
      <c r="QHM55" s="15"/>
      <c r="QHN55" s="15"/>
      <c r="QHO55" s="15"/>
      <c r="QHP55" s="15"/>
      <c r="QHQ55" s="15"/>
      <c r="QHR55" s="15"/>
      <c r="QHS55" s="15"/>
      <c r="QHT55" s="15"/>
      <c r="QHU55" s="15"/>
      <c r="QHV55" s="15"/>
      <c r="QHW55" s="15"/>
      <c r="QHX55" s="15"/>
      <c r="QHY55" s="15"/>
      <c r="QHZ55" s="15"/>
      <c r="QIA55" s="15"/>
      <c r="QIB55" s="15"/>
      <c r="QIC55" s="15"/>
      <c r="QID55" s="15"/>
      <c r="QIE55" s="15"/>
      <c r="QIF55" s="15"/>
      <c r="QIG55" s="15"/>
      <c r="QIH55" s="15"/>
      <c r="QII55" s="15"/>
      <c r="QIJ55" s="15"/>
      <c r="QIK55" s="15"/>
      <c r="QIL55" s="15"/>
      <c r="QIM55" s="15"/>
      <c r="QIN55" s="15"/>
      <c r="QIO55" s="15"/>
      <c r="QIP55" s="15"/>
      <c r="QIQ55" s="15"/>
      <c r="QIR55" s="15"/>
      <c r="QIS55" s="15"/>
      <c r="QIT55" s="15"/>
      <c r="QIU55" s="15"/>
      <c r="QIV55" s="15"/>
      <c r="QIW55" s="15"/>
      <c r="QIX55" s="15"/>
      <c r="QIY55" s="15"/>
      <c r="QIZ55" s="15"/>
      <c r="QJA55" s="15"/>
      <c r="QJB55" s="15"/>
      <c r="QJC55" s="15"/>
      <c r="QJD55" s="15"/>
      <c r="QJE55" s="15"/>
      <c r="QJF55" s="15"/>
      <c r="QJG55" s="15"/>
      <c r="QJH55" s="15"/>
      <c r="QJI55" s="15"/>
      <c r="QJJ55" s="15"/>
      <c r="QJK55" s="15"/>
      <c r="QJL55" s="15"/>
      <c r="QJM55" s="15"/>
      <c r="QJN55" s="15"/>
      <c r="QJO55" s="15"/>
      <c r="QJP55" s="15"/>
      <c r="QJQ55" s="15"/>
      <c r="QJR55" s="15"/>
      <c r="QJS55" s="15"/>
      <c r="QJT55" s="15"/>
      <c r="QJU55" s="15"/>
      <c r="QJV55" s="15"/>
      <c r="QJW55" s="15"/>
      <c r="QJX55" s="15"/>
      <c r="QJY55" s="15"/>
      <c r="QJZ55" s="15"/>
      <c r="QKA55" s="15"/>
      <c r="QKB55" s="15"/>
      <c r="QKC55" s="15"/>
      <c r="QKD55" s="15"/>
      <c r="QKE55" s="15"/>
      <c r="QKF55" s="15"/>
      <c r="QKG55" s="15"/>
      <c r="QKH55" s="15"/>
      <c r="QKI55" s="15"/>
      <c r="QKJ55" s="15"/>
      <c r="QKK55" s="15"/>
      <c r="QKL55" s="15"/>
      <c r="QKM55" s="15"/>
      <c r="QKN55" s="15"/>
      <c r="QKO55" s="15"/>
      <c r="QKP55" s="15"/>
      <c r="QKQ55" s="15"/>
      <c r="QKR55" s="15"/>
      <c r="QKS55" s="15"/>
      <c r="QKT55" s="15"/>
      <c r="QKU55" s="15"/>
      <c r="QKV55" s="15"/>
      <c r="QKW55" s="15"/>
      <c r="QKX55" s="15"/>
      <c r="QKY55" s="15"/>
      <c r="QKZ55" s="15"/>
      <c r="QLA55" s="15"/>
      <c r="QLB55" s="15"/>
      <c r="QLC55" s="15"/>
      <c r="QLD55" s="15"/>
      <c r="QLE55" s="15"/>
      <c r="QLF55" s="15"/>
      <c r="QLG55" s="15"/>
      <c r="QLH55" s="15"/>
      <c r="QLI55" s="15"/>
      <c r="QLJ55" s="15"/>
      <c r="QLK55" s="15"/>
      <c r="QLL55" s="15"/>
      <c r="QLM55" s="15"/>
      <c r="QLN55" s="15"/>
      <c r="QLO55" s="15"/>
      <c r="QLP55" s="15"/>
      <c r="QLQ55" s="15"/>
      <c r="QLR55" s="15"/>
      <c r="QLS55" s="15"/>
      <c r="QLT55" s="15"/>
      <c r="QLU55" s="15"/>
      <c r="QLV55" s="15"/>
      <c r="QLW55" s="15"/>
      <c r="QLX55" s="15"/>
      <c r="QLY55" s="15"/>
      <c r="QLZ55" s="15"/>
      <c r="QMA55" s="15"/>
      <c r="QMB55" s="15"/>
      <c r="QMC55" s="15"/>
      <c r="QMD55" s="15"/>
      <c r="QME55" s="15"/>
      <c r="QMF55" s="15"/>
      <c r="QMG55" s="15"/>
      <c r="QMH55" s="15"/>
      <c r="QMI55" s="15"/>
      <c r="QMJ55" s="15"/>
      <c r="QMK55" s="15"/>
      <c r="QML55" s="15"/>
      <c r="QMM55" s="15"/>
      <c r="QMN55" s="15"/>
      <c r="QMO55" s="15"/>
      <c r="QMP55" s="15"/>
      <c r="QMQ55" s="15"/>
      <c r="QMR55" s="15"/>
      <c r="QMS55" s="15"/>
      <c r="QMT55" s="15"/>
      <c r="QMU55" s="15"/>
      <c r="QMV55" s="15"/>
      <c r="QMW55" s="15"/>
      <c r="QMX55" s="15"/>
      <c r="QMY55" s="15"/>
      <c r="QMZ55" s="15"/>
      <c r="QNA55" s="15"/>
      <c r="QNB55" s="15"/>
      <c r="QNC55" s="15"/>
      <c r="QND55" s="15"/>
      <c r="QNE55" s="15"/>
      <c r="QNF55" s="15"/>
      <c r="QNG55" s="15"/>
      <c r="QNH55" s="15"/>
      <c r="QNI55" s="15"/>
      <c r="QNJ55" s="15"/>
      <c r="QNK55" s="15"/>
      <c r="QNL55" s="15"/>
      <c r="QNM55" s="15"/>
      <c r="QNN55" s="15"/>
      <c r="QNO55" s="15"/>
      <c r="QNP55" s="15"/>
      <c r="QNQ55" s="15"/>
      <c r="QNR55" s="15"/>
      <c r="QNS55" s="15"/>
      <c r="QNT55" s="15"/>
      <c r="QNU55" s="15"/>
      <c r="QNV55" s="15"/>
      <c r="QNW55" s="15"/>
      <c r="QNX55" s="15"/>
      <c r="QNY55" s="15"/>
      <c r="QNZ55" s="15"/>
      <c r="QOA55" s="15"/>
      <c r="QOB55" s="15"/>
      <c r="QOC55" s="15"/>
      <c r="QOD55" s="15"/>
      <c r="QOE55" s="15"/>
      <c r="QOF55" s="15"/>
      <c r="QOG55" s="15"/>
      <c r="QOH55" s="15"/>
      <c r="QOI55" s="15"/>
      <c r="QOJ55" s="15"/>
      <c r="QOK55" s="15"/>
      <c r="QOL55" s="15"/>
      <c r="QOM55" s="15"/>
      <c r="QON55" s="15"/>
      <c r="QOO55" s="15"/>
      <c r="QOP55" s="15"/>
      <c r="QOQ55" s="15"/>
      <c r="QOR55" s="15"/>
      <c r="QOS55" s="15"/>
      <c r="QOT55" s="15"/>
      <c r="QOU55" s="15"/>
      <c r="QOV55" s="15"/>
      <c r="QOW55" s="15"/>
      <c r="QOX55" s="15"/>
      <c r="QOY55" s="15"/>
      <c r="QOZ55" s="15"/>
      <c r="QPA55" s="15"/>
      <c r="QPB55" s="15"/>
      <c r="QPC55" s="15"/>
      <c r="QPD55" s="15"/>
      <c r="QPE55" s="15"/>
      <c r="QPF55" s="15"/>
      <c r="QPG55" s="15"/>
      <c r="QPH55" s="15"/>
      <c r="QPI55" s="15"/>
      <c r="QPJ55" s="15"/>
      <c r="QPK55" s="15"/>
      <c r="QPL55" s="15"/>
      <c r="QPM55" s="15"/>
      <c r="QPN55" s="15"/>
      <c r="QPO55" s="15"/>
      <c r="QPP55" s="15"/>
      <c r="QPQ55" s="15"/>
      <c r="QPR55" s="15"/>
      <c r="QPS55" s="15"/>
      <c r="QPT55" s="15"/>
      <c r="QPU55" s="15"/>
      <c r="QPV55" s="15"/>
      <c r="QPW55" s="15"/>
      <c r="QPX55" s="15"/>
      <c r="QPY55" s="15"/>
      <c r="QPZ55" s="15"/>
      <c r="QQA55" s="15"/>
      <c r="QQB55" s="15"/>
      <c r="QQC55" s="15"/>
      <c r="QQD55" s="15"/>
      <c r="QQE55" s="15"/>
      <c r="QQF55" s="15"/>
      <c r="QQG55" s="15"/>
      <c r="QQH55" s="15"/>
      <c r="QQI55" s="15"/>
      <c r="QQJ55" s="15"/>
      <c r="QQK55" s="15"/>
      <c r="QQL55" s="15"/>
      <c r="QQM55" s="15"/>
      <c r="QQN55" s="15"/>
      <c r="QQO55" s="15"/>
      <c r="QQP55" s="15"/>
      <c r="QQQ55" s="15"/>
      <c r="QQR55" s="15"/>
      <c r="QQS55" s="15"/>
      <c r="QQT55" s="15"/>
      <c r="QQU55" s="15"/>
      <c r="QQV55" s="15"/>
      <c r="QQW55" s="15"/>
      <c r="QQX55" s="15"/>
      <c r="QQY55" s="15"/>
      <c r="QQZ55" s="15"/>
      <c r="QRA55" s="15"/>
      <c r="QRB55" s="15"/>
      <c r="QRC55" s="15"/>
      <c r="QRD55" s="15"/>
      <c r="QRE55" s="15"/>
      <c r="QRF55" s="15"/>
      <c r="QRG55" s="15"/>
      <c r="QRH55" s="15"/>
      <c r="QRI55" s="15"/>
      <c r="QRJ55" s="15"/>
      <c r="QRK55" s="15"/>
      <c r="QRL55" s="15"/>
      <c r="QRM55" s="15"/>
      <c r="QRN55" s="15"/>
      <c r="QRO55" s="15"/>
      <c r="QRP55" s="15"/>
      <c r="QRQ55" s="15"/>
      <c r="QRR55" s="15"/>
      <c r="QRS55" s="15"/>
      <c r="QRT55" s="15"/>
      <c r="QRU55" s="15"/>
      <c r="QRV55" s="15"/>
      <c r="QRW55" s="15"/>
      <c r="QRX55" s="15"/>
      <c r="QRY55" s="15"/>
      <c r="QRZ55" s="15"/>
      <c r="QSA55" s="15"/>
      <c r="QSB55" s="15"/>
      <c r="QSC55" s="15"/>
      <c r="QSD55" s="15"/>
      <c r="QSE55" s="15"/>
      <c r="QSF55" s="15"/>
      <c r="QSG55" s="15"/>
      <c r="QSH55" s="15"/>
      <c r="QSI55" s="15"/>
      <c r="QSJ55" s="15"/>
      <c r="QSK55" s="15"/>
      <c r="QSL55" s="15"/>
      <c r="QSM55" s="15"/>
      <c r="QSN55" s="15"/>
      <c r="QSO55" s="15"/>
      <c r="QSP55" s="15"/>
      <c r="QSQ55" s="15"/>
      <c r="QSR55" s="15"/>
      <c r="QSS55" s="15"/>
      <c r="QST55" s="15"/>
      <c r="QSU55" s="15"/>
      <c r="QSV55" s="15"/>
      <c r="QSW55" s="15"/>
      <c r="QSX55" s="15"/>
      <c r="QSY55" s="15"/>
      <c r="QSZ55" s="15"/>
      <c r="QTA55" s="15"/>
      <c r="QTB55" s="15"/>
      <c r="QTC55" s="15"/>
      <c r="QTD55" s="15"/>
      <c r="QTE55" s="15"/>
      <c r="QTF55" s="15"/>
      <c r="QTG55" s="15"/>
      <c r="QTH55" s="15"/>
      <c r="QTI55" s="15"/>
      <c r="QTJ55" s="15"/>
      <c r="QTK55" s="15"/>
      <c r="QTL55" s="15"/>
      <c r="QTM55" s="15"/>
      <c r="QTN55" s="15"/>
      <c r="QTO55" s="15"/>
      <c r="QTP55" s="15"/>
      <c r="QTQ55" s="15"/>
      <c r="QTR55" s="15"/>
      <c r="QTS55" s="15"/>
      <c r="QTT55" s="15"/>
      <c r="QTU55" s="15"/>
      <c r="QTV55" s="15"/>
      <c r="QTW55" s="15"/>
      <c r="QTX55" s="15"/>
      <c r="QTY55" s="15"/>
      <c r="QTZ55" s="15"/>
      <c r="QUA55" s="15"/>
      <c r="QUB55" s="15"/>
      <c r="QUC55" s="15"/>
      <c r="QUD55" s="15"/>
      <c r="QUE55" s="15"/>
      <c r="QUF55" s="15"/>
      <c r="QUG55" s="15"/>
      <c r="QUH55" s="15"/>
      <c r="QUI55" s="15"/>
      <c r="QUJ55" s="15"/>
      <c r="QUK55" s="15"/>
      <c r="QUL55" s="15"/>
      <c r="QUM55" s="15"/>
      <c r="QUN55" s="15"/>
      <c r="QUO55" s="15"/>
      <c r="QUP55" s="15"/>
      <c r="QUQ55" s="15"/>
      <c r="QUR55" s="15"/>
      <c r="QUS55" s="15"/>
      <c r="QUT55" s="15"/>
      <c r="QUU55" s="15"/>
      <c r="QUV55" s="15"/>
      <c r="QUW55" s="15"/>
      <c r="QUX55" s="15"/>
      <c r="QUY55" s="15"/>
      <c r="QUZ55" s="15"/>
      <c r="QVA55" s="15"/>
      <c r="QVB55" s="15"/>
      <c r="QVC55" s="15"/>
      <c r="QVD55" s="15"/>
      <c r="QVE55" s="15"/>
      <c r="QVF55" s="15"/>
      <c r="QVG55" s="15"/>
      <c r="QVH55" s="15"/>
      <c r="QVI55" s="15"/>
      <c r="QVJ55" s="15"/>
      <c r="QVK55" s="15"/>
      <c r="QVL55" s="15"/>
      <c r="QVM55" s="15"/>
      <c r="QVN55" s="15"/>
      <c r="QVO55" s="15"/>
      <c r="QVP55" s="15"/>
      <c r="QVQ55" s="15"/>
      <c r="QVR55" s="15"/>
      <c r="QVS55" s="15"/>
      <c r="QVT55" s="15"/>
      <c r="QVU55" s="15"/>
      <c r="QVV55" s="15"/>
      <c r="QVW55" s="15"/>
      <c r="QVX55" s="15"/>
      <c r="QVY55" s="15"/>
      <c r="QVZ55" s="15"/>
      <c r="QWA55" s="15"/>
      <c r="QWB55" s="15"/>
      <c r="QWC55" s="15"/>
      <c r="QWD55" s="15"/>
      <c r="QWE55" s="15"/>
      <c r="QWF55" s="15"/>
      <c r="QWG55" s="15"/>
      <c r="QWH55" s="15"/>
      <c r="QWI55" s="15"/>
      <c r="QWJ55" s="15"/>
      <c r="QWK55" s="15"/>
      <c r="QWL55" s="15"/>
      <c r="QWM55" s="15"/>
      <c r="QWN55" s="15"/>
      <c r="QWO55" s="15"/>
      <c r="QWP55" s="15"/>
      <c r="QWQ55" s="15"/>
      <c r="QWR55" s="15"/>
      <c r="QWS55" s="15"/>
      <c r="QWT55" s="15"/>
      <c r="QWU55" s="15"/>
      <c r="QWV55" s="15"/>
      <c r="QWW55" s="15"/>
      <c r="QWX55" s="15"/>
      <c r="QWY55" s="15"/>
      <c r="QWZ55" s="15"/>
      <c r="QXA55" s="15"/>
      <c r="QXB55" s="15"/>
      <c r="QXC55" s="15"/>
      <c r="QXD55" s="15"/>
      <c r="QXE55" s="15"/>
      <c r="QXF55" s="15"/>
      <c r="QXG55" s="15"/>
      <c r="QXH55" s="15"/>
      <c r="QXI55" s="15"/>
      <c r="QXJ55" s="15"/>
      <c r="QXK55" s="15"/>
      <c r="QXL55" s="15"/>
      <c r="QXM55" s="15"/>
      <c r="QXN55" s="15"/>
      <c r="QXO55" s="15"/>
      <c r="QXP55" s="15"/>
      <c r="QXQ55" s="15"/>
      <c r="QXR55" s="15"/>
      <c r="QXS55" s="15"/>
      <c r="QXT55" s="15"/>
      <c r="QXU55" s="15"/>
      <c r="QXV55" s="15"/>
      <c r="QXW55" s="15"/>
      <c r="QXX55" s="15"/>
      <c r="QXY55" s="15"/>
      <c r="QXZ55" s="15"/>
      <c r="QYA55" s="15"/>
      <c r="QYB55" s="15"/>
      <c r="QYC55" s="15"/>
      <c r="QYD55" s="15"/>
      <c r="QYE55" s="15"/>
      <c r="QYF55" s="15"/>
      <c r="QYG55" s="15"/>
      <c r="QYH55" s="15"/>
      <c r="QYI55" s="15"/>
      <c r="QYJ55" s="15"/>
      <c r="QYK55" s="15"/>
      <c r="QYL55" s="15"/>
      <c r="QYM55" s="15"/>
      <c r="QYN55" s="15"/>
      <c r="QYO55" s="15"/>
      <c r="QYP55" s="15"/>
      <c r="QYQ55" s="15"/>
      <c r="QYR55" s="15"/>
      <c r="QYS55" s="15"/>
      <c r="QYT55" s="15"/>
      <c r="QYU55" s="15"/>
      <c r="QYV55" s="15"/>
      <c r="QYW55" s="15"/>
      <c r="QYX55" s="15"/>
      <c r="QYY55" s="15"/>
      <c r="QYZ55" s="15"/>
      <c r="QZA55" s="15"/>
      <c r="QZB55" s="15"/>
      <c r="QZC55" s="15"/>
      <c r="QZD55" s="15"/>
      <c r="QZE55" s="15"/>
      <c r="QZF55" s="15"/>
      <c r="QZG55" s="15"/>
      <c r="QZH55" s="15"/>
      <c r="QZI55" s="15"/>
      <c r="QZJ55" s="15"/>
      <c r="QZK55" s="15"/>
      <c r="QZL55" s="15"/>
      <c r="QZM55" s="15"/>
      <c r="QZN55" s="15"/>
      <c r="QZO55" s="15"/>
      <c r="QZP55" s="15"/>
      <c r="QZQ55" s="15"/>
      <c r="QZR55" s="15"/>
      <c r="QZS55" s="15"/>
      <c r="QZT55" s="15"/>
      <c r="QZU55" s="15"/>
      <c r="QZV55" s="15"/>
      <c r="QZW55" s="15"/>
      <c r="QZX55" s="15"/>
      <c r="QZY55" s="15"/>
      <c r="QZZ55" s="15"/>
      <c r="RAA55" s="15"/>
      <c r="RAB55" s="15"/>
      <c r="RAC55" s="15"/>
      <c r="RAD55" s="15"/>
      <c r="RAE55" s="15"/>
      <c r="RAF55" s="15"/>
      <c r="RAG55" s="15"/>
      <c r="RAH55" s="15"/>
      <c r="RAI55" s="15"/>
      <c r="RAJ55" s="15"/>
      <c r="RAK55" s="15"/>
      <c r="RAL55" s="15"/>
      <c r="RAM55" s="15"/>
      <c r="RAN55" s="15"/>
      <c r="RAO55" s="15"/>
      <c r="RAP55" s="15"/>
      <c r="RAQ55" s="15"/>
      <c r="RAR55" s="15"/>
      <c r="RAS55" s="15"/>
      <c r="RAT55" s="15"/>
      <c r="RAU55" s="15"/>
      <c r="RAV55" s="15"/>
      <c r="RAW55" s="15"/>
      <c r="RAX55" s="15"/>
      <c r="RAY55" s="15"/>
      <c r="RAZ55" s="15"/>
      <c r="RBA55" s="15"/>
      <c r="RBB55" s="15"/>
      <c r="RBC55" s="15"/>
      <c r="RBD55" s="15"/>
      <c r="RBE55" s="15"/>
      <c r="RBF55" s="15"/>
      <c r="RBG55" s="15"/>
      <c r="RBH55" s="15"/>
      <c r="RBI55" s="15"/>
      <c r="RBJ55" s="15"/>
      <c r="RBK55" s="15"/>
      <c r="RBL55" s="15"/>
      <c r="RBM55" s="15"/>
      <c r="RBN55" s="15"/>
      <c r="RBO55" s="15"/>
      <c r="RBP55" s="15"/>
      <c r="RBQ55" s="15"/>
      <c r="RBR55" s="15"/>
      <c r="RBS55" s="15"/>
      <c r="RBT55" s="15"/>
      <c r="RBU55" s="15"/>
      <c r="RBV55" s="15"/>
      <c r="RBW55" s="15"/>
      <c r="RBX55" s="15"/>
      <c r="RBY55" s="15"/>
      <c r="RBZ55" s="15"/>
      <c r="RCA55" s="15"/>
      <c r="RCB55" s="15"/>
      <c r="RCC55" s="15"/>
      <c r="RCD55" s="15"/>
      <c r="RCE55" s="15"/>
      <c r="RCF55" s="15"/>
      <c r="RCG55" s="15"/>
      <c r="RCH55" s="15"/>
      <c r="RCI55" s="15"/>
      <c r="RCJ55" s="15"/>
      <c r="RCK55" s="15"/>
      <c r="RCL55" s="15"/>
      <c r="RCM55" s="15"/>
      <c r="RCN55" s="15"/>
      <c r="RCO55" s="15"/>
      <c r="RCP55" s="15"/>
      <c r="RCQ55" s="15"/>
      <c r="RCR55" s="15"/>
      <c r="RCS55" s="15"/>
      <c r="RCT55" s="15"/>
      <c r="RCU55" s="15"/>
      <c r="RCV55" s="15"/>
      <c r="RCW55" s="15"/>
      <c r="RCX55" s="15"/>
      <c r="RCY55" s="15"/>
      <c r="RCZ55" s="15"/>
      <c r="RDA55" s="15"/>
      <c r="RDB55" s="15"/>
      <c r="RDC55" s="15"/>
      <c r="RDD55" s="15"/>
      <c r="RDE55" s="15"/>
      <c r="RDF55" s="15"/>
      <c r="RDG55" s="15"/>
      <c r="RDH55" s="15"/>
      <c r="RDI55" s="15"/>
      <c r="RDJ55" s="15"/>
      <c r="RDK55" s="15"/>
      <c r="RDL55" s="15"/>
      <c r="RDM55" s="15"/>
      <c r="RDN55" s="15"/>
      <c r="RDO55" s="15"/>
      <c r="RDP55" s="15"/>
      <c r="RDQ55" s="15"/>
      <c r="RDR55" s="15"/>
      <c r="RDS55" s="15"/>
      <c r="RDT55" s="15"/>
      <c r="RDU55" s="15"/>
      <c r="RDV55" s="15"/>
      <c r="RDW55" s="15"/>
      <c r="RDX55" s="15"/>
      <c r="RDY55" s="15"/>
      <c r="RDZ55" s="15"/>
      <c r="REA55" s="15"/>
      <c r="REB55" s="15"/>
      <c r="REC55" s="15"/>
      <c r="RED55" s="15"/>
      <c r="REE55" s="15"/>
      <c r="REF55" s="15"/>
      <c r="REG55" s="15"/>
      <c r="REH55" s="15"/>
      <c r="REI55" s="15"/>
      <c r="REJ55" s="15"/>
      <c r="REK55" s="15"/>
      <c r="REL55" s="15"/>
      <c r="REM55" s="15"/>
      <c r="REN55" s="15"/>
      <c r="REO55" s="15"/>
      <c r="REP55" s="15"/>
      <c r="REQ55" s="15"/>
      <c r="RER55" s="15"/>
      <c r="RES55" s="15"/>
      <c r="RET55" s="15"/>
      <c r="REU55" s="15"/>
      <c r="REV55" s="15"/>
      <c r="REW55" s="15"/>
      <c r="REX55" s="15"/>
      <c r="REY55" s="15"/>
      <c r="REZ55" s="15"/>
      <c r="RFA55" s="15"/>
      <c r="RFB55" s="15"/>
      <c r="RFC55" s="15"/>
      <c r="RFD55" s="15"/>
      <c r="RFE55" s="15"/>
      <c r="RFF55" s="15"/>
      <c r="RFG55" s="15"/>
      <c r="RFH55" s="15"/>
      <c r="RFI55" s="15"/>
      <c r="RFJ55" s="15"/>
      <c r="RFK55" s="15"/>
      <c r="RFL55" s="15"/>
      <c r="RFM55" s="15"/>
      <c r="RFN55" s="15"/>
      <c r="RFO55" s="15"/>
      <c r="RFP55" s="15"/>
      <c r="RFQ55" s="15"/>
      <c r="RFR55" s="15"/>
      <c r="RFS55" s="15"/>
      <c r="RFT55" s="15"/>
      <c r="RFU55" s="15"/>
      <c r="RFV55" s="15"/>
      <c r="RFW55" s="15"/>
      <c r="RFX55" s="15"/>
      <c r="RFY55" s="15"/>
      <c r="RFZ55" s="15"/>
      <c r="RGA55" s="15"/>
      <c r="RGB55" s="15"/>
      <c r="RGC55" s="15"/>
      <c r="RGD55" s="15"/>
      <c r="RGE55" s="15"/>
      <c r="RGF55" s="15"/>
      <c r="RGG55" s="15"/>
      <c r="RGH55" s="15"/>
      <c r="RGI55" s="15"/>
      <c r="RGJ55" s="15"/>
      <c r="RGK55" s="15"/>
      <c r="RGL55" s="15"/>
      <c r="RGM55" s="15"/>
      <c r="RGN55" s="15"/>
      <c r="RGO55" s="15"/>
      <c r="RGP55" s="15"/>
      <c r="RGQ55" s="15"/>
      <c r="RGR55" s="15"/>
      <c r="RGS55" s="15"/>
      <c r="RGT55" s="15"/>
      <c r="RGU55" s="15"/>
      <c r="RGV55" s="15"/>
      <c r="RGW55" s="15"/>
      <c r="RGX55" s="15"/>
      <c r="RGY55" s="15"/>
      <c r="RGZ55" s="15"/>
      <c r="RHA55" s="15"/>
      <c r="RHB55" s="15"/>
      <c r="RHC55" s="15"/>
      <c r="RHD55" s="15"/>
      <c r="RHE55" s="15"/>
      <c r="RHF55" s="15"/>
      <c r="RHG55" s="15"/>
      <c r="RHH55" s="15"/>
      <c r="RHI55" s="15"/>
      <c r="RHJ55" s="15"/>
      <c r="RHK55" s="15"/>
      <c r="RHL55" s="15"/>
      <c r="RHM55" s="15"/>
      <c r="RHN55" s="15"/>
      <c r="RHO55" s="15"/>
      <c r="RHP55" s="15"/>
      <c r="RHQ55" s="15"/>
      <c r="RHR55" s="15"/>
      <c r="RHS55" s="15"/>
      <c r="RHT55" s="15"/>
      <c r="RHU55" s="15"/>
      <c r="RHV55" s="15"/>
      <c r="RHW55" s="15"/>
      <c r="RHX55" s="15"/>
      <c r="RHY55" s="15"/>
      <c r="RHZ55" s="15"/>
      <c r="RIA55" s="15"/>
      <c r="RIB55" s="15"/>
      <c r="RIC55" s="15"/>
      <c r="RID55" s="15"/>
      <c r="RIE55" s="15"/>
      <c r="RIF55" s="15"/>
      <c r="RIG55" s="15"/>
      <c r="RIH55" s="15"/>
      <c r="RII55" s="15"/>
      <c r="RIJ55" s="15"/>
      <c r="RIK55" s="15"/>
      <c r="RIL55" s="15"/>
      <c r="RIM55" s="15"/>
      <c r="RIN55" s="15"/>
      <c r="RIO55" s="15"/>
      <c r="RIP55" s="15"/>
      <c r="RIQ55" s="15"/>
      <c r="RIR55" s="15"/>
      <c r="RIS55" s="15"/>
      <c r="RIT55" s="15"/>
      <c r="RIU55" s="15"/>
      <c r="RIV55" s="15"/>
      <c r="RIW55" s="15"/>
      <c r="RIX55" s="15"/>
      <c r="RIY55" s="15"/>
      <c r="RIZ55" s="15"/>
      <c r="RJA55" s="15"/>
      <c r="RJB55" s="15"/>
      <c r="RJC55" s="15"/>
      <c r="RJD55" s="15"/>
      <c r="RJE55" s="15"/>
      <c r="RJF55" s="15"/>
      <c r="RJG55" s="15"/>
      <c r="RJH55" s="15"/>
      <c r="RJI55" s="15"/>
      <c r="RJJ55" s="15"/>
      <c r="RJK55" s="15"/>
      <c r="RJL55" s="15"/>
      <c r="RJM55" s="15"/>
      <c r="RJN55" s="15"/>
      <c r="RJO55" s="15"/>
      <c r="RJP55" s="15"/>
      <c r="RJQ55" s="15"/>
      <c r="RJR55" s="15"/>
      <c r="RJS55" s="15"/>
      <c r="RJT55" s="15"/>
      <c r="RJU55" s="15"/>
      <c r="RJV55" s="15"/>
      <c r="RJW55" s="15"/>
      <c r="RJX55" s="15"/>
      <c r="RJY55" s="15"/>
      <c r="RJZ55" s="15"/>
      <c r="RKA55" s="15"/>
      <c r="RKB55" s="15"/>
      <c r="RKC55" s="15"/>
      <c r="RKD55" s="15"/>
      <c r="RKE55" s="15"/>
      <c r="RKF55" s="15"/>
      <c r="RKG55" s="15"/>
      <c r="RKH55" s="15"/>
      <c r="RKI55" s="15"/>
      <c r="RKJ55" s="15"/>
      <c r="RKK55" s="15"/>
      <c r="RKL55" s="15"/>
      <c r="RKM55" s="15"/>
      <c r="RKN55" s="15"/>
      <c r="RKO55" s="15"/>
      <c r="RKP55" s="15"/>
      <c r="RKQ55" s="15"/>
      <c r="RKR55" s="15"/>
      <c r="RKS55" s="15"/>
      <c r="RKT55" s="15"/>
      <c r="RKU55" s="15"/>
      <c r="RKV55" s="15"/>
      <c r="RKW55" s="15"/>
      <c r="RKX55" s="15"/>
      <c r="RKY55" s="15"/>
      <c r="RKZ55" s="15"/>
      <c r="RLA55" s="15"/>
      <c r="RLB55" s="15"/>
      <c r="RLC55" s="15"/>
      <c r="RLD55" s="15"/>
      <c r="RLE55" s="15"/>
      <c r="RLF55" s="15"/>
      <c r="RLG55" s="15"/>
      <c r="RLH55" s="15"/>
      <c r="RLI55" s="15"/>
      <c r="RLJ55" s="15"/>
      <c r="RLK55" s="15"/>
      <c r="RLL55" s="15"/>
      <c r="RLM55" s="15"/>
      <c r="RLN55" s="15"/>
      <c r="RLO55" s="15"/>
      <c r="RLP55" s="15"/>
      <c r="RLQ55" s="15"/>
      <c r="RLR55" s="15"/>
      <c r="RLS55" s="15"/>
      <c r="RLT55" s="15"/>
      <c r="RLU55" s="15"/>
      <c r="RLV55" s="15"/>
      <c r="RLW55" s="15"/>
      <c r="RLX55" s="15"/>
      <c r="RLY55" s="15"/>
      <c r="RLZ55" s="15"/>
      <c r="RMA55" s="15"/>
      <c r="RMB55" s="15"/>
      <c r="RMC55" s="15"/>
      <c r="RMD55" s="15"/>
      <c r="RME55" s="15"/>
      <c r="RMF55" s="15"/>
      <c r="RMG55" s="15"/>
      <c r="RMH55" s="15"/>
      <c r="RMI55" s="15"/>
      <c r="RMJ55" s="15"/>
      <c r="RMK55" s="15"/>
      <c r="RML55" s="15"/>
      <c r="RMM55" s="15"/>
      <c r="RMN55" s="15"/>
      <c r="RMO55" s="15"/>
      <c r="RMP55" s="15"/>
      <c r="RMQ55" s="15"/>
      <c r="RMR55" s="15"/>
      <c r="RMS55" s="15"/>
      <c r="RMT55" s="15"/>
      <c r="RMU55" s="15"/>
      <c r="RMV55" s="15"/>
      <c r="RMW55" s="15"/>
      <c r="RMX55" s="15"/>
      <c r="RMY55" s="15"/>
      <c r="RMZ55" s="15"/>
      <c r="RNA55" s="15"/>
      <c r="RNB55" s="15"/>
      <c r="RNC55" s="15"/>
      <c r="RND55" s="15"/>
      <c r="RNE55" s="15"/>
      <c r="RNF55" s="15"/>
      <c r="RNG55" s="15"/>
      <c r="RNH55" s="15"/>
      <c r="RNI55" s="15"/>
      <c r="RNJ55" s="15"/>
      <c r="RNK55" s="15"/>
      <c r="RNL55" s="15"/>
      <c r="RNM55" s="15"/>
      <c r="RNN55" s="15"/>
      <c r="RNO55" s="15"/>
      <c r="RNP55" s="15"/>
      <c r="RNQ55" s="15"/>
      <c r="RNR55" s="15"/>
      <c r="RNS55" s="15"/>
      <c r="RNT55" s="15"/>
      <c r="RNU55" s="15"/>
      <c r="RNV55" s="15"/>
      <c r="RNW55" s="15"/>
      <c r="RNX55" s="15"/>
      <c r="RNY55" s="15"/>
      <c r="RNZ55" s="15"/>
      <c r="ROA55" s="15"/>
      <c r="ROB55" s="15"/>
      <c r="ROC55" s="15"/>
      <c r="ROD55" s="15"/>
      <c r="ROE55" s="15"/>
      <c r="ROF55" s="15"/>
      <c r="ROG55" s="15"/>
      <c r="ROH55" s="15"/>
      <c r="ROI55" s="15"/>
      <c r="ROJ55" s="15"/>
      <c r="ROK55" s="15"/>
      <c r="ROL55" s="15"/>
      <c r="ROM55" s="15"/>
      <c r="RON55" s="15"/>
      <c r="ROO55" s="15"/>
      <c r="ROP55" s="15"/>
      <c r="ROQ55" s="15"/>
      <c r="ROR55" s="15"/>
      <c r="ROS55" s="15"/>
      <c r="ROT55" s="15"/>
      <c r="ROU55" s="15"/>
      <c r="ROV55" s="15"/>
      <c r="ROW55" s="15"/>
      <c r="ROX55" s="15"/>
      <c r="ROY55" s="15"/>
      <c r="ROZ55" s="15"/>
      <c r="RPA55" s="15"/>
      <c r="RPB55" s="15"/>
      <c r="RPC55" s="15"/>
      <c r="RPD55" s="15"/>
      <c r="RPE55" s="15"/>
      <c r="RPF55" s="15"/>
      <c r="RPG55" s="15"/>
      <c r="RPH55" s="15"/>
      <c r="RPI55" s="15"/>
      <c r="RPJ55" s="15"/>
      <c r="RPK55" s="15"/>
      <c r="RPL55" s="15"/>
      <c r="RPM55" s="15"/>
      <c r="RPN55" s="15"/>
      <c r="RPO55" s="15"/>
      <c r="RPP55" s="15"/>
      <c r="RPQ55" s="15"/>
      <c r="RPR55" s="15"/>
      <c r="RPS55" s="15"/>
      <c r="RPT55" s="15"/>
      <c r="RPU55" s="15"/>
      <c r="RPV55" s="15"/>
      <c r="RPW55" s="15"/>
      <c r="RPX55" s="15"/>
      <c r="RPY55" s="15"/>
      <c r="RPZ55" s="15"/>
      <c r="RQA55" s="15"/>
      <c r="RQB55" s="15"/>
      <c r="RQC55" s="15"/>
      <c r="RQD55" s="15"/>
      <c r="RQE55" s="15"/>
      <c r="RQF55" s="15"/>
      <c r="RQG55" s="15"/>
      <c r="RQH55" s="15"/>
      <c r="RQI55" s="15"/>
      <c r="RQJ55" s="15"/>
      <c r="RQK55" s="15"/>
      <c r="RQL55" s="15"/>
      <c r="RQM55" s="15"/>
      <c r="RQN55" s="15"/>
      <c r="RQO55" s="15"/>
      <c r="RQP55" s="15"/>
      <c r="RQQ55" s="15"/>
      <c r="RQR55" s="15"/>
      <c r="RQS55" s="15"/>
      <c r="RQT55" s="15"/>
      <c r="RQU55" s="15"/>
      <c r="RQV55" s="15"/>
      <c r="RQW55" s="15"/>
      <c r="RQX55" s="15"/>
      <c r="RQY55" s="15"/>
      <c r="RQZ55" s="15"/>
      <c r="RRA55" s="15"/>
      <c r="RRB55" s="15"/>
      <c r="RRC55" s="15"/>
      <c r="RRD55" s="15"/>
      <c r="RRE55" s="15"/>
      <c r="RRF55" s="15"/>
      <c r="RRG55" s="15"/>
      <c r="RRH55" s="15"/>
      <c r="RRI55" s="15"/>
      <c r="RRJ55" s="15"/>
      <c r="RRK55" s="15"/>
      <c r="RRL55" s="15"/>
      <c r="RRM55" s="15"/>
      <c r="RRN55" s="15"/>
      <c r="RRO55" s="15"/>
      <c r="RRP55" s="15"/>
      <c r="RRQ55" s="15"/>
      <c r="RRR55" s="15"/>
      <c r="RRS55" s="15"/>
      <c r="RRT55" s="15"/>
      <c r="RRU55" s="15"/>
      <c r="RRV55" s="15"/>
      <c r="RRW55" s="15"/>
      <c r="RRX55" s="15"/>
      <c r="RRY55" s="15"/>
      <c r="RRZ55" s="15"/>
      <c r="RSA55" s="15"/>
      <c r="RSB55" s="15"/>
      <c r="RSC55" s="15"/>
      <c r="RSD55" s="15"/>
      <c r="RSE55" s="15"/>
      <c r="RSF55" s="15"/>
      <c r="RSG55" s="15"/>
      <c r="RSH55" s="15"/>
      <c r="RSI55" s="15"/>
      <c r="RSJ55" s="15"/>
      <c r="RSK55" s="15"/>
      <c r="RSL55" s="15"/>
      <c r="RSM55" s="15"/>
      <c r="RSN55" s="15"/>
      <c r="RSO55" s="15"/>
      <c r="RSP55" s="15"/>
      <c r="RSQ55" s="15"/>
      <c r="RSR55" s="15"/>
      <c r="RSS55" s="15"/>
      <c r="RST55" s="15"/>
      <c r="RSU55" s="15"/>
      <c r="RSV55" s="15"/>
      <c r="RSW55" s="15"/>
      <c r="RSX55" s="15"/>
      <c r="RSY55" s="15"/>
      <c r="RSZ55" s="15"/>
      <c r="RTA55" s="15"/>
      <c r="RTB55" s="15"/>
      <c r="RTC55" s="15"/>
      <c r="RTD55" s="15"/>
      <c r="RTE55" s="15"/>
      <c r="RTF55" s="15"/>
      <c r="RTG55" s="15"/>
      <c r="RTH55" s="15"/>
      <c r="RTI55" s="15"/>
      <c r="RTJ55" s="15"/>
      <c r="RTK55" s="15"/>
      <c r="RTL55" s="15"/>
      <c r="RTM55" s="15"/>
      <c r="RTN55" s="15"/>
      <c r="RTO55" s="15"/>
      <c r="RTP55" s="15"/>
      <c r="RTQ55" s="15"/>
      <c r="RTR55" s="15"/>
      <c r="RTS55" s="15"/>
      <c r="RTT55" s="15"/>
      <c r="RTU55" s="15"/>
      <c r="RTV55" s="15"/>
      <c r="RTW55" s="15"/>
      <c r="RTX55" s="15"/>
      <c r="RTY55" s="15"/>
      <c r="RTZ55" s="15"/>
      <c r="RUA55" s="15"/>
      <c r="RUB55" s="15"/>
      <c r="RUC55" s="15"/>
      <c r="RUD55" s="15"/>
      <c r="RUE55" s="15"/>
      <c r="RUF55" s="15"/>
      <c r="RUG55" s="15"/>
      <c r="RUH55" s="15"/>
      <c r="RUI55" s="15"/>
      <c r="RUJ55" s="15"/>
      <c r="RUK55" s="15"/>
      <c r="RUL55" s="15"/>
      <c r="RUM55" s="15"/>
      <c r="RUN55" s="15"/>
      <c r="RUO55" s="15"/>
      <c r="RUP55" s="15"/>
      <c r="RUQ55" s="15"/>
      <c r="RUR55" s="15"/>
      <c r="RUS55" s="15"/>
      <c r="RUT55" s="15"/>
      <c r="RUU55" s="15"/>
      <c r="RUV55" s="15"/>
      <c r="RUW55" s="15"/>
      <c r="RUX55" s="15"/>
      <c r="RUY55" s="15"/>
      <c r="RUZ55" s="15"/>
      <c r="RVA55" s="15"/>
      <c r="RVB55" s="15"/>
      <c r="RVC55" s="15"/>
      <c r="RVD55" s="15"/>
      <c r="RVE55" s="15"/>
      <c r="RVF55" s="15"/>
      <c r="RVG55" s="15"/>
      <c r="RVH55" s="15"/>
      <c r="RVI55" s="15"/>
      <c r="RVJ55" s="15"/>
      <c r="RVK55" s="15"/>
      <c r="RVL55" s="15"/>
      <c r="RVM55" s="15"/>
      <c r="RVN55" s="15"/>
      <c r="RVO55" s="15"/>
      <c r="RVP55" s="15"/>
      <c r="RVQ55" s="15"/>
      <c r="RVR55" s="15"/>
      <c r="RVS55" s="15"/>
      <c r="RVT55" s="15"/>
      <c r="RVU55" s="15"/>
      <c r="RVV55" s="15"/>
      <c r="RVW55" s="15"/>
      <c r="RVX55" s="15"/>
      <c r="RVY55" s="15"/>
      <c r="RVZ55" s="15"/>
      <c r="RWA55" s="15"/>
      <c r="RWB55" s="15"/>
      <c r="RWC55" s="15"/>
      <c r="RWD55" s="15"/>
      <c r="RWE55" s="15"/>
      <c r="RWF55" s="15"/>
      <c r="RWG55" s="15"/>
      <c r="RWH55" s="15"/>
      <c r="RWI55" s="15"/>
      <c r="RWJ55" s="15"/>
      <c r="RWK55" s="15"/>
      <c r="RWL55" s="15"/>
      <c r="RWM55" s="15"/>
      <c r="RWN55" s="15"/>
      <c r="RWO55" s="15"/>
      <c r="RWP55" s="15"/>
      <c r="RWQ55" s="15"/>
      <c r="RWR55" s="15"/>
      <c r="RWS55" s="15"/>
      <c r="RWT55" s="15"/>
      <c r="RWU55" s="15"/>
      <c r="RWV55" s="15"/>
      <c r="RWW55" s="15"/>
      <c r="RWX55" s="15"/>
      <c r="RWY55" s="15"/>
      <c r="RWZ55" s="15"/>
      <c r="RXA55" s="15"/>
      <c r="RXB55" s="15"/>
      <c r="RXC55" s="15"/>
      <c r="RXD55" s="15"/>
      <c r="RXE55" s="15"/>
      <c r="RXF55" s="15"/>
      <c r="RXG55" s="15"/>
      <c r="RXH55" s="15"/>
      <c r="RXI55" s="15"/>
      <c r="RXJ55" s="15"/>
      <c r="RXK55" s="15"/>
      <c r="RXL55" s="15"/>
      <c r="RXM55" s="15"/>
      <c r="RXN55" s="15"/>
      <c r="RXO55" s="15"/>
      <c r="RXP55" s="15"/>
      <c r="RXQ55" s="15"/>
      <c r="RXR55" s="15"/>
      <c r="RXS55" s="15"/>
      <c r="RXT55" s="15"/>
      <c r="RXU55" s="15"/>
      <c r="RXV55" s="15"/>
      <c r="RXW55" s="15"/>
      <c r="RXX55" s="15"/>
      <c r="RXY55" s="15"/>
      <c r="RXZ55" s="15"/>
      <c r="RYA55" s="15"/>
      <c r="RYB55" s="15"/>
      <c r="RYC55" s="15"/>
      <c r="RYD55" s="15"/>
      <c r="RYE55" s="15"/>
      <c r="RYF55" s="15"/>
      <c r="RYG55" s="15"/>
      <c r="RYH55" s="15"/>
      <c r="RYI55" s="15"/>
      <c r="RYJ55" s="15"/>
      <c r="RYK55" s="15"/>
      <c r="RYL55" s="15"/>
      <c r="RYM55" s="15"/>
      <c r="RYN55" s="15"/>
      <c r="RYO55" s="15"/>
      <c r="RYP55" s="15"/>
      <c r="RYQ55" s="15"/>
      <c r="RYR55" s="15"/>
      <c r="RYS55" s="15"/>
      <c r="RYT55" s="15"/>
      <c r="RYU55" s="15"/>
      <c r="RYV55" s="15"/>
      <c r="RYW55" s="15"/>
      <c r="RYX55" s="15"/>
      <c r="RYY55" s="15"/>
      <c r="RYZ55" s="15"/>
      <c r="RZA55" s="15"/>
      <c r="RZB55" s="15"/>
      <c r="RZC55" s="15"/>
      <c r="RZD55" s="15"/>
      <c r="RZE55" s="15"/>
      <c r="RZF55" s="15"/>
      <c r="RZG55" s="15"/>
      <c r="RZH55" s="15"/>
      <c r="RZI55" s="15"/>
      <c r="RZJ55" s="15"/>
      <c r="RZK55" s="15"/>
      <c r="RZL55" s="15"/>
      <c r="RZM55" s="15"/>
      <c r="RZN55" s="15"/>
      <c r="RZO55" s="15"/>
      <c r="RZP55" s="15"/>
      <c r="RZQ55" s="15"/>
      <c r="RZR55" s="15"/>
      <c r="RZS55" s="15"/>
      <c r="RZT55" s="15"/>
      <c r="RZU55" s="15"/>
      <c r="RZV55" s="15"/>
      <c r="RZW55" s="15"/>
      <c r="RZX55" s="15"/>
      <c r="RZY55" s="15"/>
      <c r="RZZ55" s="15"/>
      <c r="SAA55" s="15"/>
      <c r="SAB55" s="15"/>
      <c r="SAC55" s="15"/>
      <c r="SAD55" s="15"/>
      <c r="SAE55" s="15"/>
      <c r="SAF55" s="15"/>
      <c r="SAG55" s="15"/>
      <c r="SAH55" s="15"/>
      <c r="SAI55" s="15"/>
      <c r="SAJ55" s="15"/>
      <c r="SAK55" s="15"/>
      <c r="SAL55" s="15"/>
      <c r="SAM55" s="15"/>
      <c r="SAN55" s="15"/>
      <c r="SAO55" s="15"/>
      <c r="SAP55" s="15"/>
      <c r="SAQ55" s="15"/>
      <c r="SAR55" s="15"/>
      <c r="SAS55" s="15"/>
      <c r="SAT55" s="15"/>
      <c r="SAU55" s="15"/>
      <c r="SAV55" s="15"/>
      <c r="SAW55" s="15"/>
      <c r="SAX55" s="15"/>
      <c r="SAY55" s="15"/>
      <c r="SAZ55" s="15"/>
      <c r="SBA55" s="15"/>
      <c r="SBB55" s="15"/>
      <c r="SBC55" s="15"/>
      <c r="SBD55" s="15"/>
      <c r="SBE55" s="15"/>
      <c r="SBF55" s="15"/>
      <c r="SBG55" s="15"/>
      <c r="SBH55" s="15"/>
      <c r="SBI55" s="15"/>
      <c r="SBJ55" s="15"/>
      <c r="SBK55" s="15"/>
      <c r="SBL55" s="15"/>
      <c r="SBM55" s="15"/>
      <c r="SBN55" s="15"/>
      <c r="SBO55" s="15"/>
      <c r="SBP55" s="15"/>
      <c r="SBQ55" s="15"/>
      <c r="SBR55" s="15"/>
      <c r="SBS55" s="15"/>
      <c r="SBT55" s="15"/>
      <c r="SBU55" s="15"/>
      <c r="SBV55" s="15"/>
      <c r="SBW55" s="15"/>
      <c r="SBX55" s="15"/>
      <c r="SBY55" s="15"/>
      <c r="SBZ55" s="15"/>
      <c r="SCA55" s="15"/>
      <c r="SCB55" s="15"/>
      <c r="SCC55" s="15"/>
      <c r="SCD55" s="15"/>
      <c r="SCE55" s="15"/>
      <c r="SCF55" s="15"/>
      <c r="SCG55" s="15"/>
      <c r="SCH55" s="15"/>
      <c r="SCI55" s="15"/>
      <c r="SCJ55" s="15"/>
      <c r="SCK55" s="15"/>
      <c r="SCL55" s="15"/>
      <c r="SCM55" s="15"/>
      <c r="SCN55" s="15"/>
      <c r="SCO55" s="15"/>
      <c r="SCP55" s="15"/>
      <c r="SCQ55" s="15"/>
      <c r="SCR55" s="15"/>
      <c r="SCS55" s="15"/>
      <c r="SCT55" s="15"/>
      <c r="SCU55" s="15"/>
      <c r="SCV55" s="15"/>
      <c r="SCW55" s="15"/>
      <c r="SCX55" s="15"/>
      <c r="SCY55" s="15"/>
      <c r="SCZ55" s="15"/>
      <c r="SDA55" s="15"/>
      <c r="SDB55" s="15"/>
      <c r="SDC55" s="15"/>
      <c r="SDD55" s="15"/>
      <c r="SDE55" s="15"/>
      <c r="SDF55" s="15"/>
      <c r="SDG55" s="15"/>
      <c r="SDH55" s="15"/>
      <c r="SDI55" s="15"/>
      <c r="SDJ55" s="15"/>
      <c r="SDK55" s="15"/>
      <c r="SDL55" s="15"/>
      <c r="SDM55" s="15"/>
      <c r="SDN55" s="15"/>
      <c r="SDO55" s="15"/>
      <c r="SDP55" s="15"/>
      <c r="SDQ55" s="15"/>
      <c r="SDR55" s="15"/>
      <c r="SDS55" s="15"/>
      <c r="SDT55" s="15"/>
      <c r="SDU55" s="15"/>
      <c r="SDV55" s="15"/>
      <c r="SDW55" s="15"/>
      <c r="SDX55" s="15"/>
      <c r="SDY55" s="15"/>
      <c r="SDZ55" s="15"/>
      <c r="SEA55" s="15"/>
      <c r="SEB55" s="15"/>
      <c r="SEC55" s="15"/>
      <c r="SED55" s="15"/>
      <c r="SEE55" s="15"/>
      <c r="SEF55" s="15"/>
      <c r="SEG55" s="15"/>
      <c r="SEH55" s="15"/>
      <c r="SEI55" s="15"/>
      <c r="SEJ55" s="15"/>
      <c r="SEK55" s="15"/>
      <c r="SEL55" s="15"/>
      <c r="SEM55" s="15"/>
      <c r="SEN55" s="15"/>
      <c r="SEO55" s="15"/>
      <c r="SEP55" s="15"/>
      <c r="SEQ55" s="15"/>
      <c r="SER55" s="15"/>
      <c r="SES55" s="15"/>
      <c r="SET55" s="15"/>
      <c r="SEU55" s="15"/>
      <c r="SEV55" s="15"/>
      <c r="SEW55" s="15"/>
      <c r="SEX55" s="15"/>
      <c r="SEY55" s="15"/>
      <c r="SEZ55" s="15"/>
      <c r="SFA55" s="15"/>
      <c r="SFB55" s="15"/>
      <c r="SFC55" s="15"/>
      <c r="SFD55" s="15"/>
      <c r="SFE55" s="15"/>
      <c r="SFF55" s="15"/>
      <c r="SFG55" s="15"/>
      <c r="SFH55" s="15"/>
      <c r="SFI55" s="15"/>
      <c r="SFJ55" s="15"/>
      <c r="SFK55" s="15"/>
      <c r="SFL55" s="15"/>
      <c r="SFM55" s="15"/>
      <c r="SFN55" s="15"/>
      <c r="SFO55" s="15"/>
      <c r="SFP55" s="15"/>
      <c r="SFQ55" s="15"/>
      <c r="SFR55" s="15"/>
      <c r="SFS55" s="15"/>
      <c r="SFT55" s="15"/>
      <c r="SFU55" s="15"/>
      <c r="SFV55" s="15"/>
      <c r="SFW55" s="15"/>
      <c r="SFX55" s="15"/>
      <c r="SFY55" s="15"/>
      <c r="SFZ55" s="15"/>
      <c r="SGA55" s="15"/>
      <c r="SGB55" s="15"/>
      <c r="SGC55" s="15"/>
      <c r="SGD55" s="15"/>
      <c r="SGE55" s="15"/>
      <c r="SGF55" s="15"/>
      <c r="SGG55" s="15"/>
      <c r="SGH55" s="15"/>
      <c r="SGI55" s="15"/>
      <c r="SGJ55" s="15"/>
      <c r="SGK55" s="15"/>
      <c r="SGL55" s="15"/>
      <c r="SGM55" s="15"/>
      <c r="SGN55" s="15"/>
      <c r="SGO55" s="15"/>
      <c r="SGP55" s="15"/>
      <c r="SGQ55" s="15"/>
      <c r="SGR55" s="15"/>
      <c r="SGS55" s="15"/>
      <c r="SGT55" s="15"/>
      <c r="SGU55" s="15"/>
      <c r="SGV55" s="15"/>
      <c r="SGW55" s="15"/>
      <c r="SGX55" s="15"/>
      <c r="SGY55" s="15"/>
      <c r="SGZ55" s="15"/>
      <c r="SHA55" s="15"/>
      <c r="SHB55" s="15"/>
      <c r="SHC55" s="15"/>
      <c r="SHD55" s="15"/>
      <c r="SHE55" s="15"/>
      <c r="SHF55" s="15"/>
      <c r="SHG55" s="15"/>
      <c r="SHH55" s="15"/>
      <c r="SHI55" s="15"/>
      <c r="SHJ55" s="15"/>
      <c r="SHK55" s="15"/>
      <c r="SHL55" s="15"/>
      <c r="SHM55" s="15"/>
      <c r="SHN55" s="15"/>
      <c r="SHO55" s="15"/>
      <c r="SHP55" s="15"/>
      <c r="SHQ55" s="15"/>
      <c r="SHR55" s="15"/>
      <c r="SHS55" s="15"/>
      <c r="SHT55" s="15"/>
      <c r="SHU55" s="15"/>
      <c r="SHV55" s="15"/>
      <c r="SHW55" s="15"/>
      <c r="SHX55" s="15"/>
      <c r="SHY55" s="15"/>
      <c r="SHZ55" s="15"/>
      <c r="SIA55" s="15"/>
      <c r="SIB55" s="15"/>
      <c r="SIC55" s="15"/>
      <c r="SID55" s="15"/>
      <c r="SIE55" s="15"/>
      <c r="SIF55" s="15"/>
      <c r="SIG55" s="15"/>
      <c r="SIH55" s="15"/>
      <c r="SII55" s="15"/>
      <c r="SIJ55" s="15"/>
      <c r="SIK55" s="15"/>
      <c r="SIL55" s="15"/>
      <c r="SIM55" s="15"/>
      <c r="SIN55" s="15"/>
      <c r="SIO55" s="15"/>
      <c r="SIP55" s="15"/>
      <c r="SIQ55" s="15"/>
      <c r="SIR55" s="15"/>
      <c r="SIS55" s="15"/>
      <c r="SIT55" s="15"/>
      <c r="SIU55" s="15"/>
      <c r="SIV55" s="15"/>
      <c r="SIW55" s="15"/>
      <c r="SIX55" s="15"/>
      <c r="SIY55" s="15"/>
      <c r="SIZ55" s="15"/>
      <c r="SJA55" s="15"/>
      <c r="SJB55" s="15"/>
      <c r="SJC55" s="15"/>
      <c r="SJD55" s="15"/>
      <c r="SJE55" s="15"/>
      <c r="SJF55" s="15"/>
      <c r="SJG55" s="15"/>
      <c r="SJH55" s="15"/>
      <c r="SJI55" s="15"/>
      <c r="SJJ55" s="15"/>
      <c r="SJK55" s="15"/>
      <c r="SJL55" s="15"/>
      <c r="SJM55" s="15"/>
      <c r="SJN55" s="15"/>
      <c r="SJO55" s="15"/>
      <c r="SJP55" s="15"/>
      <c r="SJQ55" s="15"/>
      <c r="SJR55" s="15"/>
      <c r="SJS55" s="15"/>
      <c r="SJT55" s="15"/>
      <c r="SJU55" s="15"/>
      <c r="SJV55" s="15"/>
      <c r="SJW55" s="15"/>
      <c r="SJX55" s="15"/>
      <c r="SJY55" s="15"/>
      <c r="SJZ55" s="15"/>
      <c r="SKA55" s="15"/>
      <c r="SKB55" s="15"/>
      <c r="SKC55" s="15"/>
      <c r="SKD55" s="15"/>
      <c r="SKE55" s="15"/>
      <c r="SKF55" s="15"/>
      <c r="SKG55" s="15"/>
      <c r="SKH55" s="15"/>
      <c r="SKI55" s="15"/>
      <c r="SKJ55" s="15"/>
      <c r="SKK55" s="15"/>
      <c r="SKL55" s="15"/>
      <c r="SKM55" s="15"/>
      <c r="SKN55" s="15"/>
      <c r="SKO55" s="15"/>
      <c r="SKP55" s="15"/>
      <c r="SKQ55" s="15"/>
      <c r="SKR55" s="15"/>
      <c r="SKS55" s="15"/>
      <c r="SKT55" s="15"/>
      <c r="SKU55" s="15"/>
      <c r="SKV55" s="15"/>
      <c r="SKW55" s="15"/>
      <c r="SKX55" s="15"/>
      <c r="SKY55" s="15"/>
      <c r="SKZ55" s="15"/>
      <c r="SLA55" s="15"/>
      <c r="SLB55" s="15"/>
      <c r="SLC55" s="15"/>
      <c r="SLD55" s="15"/>
      <c r="SLE55" s="15"/>
      <c r="SLF55" s="15"/>
      <c r="SLG55" s="15"/>
      <c r="SLH55" s="15"/>
      <c r="SLI55" s="15"/>
      <c r="SLJ55" s="15"/>
      <c r="SLK55" s="15"/>
      <c r="SLL55" s="15"/>
      <c r="SLM55" s="15"/>
      <c r="SLN55" s="15"/>
      <c r="SLO55" s="15"/>
      <c r="SLP55" s="15"/>
      <c r="SLQ55" s="15"/>
      <c r="SLR55" s="15"/>
      <c r="SLS55" s="15"/>
      <c r="SLT55" s="15"/>
      <c r="SLU55" s="15"/>
      <c r="SLV55" s="15"/>
      <c r="SLW55" s="15"/>
      <c r="SLX55" s="15"/>
      <c r="SLY55" s="15"/>
      <c r="SLZ55" s="15"/>
      <c r="SMA55" s="15"/>
      <c r="SMB55" s="15"/>
      <c r="SMC55" s="15"/>
      <c r="SMD55" s="15"/>
      <c r="SME55" s="15"/>
      <c r="SMF55" s="15"/>
      <c r="SMG55" s="15"/>
      <c r="SMH55" s="15"/>
      <c r="SMI55" s="15"/>
      <c r="SMJ55" s="15"/>
      <c r="SMK55" s="15"/>
      <c r="SML55" s="15"/>
      <c r="SMM55" s="15"/>
      <c r="SMN55" s="15"/>
      <c r="SMO55" s="15"/>
      <c r="SMP55" s="15"/>
      <c r="SMQ55" s="15"/>
      <c r="SMR55" s="15"/>
      <c r="SMS55" s="15"/>
      <c r="SMT55" s="15"/>
      <c r="SMU55" s="15"/>
      <c r="SMV55" s="15"/>
      <c r="SMW55" s="15"/>
      <c r="SMX55" s="15"/>
      <c r="SMY55" s="15"/>
      <c r="SMZ55" s="15"/>
      <c r="SNA55" s="15"/>
      <c r="SNB55" s="15"/>
      <c r="SNC55" s="15"/>
      <c r="SND55" s="15"/>
      <c r="SNE55" s="15"/>
      <c r="SNF55" s="15"/>
      <c r="SNG55" s="15"/>
      <c r="SNH55" s="15"/>
      <c r="SNI55" s="15"/>
      <c r="SNJ55" s="15"/>
      <c r="SNK55" s="15"/>
      <c r="SNL55" s="15"/>
      <c r="SNM55" s="15"/>
      <c r="SNN55" s="15"/>
      <c r="SNO55" s="15"/>
      <c r="SNP55" s="15"/>
      <c r="SNQ55" s="15"/>
      <c r="SNR55" s="15"/>
      <c r="SNS55" s="15"/>
      <c r="SNT55" s="15"/>
      <c r="SNU55" s="15"/>
      <c r="SNV55" s="15"/>
      <c r="SNW55" s="15"/>
      <c r="SNX55" s="15"/>
      <c r="SNY55" s="15"/>
      <c r="SNZ55" s="15"/>
      <c r="SOA55" s="15"/>
      <c r="SOB55" s="15"/>
      <c r="SOC55" s="15"/>
      <c r="SOD55" s="15"/>
      <c r="SOE55" s="15"/>
      <c r="SOF55" s="15"/>
      <c r="SOG55" s="15"/>
      <c r="SOH55" s="15"/>
      <c r="SOI55" s="15"/>
      <c r="SOJ55" s="15"/>
      <c r="SOK55" s="15"/>
      <c r="SOL55" s="15"/>
      <c r="SOM55" s="15"/>
      <c r="SON55" s="15"/>
      <c r="SOO55" s="15"/>
      <c r="SOP55" s="15"/>
      <c r="SOQ55" s="15"/>
      <c r="SOR55" s="15"/>
      <c r="SOS55" s="15"/>
      <c r="SOT55" s="15"/>
      <c r="SOU55" s="15"/>
      <c r="SOV55" s="15"/>
      <c r="SOW55" s="15"/>
      <c r="SOX55" s="15"/>
      <c r="SOY55" s="15"/>
      <c r="SOZ55" s="15"/>
      <c r="SPA55" s="15"/>
      <c r="SPB55" s="15"/>
      <c r="SPC55" s="15"/>
      <c r="SPD55" s="15"/>
      <c r="SPE55" s="15"/>
      <c r="SPF55" s="15"/>
      <c r="SPG55" s="15"/>
      <c r="SPH55" s="15"/>
      <c r="SPI55" s="15"/>
      <c r="SPJ55" s="15"/>
      <c r="SPK55" s="15"/>
      <c r="SPL55" s="15"/>
      <c r="SPM55" s="15"/>
      <c r="SPN55" s="15"/>
      <c r="SPO55" s="15"/>
      <c r="SPP55" s="15"/>
      <c r="SPQ55" s="15"/>
      <c r="SPR55" s="15"/>
      <c r="SPS55" s="15"/>
      <c r="SPT55" s="15"/>
      <c r="SPU55" s="15"/>
      <c r="SPV55" s="15"/>
      <c r="SPW55" s="15"/>
      <c r="SPX55" s="15"/>
      <c r="SPY55" s="15"/>
      <c r="SPZ55" s="15"/>
      <c r="SQA55" s="15"/>
      <c r="SQB55" s="15"/>
      <c r="SQC55" s="15"/>
      <c r="SQD55" s="15"/>
      <c r="SQE55" s="15"/>
      <c r="SQF55" s="15"/>
      <c r="SQG55" s="15"/>
      <c r="SQH55" s="15"/>
      <c r="SQI55" s="15"/>
      <c r="SQJ55" s="15"/>
      <c r="SQK55" s="15"/>
      <c r="SQL55" s="15"/>
      <c r="SQM55" s="15"/>
      <c r="SQN55" s="15"/>
      <c r="SQO55" s="15"/>
      <c r="SQP55" s="15"/>
      <c r="SQQ55" s="15"/>
      <c r="SQR55" s="15"/>
      <c r="SQS55" s="15"/>
      <c r="SQT55" s="15"/>
      <c r="SQU55" s="15"/>
      <c r="SQV55" s="15"/>
      <c r="SQW55" s="15"/>
      <c r="SQX55" s="15"/>
      <c r="SQY55" s="15"/>
      <c r="SQZ55" s="15"/>
      <c r="SRA55" s="15"/>
      <c r="SRB55" s="15"/>
      <c r="SRC55" s="15"/>
      <c r="SRD55" s="15"/>
      <c r="SRE55" s="15"/>
      <c r="SRF55" s="15"/>
      <c r="SRG55" s="15"/>
      <c r="SRH55" s="15"/>
      <c r="SRI55" s="15"/>
      <c r="SRJ55" s="15"/>
      <c r="SRK55" s="15"/>
      <c r="SRL55" s="15"/>
      <c r="SRM55" s="15"/>
      <c r="SRN55" s="15"/>
      <c r="SRO55" s="15"/>
      <c r="SRP55" s="15"/>
      <c r="SRQ55" s="15"/>
      <c r="SRR55" s="15"/>
      <c r="SRS55" s="15"/>
      <c r="SRT55" s="15"/>
      <c r="SRU55" s="15"/>
      <c r="SRV55" s="15"/>
      <c r="SRW55" s="15"/>
      <c r="SRX55" s="15"/>
      <c r="SRY55" s="15"/>
      <c r="SRZ55" s="15"/>
      <c r="SSA55" s="15"/>
      <c r="SSB55" s="15"/>
      <c r="SSC55" s="15"/>
      <c r="SSD55" s="15"/>
      <c r="SSE55" s="15"/>
      <c r="SSF55" s="15"/>
      <c r="SSG55" s="15"/>
      <c r="SSH55" s="15"/>
      <c r="SSI55" s="15"/>
      <c r="SSJ55" s="15"/>
      <c r="SSK55" s="15"/>
      <c r="SSL55" s="15"/>
      <c r="SSM55" s="15"/>
      <c r="SSN55" s="15"/>
      <c r="SSO55" s="15"/>
      <c r="SSP55" s="15"/>
      <c r="SSQ55" s="15"/>
      <c r="SSR55" s="15"/>
      <c r="SSS55" s="15"/>
      <c r="SST55" s="15"/>
      <c r="SSU55" s="15"/>
      <c r="SSV55" s="15"/>
      <c r="SSW55" s="15"/>
      <c r="SSX55" s="15"/>
      <c r="SSY55" s="15"/>
      <c r="SSZ55" s="15"/>
      <c r="STA55" s="15"/>
      <c r="STB55" s="15"/>
      <c r="STC55" s="15"/>
      <c r="STD55" s="15"/>
      <c r="STE55" s="15"/>
      <c r="STF55" s="15"/>
      <c r="STG55" s="15"/>
      <c r="STH55" s="15"/>
      <c r="STI55" s="15"/>
      <c r="STJ55" s="15"/>
      <c r="STK55" s="15"/>
      <c r="STL55" s="15"/>
      <c r="STM55" s="15"/>
      <c r="STN55" s="15"/>
      <c r="STO55" s="15"/>
      <c r="STP55" s="15"/>
      <c r="STQ55" s="15"/>
      <c r="STR55" s="15"/>
      <c r="STS55" s="15"/>
      <c r="STT55" s="15"/>
      <c r="STU55" s="15"/>
      <c r="STV55" s="15"/>
      <c r="STW55" s="15"/>
      <c r="STX55" s="15"/>
      <c r="STY55" s="15"/>
      <c r="STZ55" s="15"/>
      <c r="SUA55" s="15"/>
      <c r="SUB55" s="15"/>
      <c r="SUC55" s="15"/>
      <c r="SUD55" s="15"/>
      <c r="SUE55" s="15"/>
      <c r="SUF55" s="15"/>
      <c r="SUG55" s="15"/>
      <c r="SUH55" s="15"/>
      <c r="SUI55" s="15"/>
      <c r="SUJ55" s="15"/>
      <c r="SUK55" s="15"/>
      <c r="SUL55" s="15"/>
      <c r="SUM55" s="15"/>
      <c r="SUN55" s="15"/>
      <c r="SUO55" s="15"/>
      <c r="SUP55" s="15"/>
      <c r="SUQ55" s="15"/>
      <c r="SUR55" s="15"/>
      <c r="SUS55" s="15"/>
      <c r="SUT55" s="15"/>
      <c r="SUU55" s="15"/>
      <c r="SUV55" s="15"/>
      <c r="SUW55" s="15"/>
      <c r="SUX55" s="15"/>
      <c r="SUY55" s="15"/>
      <c r="SUZ55" s="15"/>
      <c r="SVA55" s="15"/>
      <c r="SVB55" s="15"/>
      <c r="SVC55" s="15"/>
      <c r="SVD55" s="15"/>
      <c r="SVE55" s="15"/>
      <c r="SVF55" s="15"/>
      <c r="SVG55" s="15"/>
      <c r="SVH55" s="15"/>
      <c r="SVI55" s="15"/>
      <c r="SVJ55" s="15"/>
      <c r="SVK55" s="15"/>
      <c r="SVL55" s="15"/>
      <c r="SVM55" s="15"/>
      <c r="SVN55" s="15"/>
      <c r="SVO55" s="15"/>
      <c r="SVP55" s="15"/>
      <c r="SVQ55" s="15"/>
      <c r="SVR55" s="15"/>
      <c r="SVS55" s="15"/>
      <c r="SVT55" s="15"/>
      <c r="SVU55" s="15"/>
      <c r="SVV55" s="15"/>
      <c r="SVW55" s="15"/>
      <c r="SVX55" s="15"/>
      <c r="SVY55" s="15"/>
      <c r="SVZ55" s="15"/>
      <c r="SWA55" s="15"/>
      <c r="SWB55" s="15"/>
      <c r="SWC55" s="15"/>
      <c r="SWD55" s="15"/>
      <c r="SWE55" s="15"/>
      <c r="SWF55" s="15"/>
      <c r="SWG55" s="15"/>
      <c r="SWH55" s="15"/>
      <c r="SWI55" s="15"/>
      <c r="SWJ55" s="15"/>
      <c r="SWK55" s="15"/>
      <c r="SWL55" s="15"/>
      <c r="SWM55" s="15"/>
      <c r="SWN55" s="15"/>
      <c r="SWO55" s="15"/>
      <c r="SWP55" s="15"/>
      <c r="SWQ55" s="15"/>
      <c r="SWR55" s="15"/>
      <c r="SWS55" s="15"/>
      <c r="SWT55" s="15"/>
      <c r="SWU55" s="15"/>
      <c r="SWV55" s="15"/>
      <c r="SWW55" s="15"/>
      <c r="SWX55" s="15"/>
      <c r="SWY55" s="15"/>
      <c r="SWZ55" s="15"/>
      <c r="SXA55" s="15"/>
      <c r="SXB55" s="15"/>
      <c r="SXC55" s="15"/>
      <c r="SXD55" s="15"/>
      <c r="SXE55" s="15"/>
      <c r="SXF55" s="15"/>
      <c r="SXG55" s="15"/>
      <c r="SXH55" s="15"/>
      <c r="SXI55" s="15"/>
      <c r="SXJ55" s="15"/>
      <c r="SXK55" s="15"/>
      <c r="SXL55" s="15"/>
      <c r="SXM55" s="15"/>
      <c r="SXN55" s="15"/>
      <c r="SXO55" s="15"/>
      <c r="SXP55" s="15"/>
      <c r="SXQ55" s="15"/>
      <c r="SXR55" s="15"/>
      <c r="SXS55" s="15"/>
      <c r="SXT55" s="15"/>
      <c r="SXU55" s="15"/>
      <c r="SXV55" s="15"/>
      <c r="SXW55" s="15"/>
      <c r="SXX55" s="15"/>
      <c r="SXY55" s="15"/>
      <c r="SXZ55" s="15"/>
      <c r="SYA55" s="15"/>
      <c r="SYB55" s="15"/>
      <c r="SYC55" s="15"/>
      <c r="SYD55" s="15"/>
      <c r="SYE55" s="15"/>
      <c r="SYF55" s="15"/>
      <c r="SYG55" s="15"/>
      <c r="SYH55" s="15"/>
      <c r="SYI55" s="15"/>
      <c r="SYJ55" s="15"/>
      <c r="SYK55" s="15"/>
      <c r="SYL55" s="15"/>
      <c r="SYM55" s="15"/>
      <c r="SYN55" s="15"/>
      <c r="SYO55" s="15"/>
      <c r="SYP55" s="15"/>
      <c r="SYQ55" s="15"/>
      <c r="SYR55" s="15"/>
      <c r="SYS55" s="15"/>
      <c r="SYT55" s="15"/>
      <c r="SYU55" s="15"/>
      <c r="SYV55" s="15"/>
      <c r="SYW55" s="15"/>
      <c r="SYX55" s="15"/>
      <c r="SYY55" s="15"/>
      <c r="SYZ55" s="15"/>
      <c r="SZA55" s="15"/>
      <c r="SZB55" s="15"/>
      <c r="SZC55" s="15"/>
      <c r="SZD55" s="15"/>
      <c r="SZE55" s="15"/>
      <c r="SZF55" s="15"/>
      <c r="SZG55" s="15"/>
      <c r="SZH55" s="15"/>
      <c r="SZI55" s="15"/>
      <c r="SZJ55" s="15"/>
      <c r="SZK55" s="15"/>
      <c r="SZL55" s="15"/>
      <c r="SZM55" s="15"/>
      <c r="SZN55" s="15"/>
      <c r="SZO55" s="15"/>
      <c r="SZP55" s="15"/>
      <c r="SZQ55" s="15"/>
      <c r="SZR55" s="15"/>
      <c r="SZS55" s="15"/>
      <c r="SZT55" s="15"/>
      <c r="SZU55" s="15"/>
      <c r="SZV55" s="15"/>
      <c r="SZW55" s="15"/>
      <c r="SZX55" s="15"/>
      <c r="SZY55" s="15"/>
      <c r="SZZ55" s="15"/>
      <c r="TAA55" s="15"/>
      <c r="TAB55" s="15"/>
      <c r="TAC55" s="15"/>
      <c r="TAD55" s="15"/>
      <c r="TAE55" s="15"/>
      <c r="TAF55" s="15"/>
      <c r="TAG55" s="15"/>
      <c r="TAH55" s="15"/>
      <c r="TAI55" s="15"/>
      <c r="TAJ55" s="15"/>
      <c r="TAK55" s="15"/>
      <c r="TAL55" s="15"/>
      <c r="TAM55" s="15"/>
      <c r="TAN55" s="15"/>
      <c r="TAO55" s="15"/>
      <c r="TAP55" s="15"/>
      <c r="TAQ55" s="15"/>
      <c r="TAR55" s="15"/>
      <c r="TAS55" s="15"/>
      <c r="TAT55" s="15"/>
      <c r="TAU55" s="15"/>
      <c r="TAV55" s="15"/>
      <c r="TAW55" s="15"/>
      <c r="TAX55" s="15"/>
      <c r="TAY55" s="15"/>
      <c r="TAZ55" s="15"/>
      <c r="TBA55" s="15"/>
      <c r="TBB55" s="15"/>
      <c r="TBC55" s="15"/>
      <c r="TBD55" s="15"/>
      <c r="TBE55" s="15"/>
      <c r="TBF55" s="15"/>
      <c r="TBG55" s="15"/>
      <c r="TBH55" s="15"/>
      <c r="TBI55" s="15"/>
      <c r="TBJ55" s="15"/>
      <c r="TBK55" s="15"/>
      <c r="TBL55" s="15"/>
      <c r="TBM55" s="15"/>
      <c r="TBN55" s="15"/>
      <c r="TBO55" s="15"/>
      <c r="TBP55" s="15"/>
      <c r="TBQ55" s="15"/>
      <c r="TBR55" s="15"/>
      <c r="TBS55" s="15"/>
      <c r="TBT55" s="15"/>
      <c r="TBU55" s="15"/>
      <c r="TBV55" s="15"/>
      <c r="TBW55" s="15"/>
      <c r="TBX55" s="15"/>
      <c r="TBY55" s="15"/>
      <c r="TBZ55" s="15"/>
      <c r="TCA55" s="15"/>
      <c r="TCB55" s="15"/>
      <c r="TCC55" s="15"/>
      <c r="TCD55" s="15"/>
      <c r="TCE55" s="15"/>
      <c r="TCF55" s="15"/>
      <c r="TCG55" s="15"/>
      <c r="TCH55" s="15"/>
      <c r="TCI55" s="15"/>
      <c r="TCJ55" s="15"/>
      <c r="TCK55" s="15"/>
      <c r="TCL55" s="15"/>
      <c r="TCM55" s="15"/>
      <c r="TCN55" s="15"/>
      <c r="TCO55" s="15"/>
      <c r="TCP55" s="15"/>
      <c r="TCQ55" s="15"/>
      <c r="TCR55" s="15"/>
      <c r="TCS55" s="15"/>
      <c r="TCT55" s="15"/>
      <c r="TCU55" s="15"/>
      <c r="TCV55" s="15"/>
      <c r="TCW55" s="15"/>
      <c r="TCX55" s="15"/>
      <c r="TCY55" s="15"/>
      <c r="TCZ55" s="15"/>
      <c r="TDA55" s="15"/>
      <c r="TDB55" s="15"/>
      <c r="TDC55" s="15"/>
      <c r="TDD55" s="15"/>
      <c r="TDE55" s="15"/>
      <c r="TDF55" s="15"/>
      <c r="TDG55" s="15"/>
      <c r="TDH55" s="15"/>
      <c r="TDI55" s="15"/>
      <c r="TDJ55" s="15"/>
      <c r="TDK55" s="15"/>
      <c r="TDL55" s="15"/>
      <c r="TDM55" s="15"/>
      <c r="TDN55" s="15"/>
      <c r="TDO55" s="15"/>
      <c r="TDP55" s="15"/>
      <c r="TDQ55" s="15"/>
      <c r="TDR55" s="15"/>
      <c r="TDS55" s="15"/>
      <c r="TDT55" s="15"/>
      <c r="TDU55" s="15"/>
      <c r="TDV55" s="15"/>
      <c r="TDW55" s="15"/>
      <c r="TDX55" s="15"/>
      <c r="TDY55" s="15"/>
      <c r="TDZ55" s="15"/>
      <c r="TEA55" s="15"/>
      <c r="TEB55" s="15"/>
      <c r="TEC55" s="15"/>
      <c r="TED55" s="15"/>
      <c r="TEE55" s="15"/>
      <c r="TEF55" s="15"/>
      <c r="TEG55" s="15"/>
      <c r="TEH55" s="15"/>
      <c r="TEI55" s="15"/>
      <c r="TEJ55" s="15"/>
      <c r="TEK55" s="15"/>
      <c r="TEL55" s="15"/>
      <c r="TEM55" s="15"/>
      <c r="TEN55" s="15"/>
      <c r="TEO55" s="15"/>
      <c r="TEP55" s="15"/>
      <c r="TEQ55" s="15"/>
      <c r="TER55" s="15"/>
      <c r="TES55" s="15"/>
      <c r="TET55" s="15"/>
      <c r="TEU55" s="15"/>
      <c r="TEV55" s="15"/>
      <c r="TEW55" s="15"/>
      <c r="TEX55" s="15"/>
      <c r="TEY55" s="15"/>
      <c r="TEZ55" s="15"/>
      <c r="TFA55" s="15"/>
      <c r="TFB55" s="15"/>
      <c r="TFC55" s="15"/>
      <c r="TFD55" s="15"/>
      <c r="TFE55" s="15"/>
      <c r="TFF55" s="15"/>
      <c r="TFG55" s="15"/>
      <c r="TFH55" s="15"/>
      <c r="TFI55" s="15"/>
      <c r="TFJ55" s="15"/>
      <c r="TFK55" s="15"/>
      <c r="TFL55" s="15"/>
      <c r="TFM55" s="15"/>
      <c r="TFN55" s="15"/>
      <c r="TFO55" s="15"/>
      <c r="TFP55" s="15"/>
      <c r="TFQ55" s="15"/>
      <c r="TFR55" s="15"/>
      <c r="TFS55" s="15"/>
      <c r="TFT55" s="15"/>
      <c r="TFU55" s="15"/>
      <c r="TFV55" s="15"/>
      <c r="TFW55" s="15"/>
      <c r="TFX55" s="15"/>
      <c r="TFY55" s="15"/>
      <c r="TFZ55" s="15"/>
      <c r="TGA55" s="15"/>
      <c r="TGB55" s="15"/>
      <c r="TGC55" s="15"/>
      <c r="TGD55" s="15"/>
      <c r="TGE55" s="15"/>
      <c r="TGF55" s="15"/>
      <c r="TGG55" s="15"/>
      <c r="TGH55" s="15"/>
      <c r="TGI55" s="15"/>
      <c r="TGJ55" s="15"/>
      <c r="TGK55" s="15"/>
      <c r="TGL55" s="15"/>
      <c r="TGM55" s="15"/>
      <c r="TGN55" s="15"/>
      <c r="TGO55" s="15"/>
      <c r="TGP55" s="15"/>
      <c r="TGQ55" s="15"/>
      <c r="TGR55" s="15"/>
      <c r="TGS55" s="15"/>
      <c r="TGT55" s="15"/>
      <c r="TGU55" s="15"/>
      <c r="TGV55" s="15"/>
      <c r="TGW55" s="15"/>
      <c r="TGX55" s="15"/>
      <c r="TGY55" s="15"/>
      <c r="TGZ55" s="15"/>
      <c r="THA55" s="15"/>
      <c r="THB55" s="15"/>
      <c r="THC55" s="15"/>
      <c r="THD55" s="15"/>
      <c r="THE55" s="15"/>
      <c r="THF55" s="15"/>
      <c r="THG55" s="15"/>
      <c r="THH55" s="15"/>
      <c r="THI55" s="15"/>
      <c r="THJ55" s="15"/>
      <c r="THK55" s="15"/>
      <c r="THL55" s="15"/>
      <c r="THM55" s="15"/>
      <c r="THN55" s="15"/>
      <c r="THO55" s="15"/>
      <c r="THP55" s="15"/>
      <c r="THQ55" s="15"/>
      <c r="THR55" s="15"/>
      <c r="THS55" s="15"/>
      <c r="THT55" s="15"/>
      <c r="THU55" s="15"/>
      <c r="THV55" s="15"/>
      <c r="THW55" s="15"/>
      <c r="THX55" s="15"/>
      <c r="THY55" s="15"/>
      <c r="THZ55" s="15"/>
      <c r="TIA55" s="15"/>
      <c r="TIB55" s="15"/>
      <c r="TIC55" s="15"/>
      <c r="TID55" s="15"/>
      <c r="TIE55" s="15"/>
      <c r="TIF55" s="15"/>
      <c r="TIG55" s="15"/>
      <c r="TIH55" s="15"/>
      <c r="TII55" s="15"/>
      <c r="TIJ55" s="15"/>
      <c r="TIK55" s="15"/>
      <c r="TIL55" s="15"/>
      <c r="TIM55" s="15"/>
      <c r="TIN55" s="15"/>
      <c r="TIO55" s="15"/>
      <c r="TIP55" s="15"/>
      <c r="TIQ55" s="15"/>
      <c r="TIR55" s="15"/>
      <c r="TIS55" s="15"/>
      <c r="TIT55" s="15"/>
      <c r="TIU55" s="15"/>
      <c r="TIV55" s="15"/>
      <c r="TIW55" s="15"/>
      <c r="TIX55" s="15"/>
      <c r="TIY55" s="15"/>
      <c r="TIZ55" s="15"/>
      <c r="TJA55" s="15"/>
      <c r="TJB55" s="15"/>
      <c r="TJC55" s="15"/>
      <c r="TJD55" s="15"/>
      <c r="TJE55" s="15"/>
      <c r="TJF55" s="15"/>
      <c r="TJG55" s="15"/>
      <c r="TJH55" s="15"/>
      <c r="TJI55" s="15"/>
      <c r="TJJ55" s="15"/>
      <c r="TJK55" s="15"/>
      <c r="TJL55" s="15"/>
      <c r="TJM55" s="15"/>
      <c r="TJN55" s="15"/>
      <c r="TJO55" s="15"/>
      <c r="TJP55" s="15"/>
      <c r="TJQ55" s="15"/>
      <c r="TJR55" s="15"/>
      <c r="TJS55" s="15"/>
      <c r="TJT55" s="15"/>
      <c r="TJU55" s="15"/>
      <c r="TJV55" s="15"/>
      <c r="TJW55" s="15"/>
      <c r="TJX55" s="15"/>
      <c r="TJY55" s="15"/>
      <c r="TJZ55" s="15"/>
      <c r="TKA55" s="15"/>
      <c r="TKB55" s="15"/>
      <c r="TKC55" s="15"/>
      <c r="TKD55" s="15"/>
      <c r="TKE55" s="15"/>
      <c r="TKF55" s="15"/>
      <c r="TKG55" s="15"/>
      <c r="TKH55" s="15"/>
      <c r="TKI55" s="15"/>
      <c r="TKJ55" s="15"/>
      <c r="TKK55" s="15"/>
      <c r="TKL55" s="15"/>
      <c r="TKM55" s="15"/>
      <c r="TKN55" s="15"/>
      <c r="TKO55" s="15"/>
      <c r="TKP55" s="15"/>
      <c r="TKQ55" s="15"/>
      <c r="TKR55" s="15"/>
      <c r="TKS55" s="15"/>
      <c r="TKT55" s="15"/>
      <c r="TKU55" s="15"/>
      <c r="TKV55" s="15"/>
      <c r="TKW55" s="15"/>
      <c r="TKX55" s="15"/>
      <c r="TKY55" s="15"/>
      <c r="TKZ55" s="15"/>
      <c r="TLA55" s="15"/>
      <c r="TLB55" s="15"/>
      <c r="TLC55" s="15"/>
      <c r="TLD55" s="15"/>
      <c r="TLE55" s="15"/>
      <c r="TLF55" s="15"/>
      <c r="TLG55" s="15"/>
      <c r="TLH55" s="15"/>
      <c r="TLI55" s="15"/>
      <c r="TLJ55" s="15"/>
      <c r="TLK55" s="15"/>
      <c r="TLL55" s="15"/>
      <c r="TLM55" s="15"/>
      <c r="TLN55" s="15"/>
      <c r="TLO55" s="15"/>
      <c r="TLP55" s="15"/>
      <c r="TLQ55" s="15"/>
      <c r="TLR55" s="15"/>
      <c r="TLS55" s="15"/>
      <c r="TLT55" s="15"/>
      <c r="TLU55" s="15"/>
      <c r="TLV55" s="15"/>
      <c r="TLW55" s="15"/>
      <c r="TLX55" s="15"/>
      <c r="TLY55" s="15"/>
      <c r="TLZ55" s="15"/>
      <c r="TMA55" s="15"/>
      <c r="TMB55" s="15"/>
      <c r="TMC55" s="15"/>
      <c r="TMD55" s="15"/>
      <c r="TME55" s="15"/>
      <c r="TMF55" s="15"/>
      <c r="TMG55" s="15"/>
      <c r="TMH55" s="15"/>
      <c r="TMI55" s="15"/>
      <c r="TMJ55" s="15"/>
      <c r="TMK55" s="15"/>
      <c r="TML55" s="15"/>
      <c r="TMM55" s="15"/>
      <c r="TMN55" s="15"/>
      <c r="TMO55" s="15"/>
      <c r="TMP55" s="15"/>
      <c r="TMQ55" s="15"/>
      <c r="TMR55" s="15"/>
      <c r="TMS55" s="15"/>
      <c r="TMT55" s="15"/>
      <c r="TMU55" s="15"/>
      <c r="TMV55" s="15"/>
      <c r="TMW55" s="15"/>
      <c r="TMX55" s="15"/>
      <c r="TMY55" s="15"/>
      <c r="TMZ55" s="15"/>
      <c r="TNA55" s="15"/>
      <c r="TNB55" s="15"/>
      <c r="TNC55" s="15"/>
      <c r="TND55" s="15"/>
      <c r="TNE55" s="15"/>
      <c r="TNF55" s="15"/>
      <c r="TNG55" s="15"/>
      <c r="TNH55" s="15"/>
      <c r="TNI55" s="15"/>
      <c r="TNJ55" s="15"/>
      <c r="TNK55" s="15"/>
      <c r="TNL55" s="15"/>
      <c r="TNM55" s="15"/>
      <c r="TNN55" s="15"/>
      <c r="TNO55" s="15"/>
      <c r="TNP55" s="15"/>
      <c r="TNQ55" s="15"/>
      <c r="TNR55" s="15"/>
      <c r="TNS55" s="15"/>
      <c r="TNT55" s="15"/>
      <c r="TNU55" s="15"/>
      <c r="TNV55" s="15"/>
      <c r="TNW55" s="15"/>
      <c r="TNX55" s="15"/>
      <c r="TNY55" s="15"/>
      <c r="TNZ55" s="15"/>
      <c r="TOA55" s="15"/>
      <c r="TOB55" s="15"/>
      <c r="TOC55" s="15"/>
      <c r="TOD55" s="15"/>
      <c r="TOE55" s="15"/>
      <c r="TOF55" s="15"/>
      <c r="TOG55" s="15"/>
      <c r="TOH55" s="15"/>
      <c r="TOI55" s="15"/>
      <c r="TOJ55" s="15"/>
      <c r="TOK55" s="15"/>
      <c r="TOL55" s="15"/>
      <c r="TOM55" s="15"/>
      <c r="TON55" s="15"/>
      <c r="TOO55" s="15"/>
      <c r="TOP55" s="15"/>
      <c r="TOQ55" s="15"/>
      <c r="TOR55" s="15"/>
      <c r="TOS55" s="15"/>
      <c r="TOT55" s="15"/>
      <c r="TOU55" s="15"/>
      <c r="TOV55" s="15"/>
      <c r="TOW55" s="15"/>
      <c r="TOX55" s="15"/>
      <c r="TOY55" s="15"/>
      <c r="TOZ55" s="15"/>
      <c r="TPA55" s="15"/>
      <c r="TPB55" s="15"/>
      <c r="TPC55" s="15"/>
      <c r="TPD55" s="15"/>
      <c r="TPE55" s="15"/>
      <c r="TPF55" s="15"/>
      <c r="TPG55" s="15"/>
      <c r="TPH55" s="15"/>
      <c r="TPI55" s="15"/>
      <c r="TPJ55" s="15"/>
      <c r="TPK55" s="15"/>
      <c r="TPL55" s="15"/>
      <c r="TPM55" s="15"/>
      <c r="TPN55" s="15"/>
      <c r="TPO55" s="15"/>
      <c r="TPP55" s="15"/>
      <c r="TPQ55" s="15"/>
      <c r="TPR55" s="15"/>
      <c r="TPS55" s="15"/>
      <c r="TPT55" s="15"/>
      <c r="TPU55" s="15"/>
      <c r="TPV55" s="15"/>
      <c r="TPW55" s="15"/>
      <c r="TPX55" s="15"/>
      <c r="TPY55" s="15"/>
      <c r="TPZ55" s="15"/>
      <c r="TQA55" s="15"/>
      <c r="TQB55" s="15"/>
      <c r="TQC55" s="15"/>
      <c r="TQD55" s="15"/>
      <c r="TQE55" s="15"/>
      <c r="TQF55" s="15"/>
      <c r="TQG55" s="15"/>
      <c r="TQH55" s="15"/>
      <c r="TQI55" s="15"/>
      <c r="TQJ55" s="15"/>
      <c r="TQK55" s="15"/>
      <c r="TQL55" s="15"/>
      <c r="TQM55" s="15"/>
      <c r="TQN55" s="15"/>
      <c r="TQO55" s="15"/>
      <c r="TQP55" s="15"/>
      <c r="TQQ55" s="15"/>
      <c r="TQR55" s="15"/>
      <c r="TQS55" s="15"/>
      <c r="TQT55" s="15"/>
      <c r="TQU55" s="15"/>
      <c r="TQV55" s="15"/>
      <c r="TQW55" s="15"/>
      <c r="TQX55" s="15"/>
      <c r="TQY55" s="15"/>
      <c r="TQZ55" s="15"/>
      <c r="TRA55" s="15"/>
      <c r="TRB55" s="15"/>
      <c r="TRC55" s="15"/>
      <c r="TRD55" s="15"/>
      <c r="TRE55" s="15"/>
      <c r="TRF55" s="15"/>
      <c r="TRG55" s="15"/>
      <c r="TRH55" s="15"/>
      <c r="TRI55" s="15"/>
      <c r="TRJ55" s="15"/>
      <c r="TRK55" s="15"/>
      <c r="TRL55" s="15"/>
      <c r="TRM55" s="15"/>
      <c r="TRN55" s="15"/>
      <c r="TRO55" s="15"/>
      <c r="TRP55" s="15"/>
      <c r="TRQ55" s="15"/>
      <c r="TRR55" s="15"/>
      <c r="TRS55" s="15"/>
      <c r="TRT55" s="15"/>
      <c r="TRU55" s="15"/>
      <c r="TRV55" s="15"/>
      <c r="TRW55" s="15"/>
      <c r="TRX55" s="15"/>
      <c r="TRY55" s="15"/>
      <c r="TRZ55" s="15"/>
      <c r="TSA55" s="15"/>
      <c r="TSB55" s="15"/>
      <c r="TSC55" s="15"/>
      <c r="TSD55" s="15"/>
      <c r="TSE55" s="15"/>
      <c r="TSF55" s="15"/>
      <c r="TSG55" s="15"/>
      <c r="TSH55" s="15"/>
      <c r="TSI55" s="15"/>
      <c r="TSJ55" s="15"/>
      <c r="TSK55" s="15"/>
      <c r="TSL55" s="15"/>
      <c r="TSM55" s="15"/>
      <c r="TSN55" s="15"/>
      <c r="TSO55" s="15"/>
      <c r="TSP55" s="15"/>
      <c r="TSQ55" s="15"/>
      <c r="TSR55" s="15"/>
      <c r="TSS55" s="15"/>
      <c r="TST55" s="15"/>
      <c r="TSU55" s="15"/>
      <c r="TSV55" s="15"/>
      <c r="TSW55" s="15"/>
      <c r="TSX55" s="15"/>
      <c r="TSY55" s="15"/>
      <c r="TSZ55" s="15"/>
      <c r="TTA55" s="15"/>
      <c r="TTB55" s="15"/>
      <c r="TTC55" s="15"/>
      <c r="TTD55" s="15"/>
      <c r="TTE55" s="15"/>
      <c r="TTF55" s="15"/>
      <c r="TTG55" s="15"/>
      <c r="TTH55" s="15"/>
      <c r="TTI55" s="15"/>
      <c r="TTJ55" s="15"/>
      <c r="TTK55" s="15"/>
      <c r="TTL55" s="15"/>
      <c r="TTM55" s="15"/>
      <c r="TTN55" s="15"/>
      <c r="TTO55" s="15"/>
      <c r="TTP55" s="15"/>
      <c r="TTQ55" s="15"/>
      <c r="TTR55" s="15"/>
      <c r="TTS55" s="15"/>
      <c r="TTT55" s="15"/>
      <c r="TTU55" s="15"/>
      <c r="TTV55" s="15"/>
      <c r="TTW55" s="15"/>
      <c r="TTX55" s="15"/>
      <c r="TTY55" s="15"/>
      <c r="TTZ55" s="15"/>
      <c r="TUA55" s="15"/>
      <c r="TUB55" s="15"/>
      <c r="TUC55" s="15"/>
      <c r="TUD55" s="15"/>
      <c r="TUE55" s="15"/>
      <c r="TUF55" s="15"/>
      <c r="TUG55" s="15"/>
      <c r="TUH55" s="15"/>
      <c r="TUI55" s="15"/>
      <c r="TUJ55" s="15"/>
      <c r="TUK55" s="15"/>
      <c r="TUL55" s="15"/>
      <c r="TUM55" s="15"/>
      <c r="TUN55" s="15"/>
      <c r="TUO55" s="15"/>
      <c r="TUP55" s="15"/>
      <c r="TUQ55" s="15"/>
      <c r="TUR55" s="15"/>
      <c r="TUS55" s="15"/>
      <c r="TUT55" s="15"/>
      <c r="TUU55" s="15"/>
      <c r="TUV55" s="15"/>
      <c r="TUW55" s="15"/>
      <c r="TUX55" s="15"/>
      <c r="TUY55" s="15"/>
      <c r="TUZ55" s="15"/>
      <c r="TVA55" s="15"/>
      <c r="TVB55" s="15"/>
      <c r="TVC55" s="15"/>
      <c r="TVD55" s="15"/>
      <c r="TVE55" s="15"/>
      <c r="TVF55" s="15"/>
      <c r="TVG55" s="15"/>
      <c r="TVH55" s="15"/>
      <c r="TVI55" s="15"/>
      <c r="TVJ55" s="15"/>
      <c r="TVK55" s="15"/>
      <c r="TVL55" s="15"/>
      <c r="TVM55" s="15"/>
      <c r="TVN55" s="15"/>
      <c r="TVO55" s="15"/>
      <c r="TVP55" s="15"/>
      <c r="TVQ55" s="15"/>
      <c r="TVR55" s="15"/>
      <c r="TVS55" s="15"/>
      <c r="TVT55" s="15"/>
      <c r="TVU55" s="15"/>
      <c r="TVV55" s="15"/>
      <c r="TVW55" s="15"/>
      <c r="TVX55" s="15"/>
      <c r="TVY55" s="15"/>
      <c r="TVZ55" s="15"/>
      <c r="TWA55" s="15"/>
      <c r="TWB55" s="15"/>
      <c r="TWC55" s="15"/>
      <c r="TWD55" s="15"/>
      <c r="TWE55" s="15"/>
      <c r="TWF55" s="15"/>
      <c r="TWG55" s="15"/>
      <c r="TWH55" s="15"/>
      <c r="TWI55" s="15"/>
      <c r="TWJ55" s="15"/>
      <c r="TWK55" s="15"/>
      <c r="TWL55" s="15"/>
      <c r="TWM55" s="15"/>
      <c r="TWN55" s="15"/>
      <c r="TWO55" s="15"/>
      <c r="TWP55" s="15"/>
      <c r="TWQ55" s="15"/>
      <c r="TWR55" s="15"/>
      <c r="TWS55" s="15"/>
      <c r="TWT55" s="15"/>
      <c r="TWU55" s="15"/>
      <c r="TWV55" s="15"/>
      <c r="TWW55" s="15"/>
      <c r="TWX55" s="15"/>
      <c r="TWY55" s="15"/>
      <c r="TWZ55" s="15"/>
      <c r="TXA55" s="15"/>
      <c r="TXB55" s="15"/>
      <c r="TXC55" s="15"/>
      <c r="TXD55" s="15"/>
      <c r="TXE55" s="15"/>
      <c r="TXF55" s="15"/>
      <c r="TXG55" s="15"/>
      <c r="TXH55" s="15"/>
      <c r="TXI55" s="15"/>
      <c r="TXJ55" s="15"/>
      <c r="TXK55" s="15"/>
      <c r="TXL55" s="15"/>
      <c r="TXM55" s="15"/>
      <c r="TXN55" s="15"/>
      <c r="TXO55" s="15"/>
      <c r="TXP55" s="15"/>
      <c r="TXQ55" s="15"/>
      <c r="TXR55" s="15"/>
      <c r="TXS55" s="15"/>
      <c r="TXT55" s="15"/>
      <c r="TXU55" s="15"/>
      <c r="TXV55" s="15"/>
      <c r="TXW55" s="15"/>
      <c r="TXX55" s="15"/>
      <c r="TXY55" s="15"/>
      <c r="TXZ55" s="15"/>
      <c r="TYA55" s="15"/>
      <c r="TYB55" s="15"/>
      <c r="TYC55" s="15"/>
      <c r="TYD55" s="15"/>
      <c r="TYE55" s="15"/>
      <c r="TYF55" s="15"/>
      <c r="TYG55" s="15"/>
      <c r="TYH55" s="15"/>
      <c r="TYI55" s="15"/>
      <c r="TYJ55" s="15"/>
      <c r="TYK55" s="15"/>
      <c r="TYL55" s="15"/>
      <c r="TYM55" s="15"/>
      <c r="TYN55" s="15"/>
      <c r="TYO55" s="15"/>
      <c r="TYP55" s="15"/>
      <c r="TYQ55" s="15"/>
      <c r="TYR55" s="15"/>
      <c r="TYS55" s="15"/>
      <c r="TYT55" s="15"/>
      <c r="TYU55" s="15"/>
      <c r="TYV55" s="15"/>
      <c r="TYW55" s="15"/>
      <c r="TYX55" s="15"/>
      <c r="TYY55" s="15"/>
      <c r="TYZ55" s="15"/>
      <c r="TZA55" s="15"/>
      <c r="TZB55" s="15"/>
      <c r="TZC55" s="15"/>
      <c r="TZD55" s="15"/>
      <c r="TZE55" s="15"/>
      <c r="TZF55" s="15"/>
      <c r="TZG55" s="15"/>
      <c r="TZH55" s="15"/>
      <c r="TZI55" s="15"/>
      <c r="TZJ55" s="15"/>
      <c r="TZK55" s="15"/>
      <c r="TZL55" s="15"/>
      <c r="TZM55" s="15"/>
      <c r="TZN55" s="15"/>
      <c r="TZO55" s="15"/>
      <c r="TZP55" s="15"/>
      <c r="TZQ55" s="15"/>
      <c r="TZR55" s="15"/>
      <c r="TZS55" s="15"/>
      <c r="TZT55" s="15"/>
      <c r="TZU55" s="15"/>
      <c r="TZV55" s="15"/>
      <c r="TZW55" s="15"/>
      <c r="TZX55" s="15"/>
      <c r="TZY55" s="15"/>
      <c r="TZZ55" s="15"/>
      <c r="UAA55" s="15"/>
      <c r="UAB55" s="15"/>
      <c r="UAC55" s="15"/>
      <c r="UAD55" s="15"/>
      <c r="UAE55" s="15"/>
      <c r="UAF55" s="15"/>
      <c r="UAG55" s="15"/>
      <c r="UAH55" s="15"/>
      <c r="UAI55" s="15"/>
      <c r="UAJ55" s="15"/>
      <c r="UAK55" s="15"/>
      <c r="UAL55" s="15"/>
      <c r="UAM55" s="15"/>
      <c r="UAN55" s="15"/>
      <c r="UAO55" s="15"/>
      <c r="UAP55" s="15"/>
      <c r="UAQ55" s="15"/>
      <c r="UAR55" s="15"/>
      <c r="UAS55" s="15"/>
      <c r="UAT55" s="15"/>
      <c r="UAU55" s="15"/>
      <c r="UAV55" s="15"/>
      <c r="UAW55" s="15"/>
      <c r="UAX55" s="15"/>
      <c r="UAY55" s="15"/>
      <c r="UAZ55" s="15"/>
      <c r="UBA55" s="15"/>
      <c r="UBB55" s="15"/>
      <c r="UBC55" s="15"/>
      <c r="UBD55" s="15"/>
      <c r="UBE55" s="15"/>
      <c r="UBF55" s="15"/>
      <c r="UBG55" s="15"/>
      <c r="UBH55" s="15"/>
      <c r="UBI55" s="15"/>
      <c r="UBJ55" s="15"/>
      <c r="UBK55" s="15"/>
      <c r="UBL55" s="15"/>
      <c r="UBM55" s="15"/>
      <c r="UBN55" s="15"/>
      <c r="UBO55" s="15"/>
      <c r="UBP55" s="15"/>
      <c r="UBQ55" s="15"/>
      <c r="UBR55" s="15"/>
      <c r="UBS55" s="15"/>
      <c r="UBT55" s="15"/>
      <c r="UBU55" s="15"/>
      <c r="UBV55" s="15"/>
      <c r="UBW55" s="15"/>
      <c r="UBX55" s="15"/>
      <c r="UBY55" s="15"/>
      <c r="UBZ55" s="15"/>
      <c r="UCA55" s="15"/>
      <c r="UCB55" s="15"/>
      <c r="UCC55" s="15"/>
      <c r="UCD55" s="15"/>
      <c r="UCE55" s="15"/>
      <c r="UCF55" s="15"/>
      <c r="UCG55" s="15"/>
      <c r="UCH55" s="15"/>
      <c r="UCI55" s="15"/>
      <c r="UCJ55" s="15"/>
      <c r="UCK55" s="15"/>
      <c r="UCL55" s="15"/>
      <c r="UCM55" s="15"/>
      <c r="UCN55" s="15"/>
      <c r="UCO55" s="15"/>
      <c r="UCP55" s="15"/>
      <c r="UCQ55" s="15"/>
      <c r="UCR55" s="15"/>
      <c r="UCS55" s="15"/>
      <c r="UCT55" s="15"/>
      <c r="UCU55" s="15"/>
      <c r="UCV55" s="15"/>
      <c r="UCW55" s="15"/>
      <c r="UCX55" s="15"/>
      <c r="UCY55" s="15"/>
      <c r="UCZ55" s="15"/>
      <c r="UDA55" s="15"/>
      <c r="UDB55" s="15"/>
      <c r="UDC55" s="15"/>
      <c r="UDD55" s="15"/>
      <c r="UDE55" s="15"/>
      <c r="UDF55" s="15"/>
      <c r="UDG55" s="15"/>
      <c r="UDH55" s="15"/>
      <c r="UDI55" s="15"/>
      <c r="UDJ55" s="15"/>
      <c r="UDK55" s="15"/>
      <c r="UDL55" s="15"/>
      <c r="UDM55" s="15"/>
      <c r="UDN55" s="15"/>
      <c r="UDO55" s="15"/>
      <c r="UDP55" s="15"/>
      <c r="UDQ55" s="15"/>
      <c r="UDR55" s="15"/>
      <c r="UDS55" s="15"/>
      <c r="UDT55" s="15"/>
      <c r="UDU55" s="15"/>
      <c r="UDV55" s="15"/>
      <c r="UDW55" s="15"/>
      <c r="UDX55" s="15"/>
      <c r="UDY55" s="15"/>
      <c r="UDZ55" s="15"/>
      <c r="UEA55" s="15"/>
      <c r="UEB55" s="15"/>
      <c r="UEC55" s="15"/>
      <c r="UED55" s="15"/>
      <c r="UEE55" s="15"/>
      <c r="UEF55" s="15"/>
      <c r="UEG55" s="15"/>
      <c r="UEH55" s="15"/>
      <c r="UEI55" s="15"/>
      <c r="UEJ55" s="15"/>
      <c r="UEK55" s="15"/>
      <c r="UEL55" s="15"/>
      <c r="UEM55" s="15"/>
      <c r="UEN55" s="15"/>
      <c r="UEO55" s="15"/>
      <c r="UEP55" s="15"/>
      <c r="UEQ55" s="15"/>
      <c r="UER55" s="15"/>
      <c r="UES55" s="15"/>
      <c r="UET55" s="15"/>
      <c r="UEU55" s="15"/>
      <c r="UEV55" s="15"/>
      <c r="UEW55" s="15"/>
      <c r="UEX55" s="15"/>
      <c r="UEY55" s="15"/>
      <c r="UEZ55" s="15"/>
      <c r="UFA55" s="15"/>
      <c r="UFB55" s="15"/>
      <c r="UFC55" s="15"/>
      <c r="UFD55" s="15"/>
      <c r="UFE55" s="15"/>
      <c r="UFF55" s="15"/>
      <c r="UFG55" s="15"/>
      <c r="UFH55" s="15"/>
      <c r="UFI55" s="15"/>
      <c r="UFJ55" s="15"/>
      <c r="UFK55" s="15"/>
      <c r="UFL55" s="15"/>
      <c r="UFM55" s="15"/>
      <c r="UFN55" s="15"/>
      <c r="UFO55" s="15"/>
      <c r="UFP55" s="15"/>
      <c r="UFQ55" s="15"/>
      <c r="UFR55" s="15"/>
      <c r="UFS55" s="15"/>
      <c r="UFT55" s="15"/>
      <c r="UFU55" s="15"/>
      <c r="UFV55" s="15"/>
      <c r="UFW55" s="15"/>
      <c r="UFX55" s="15"/>
      <c r="UFY55" s="15"/>
      <c r="UFZ55" s="15"/>
      <c r="UGA55" s="15"/>
      <c r="UGB55" s="15"/>
      <c r="UGC55" s="15"/>
      <c r="UGD55" s="15"/>
      <c r="UGE55" s="15"/>
      <c r="UGF55" s="15"/>
      <c r="UGG55" s="15"/>
      <c r="UGH55" s="15"/>
      <c r="UGI55" s="15"/>
      <c r="UGJ55" s="15"/>
      <c r="UGK55" s="15"/>
      <c r="UGL55" s="15"/>
      <c r="UGM55" s="15"/>
      <c r="UGN55" s="15"/>
      <c r="UGO55" s="15"/>
      <c r="UGP55" s="15"/>
      <c r="UGQ55" s="15"/>
      <c r="UGR55" s="15"/>
      <c r="UGS55" s="15"/>
      <c r="UGT55" s="15"/>
      <c r="UGU55" s="15"/>
      <c r="UGV55" s="15"/>
      <c r="UGW55" s="15"/>
      <c r="UGX55" s="15"/>
      <c r="UGY55" s="15"/>
      <c r="UGZ55" s="15"/>
      <c r="UHA55" s="15"/>
      <c r="UHB55" s="15"/>
      <c r="UHC55" s="15"/>
      <c r="UHD55" s="15"/>
      <c r="UHE55" s="15"/>
      <c r="UHF55" s="15"/>
      <c r="UHG55" s="15"/>
      <c r="UHH55" s="15"/>
      <c r="UHI55" s="15"/>
      <c r="UHJ55" s="15"/>
      <c r="UHK55" s="15"/>
      <c r="UHL55" s="15"/>
      <c r="UHM55" s="15"/>
      <c r="UHN55" s="15"/>
      <c r="UHO55" s="15"/>
      <c r="UHP55" s="15"/>
      <c r="UHQ55" s="15"/>
      <c r="UHR55" s="15"/>
      <c r="UHS55" s="15"/>
      <c r="UHT55" s="15"/>
      <c r="UHU55" s="15"/>
      <c r="UHV55" s="15"/>
      <c r="UHW55" s="15"/>
      <c r="UHX55" s="15"/>
      <c r="UHY55" s="15"/>
      <c r="UHZ55" s="15"/>
      <c r="UIA55" s="15"/>
      <c r="UIB55" s="15"/>
      <c r="UIC55" s="15"/>
      <c r="UID55" s="15"/>
      <c r="UIE55" s="15"/>
      <c r="UIF55" s="15"/>
      <c r="UIG55" s="15"/>
      <c r="UIH55" s="15"/>
      <c r="UII55" s="15"/>
      <c r="UIJ55" s="15"/>
      <c r="UIK55" s="15"/>
      <c r="UIL55" s="15"/>
      <c r="UIM55" s="15"/>
      <c r="UIN55" s="15"/>
      <c r="UIO55" s="15"/>
      <c r="UIP55" s="15"/>
      <c r="UIQ55" s="15"/>
      <c r="UIR55" s="15"/>
      <c r="UIS55" s="15"/>
      <c r="UIT55" s="15"/>
      <c r="UIU55" s="15"/>
      <c r="UIV55" s="15"/>
      <c r="UIW55" s="15"/>
      <c r="UIX55" s="15"/>
      <c r="UIY55" s="15"/>
      <c r="UIZ55" s="15"/>
      <c r="UJA55" s="15"/>
      <c r="UJB55" s="15"/>
      <c r="UJC55" s="15"/>
      <c r="UJD55" s="15"/>
      <c r="UJE55" s="15"/>
      <c r="UJF55" s="15"/>
      <c r="UJG55" s="15"/>
      <c r="UJH55" s="15"/>
      <c r="UJI55" s="15"/>
      <c r="UJJ55" s="15"/>
      <c r="UJK55" s="15"/>
      <c r="UJL55" s="15"/>
      <c r="UJM55" s="15"/>
      <c r="UJN55" s="15"/>
      <c r="UJO55" s="15"/>
      <c r="UJP55" s="15"/>
      <c r="UJQ55" s="15"/>
      <c r="UJR55" s="15"/>
      <c r="UJS55" s="15"/>
      <c r="UJT55" s="15"/>
      <c r="UJU55" s="15"/>
      <c r="UJV55" s="15"/>
      <c r="UJW55" s="15"/>
      <c r="UJX55" s="15"/>
      <c r="UJY55" s="15"/>
      <c r="UJZ55" s="15"/>
      <c r="UKA55" s="15"/>
      <c r="UKB55" s="15"/>
      <c r="UKC55" s="15"/>
      <c r="UKD55" s="15"/>
      <c r="UKE55" s="15"/>
      <c r="UKF55" s="15"/>
      <c r="UKG55" s="15"/>
      <c r="UKH55" s="15"/>
      <c r="UKI55" s="15"/>
      <c r="UKJ55" s="15"/>
      <c r="UKK55" s="15"/>
      <c r="UKL55" s="15"/>
      <c r="UKM55" s="15"/>
      <c r="UKN55" s="15"/>
      <c r="UKO55" s="15"/>
      <c r="UKP55" s="15"/>
      <c r="UKQ55" s="15"/>
      <c r="UKR55" s="15"/>
      <c r="UKS55" s="15"/>
      <c r="UKT55" s="15"/>
      <c r="UKU55" s="15"/>
      <c r="UKV55" s="15"/>
      <c r="UKW55" s="15"/>
      <c r="UKX55" s="15"/>
      <c r="UKY55" s="15"/>
      <c r="UKZ55" s="15"/>
      <c r="ULA55" s="15"/>
      <c r="ULB55" s="15"/>
      <c r="ULC55" s="15"/>
      <c r="ULD55" s="15"/>
      <c r="ULE55" s="15"/>
      <c r="ULF55" s="15"/>
      <c r="ULG55" s="15"/>
      <c r="ULH55" s="15"/>
      <c r="ULI55" s="15"/>
      <c r="ULJ55" s="15"/>
      <c r="ULK55" s="15"/>
      <c r="ULL55" s="15"/>
      <c r="ULM55" s="15"/>
      <c r="ULN55" s="15"/>
      <c r="ULO55" s="15"/>
      <c r="ULP55" s="15"/>
      <c r="ULQ55" s="15"/>
      <c r="ULR55" s="15"/>
      <c r="ULS55" s="15"/>
      <c r="ULT55" s="15"/>
      <c r="ULU55" s="15"/>
      <c r="ULV55" s="15"/>
      <c r="ULW55" s="15"/>
      <c r="ULX55" s="15"/>
      <c r="ULY55" s="15"/>
      <c r="ULZ55" s="15"/>
      <c r="UMA55" s="15"/>
      <c r="UMB55" s="15"/>
      <c r="UMC55" s="15"/>
      <c r="UMD55" s="15"/>
      <c r="UME55" s="15"/>
      <c r="UMF55" s="15"/>
      <c r="UMG55" s="15"/>
      <c r="UMH55" s="15"/>
      <c r="UMI55" s="15"/>
      <c r="UMJ55" s="15"/>
      <c r="UMK55" s="15"/>
      <c r="UML55" s="15"/>
      <c r="UMM55" s="15"/>
      <c r="UMN55" s="15"/>
      <c r="UMO55" s="15"/>
      <c r="UMP55" s="15"/>
      <c r="UMQ55" s="15"/>
      <c r="UMR55" s="15"/>
      <c r="UMS55" s="15"/>
      <c r="UMT55" s="15"/>
      <c r="UMU55" s="15"/>
      <c r="UMV55" s="15"/>
      <c r="UMW55" s="15"/>
      <c r="UMX55" s="15"/>
      <c r="UMY55" s="15"/>
      <c r="UMZ55" s="15"/>
      <c r="UNA55" s="15"/>
      <c r="UNB55" s="15"/>
      <c r="UNC55" s="15"/>
      <c r="UND55" s="15"/>
      <c r="UNE55" s="15"/>
      <c r="UNF55" s="15"/>
      <c r="UNG55" s="15"/>
      <c r="UNH55" s="15"/>
      <c r="UNI55" s="15"/>
      <c r="UNJ55" s="15"/>
      <c r="UNK55" s="15"/>
      <c r="UNL55" s="15"/>
      <c r="UNM55" s="15"/>
      <c r="UNN55" s="15"/>
      <c r="UNO55" s="15"/>
      <c r="UNP55" s="15"/>
      <c r="UNQ55" s="15"/>
      <c r="UNR55" s="15"/>
      <c r="UNS55" s="15"/>
      <c r="UNT55" s="15"/>
      <c r="UNU55" s="15"/>
      <c r="UNV55" s="15"/>
      <c r="UNW55" s="15"/>
      <c r="UNX55" s="15"/>
      <c r="UNY55" s="15"/>
      <c r="UNZ55" s="15"/>
      <c r="UOA55" s="15"/>
      <c r="UOB55" s="15"/>
      <c r="UOC55" s="15"/>
      <c r="UOD55" s="15"/>
      <c r="UOE55" s="15"/>
      <c r="UOF55" s="15"/>
      <c r="UOG55" s="15"/>
      <c r="UOH55" s="15"/>
      <c r="UOI55" s="15"/>
      <c r="UOJ55" s="15"/>
      <c r="UOK55" s="15"/>
      <c r="UOL55" s="15"/>
      <c r="UOM55" s="15"/>
      <c r="UON55" s="15"/>
      <c r="UOO55" s="15"/>
      <c r="UOP55" s="15"/>
      <c r="UOQ55" s="15"/>
      <c r="UOR55" s="15"/>
      <c r="UOS55" s="15"/>
      <c r="UOT55" s="15"/>
      <c r="UOU55" s="15"/>
      <c r="UOV55" s="15"/>
      <c r="UOW55" s="15"/>
      <c r="UOX55" s="15"/>
      <c r="UOY55" s="15"/>
      <c r="UOZ55" s="15"/>
      <c r="UPA55" s="15"/>
      <c r="UPB55" s="15"/>
      <c r="UPC55" s="15"/>
      <c r="UPD55" s="15"/>
      <c r="UPE55" s="15"/>
      <c r="UPF55" s="15"/>
      <c r="UPG55" s="15"/>
      <c r="UPH55" s="15"/>
      <c r="UPI55" s="15"/>
      <c r="UPJ55" s="15"/>
      <c r="UPK55" s="15"/>
      <c r="UPL55" s="15"/>
      <c r="UPM55" s="15"/>
      <c r="UPN55" s="15"/>
      <c r="UPO55" s="15"/>
      <c r="UPP55" s="15"/>
      <c r="UPQ55" s="15"/>
      <c r="UPR55" s="15"/>
      <c r="UPS55" s="15"/>
      <c r="UPT55" s="15"/>
      <c r="UPU55" s="15"/>
      <c r="UPV55" s="15"/>
      <c r="UPW55" s="15"/>
      <c r="UPX55" s="15"/>
      <c r="UPY55" s="15"/>
      <c r="UPZ55" s="15"/>
      <c r="UQA55" s="15"/>
      <c r="UQB55" s="15"/>
      <c r="UQC55" s="15"/>
      <c r="UQD55" s="15"/>
      <c r="UQE55" s="15"/>
      <c r="UQF55" s="15"/>
      <c r="UQG55" s="15"/>
      <c r="UQH55" s="15"/>
      <c r="UQI55" s="15"/>
      <c r="UQJ55" s="15"/>
      <c r="UQK55" s="15"/>
      <c r="UQL55" s="15"/>
      <c r="UQM55" s="15"/>
      <c r="UQN55" s="15"/>
      <c r="UQO55" s="15"/>
      <c r="UQP55" s="15"/>
      <c r="UQQ55" s="15"/>
      <c r="UQR55" s="15"/>
      <c r="UQS55" s="15"/>
      <c r="UQT55" s="15"/>
      <c r="UQU55" s="15"/>
      <c r="UQV55" s="15"/>
      <c r="UQW55" s="15"/>
      <c r="UQX55" s="15"/>
      <c r="UQY55" s="15"/>
      <c r="UQZ55" s="15"/>
      <c r="URA55" s="15"/>
      <c r="URB55" s="15"/>
      <c r="URC55" s="15"/>
      <c r="URD55" s="15"/>
      <c r="URE55" s="15"/>
      <c r="URF55" s="15"/>
      <c r="URG55" s="15"/>
      <c r="URH55" s="15"/>
      <c r="URI55" s="15"/>
      <c r="URJ55" s="15"/>
      <c r="URK55" s="15"/>
      <c r="URL55" s="15"/>
      <c r="URM55" s="15"/>
      <c r="URN55" s="15"/>
      <c r="URO55" s="15"/>
      <c r="URP55" s="15"/>
      <c r="URQ55" s="15"/>
      <c r="URR55" s="15"/>
      <c r="URS55" s="15"/>
      <c r="URT55" s="15"/>
      <c r="URU55" s="15"/>
      <c r="URV55" s="15"/>
      <c r="URW55" s="15"/>
      <c r="URX55" s="15"/>
      <c r="URY55" s="15"/>
      <c r="URZ55" s="15"/>
      <c r="USA55" s="15"/>
      <c r="USB55" s="15"/>
      <c r="USC55" s="15"/>
      <c r="USD55" s="15"/>
      <c r="USE55" s="15"/>
      <c r="USF55" s="15"/>
      <c r="USG55" s="15"/>
      <c r="USH55" s="15"/>
      <c r="USI55" s="15"/>
      <c r="USJ55" s="15"/>
      <c r="USK55" s="15"/>
      <c r="USL55" s="15"/>
      <c r="USM55" s="15"/>
      <c r="USN55" s="15"/>
      <c r="USO55" s="15"/>
      <c r="USP55" s="15"/>
      <c r="USQ55" s="15"/>
      <c r="USR55" s="15"/>
      <c r="USS55" s="15"/>
      <c r="UST55" s="15"/>
      <c r="USU55" s="15"/>
      <c r="USV55" s="15"/>
      <c r="USW55" s="15"/>
      <c r="USX55" s="15"/>
      <c r="USY55" s="15"/>
      <c r="USZ55" s="15"/>
      <c r="UTA55" s="15"/>
      <c r="UTB55" s="15"/>
      <c r="UTC55" s="15"/>
      <c r="UTD55" s="15"/>
      <c r="UTE55" s="15"/>
      <c r="UTF55" s="15"/>
      <c r="UTG55" s="15"/>
      <c r="UTH55" s="15"/>
      <c r="UTI55" s="15"/>
      <c r="UTJ55" s="15"/>
      <c r="UTK55" s="15"/>
      <c r="UTL55" s="15"/>
      <c r="UTM55" s="15"/>
      <c r="UTN55" s="15"/>
      <c r="UTO55" s="15"/>
      <c r="UTP55" s="15"/>
      <c r="UTQ55" s="15"/>
      <c r="UTR55" s="15"/>
      <c r="UTS55" s="15"/>
      <c r="UTT55" s="15"/>
      <c r="UTU55" s="15"/>
      <c r="UTV55" s="15"/>
      <c r="UTW55" s="15"/>
      <c r="UTX55" s="15"/>
      <c r="UTY55" s="15"/>
      <c r="UTZ55" s="15"/>
      <c r="UUA55" s="15"/>
      <c r="UUB55" s="15"/>
      <c r="UUC55" s="15"/>
      <c r="UUD55" s="15"/>
      <c r="UUE55" s="15"/>
      <c r="UUF55" s="15"/>
      <c r="UUG55" s="15"/>
      <c r="UUH55" s="15"/>
      <c r="UUI55" s="15"/>
      <c r="UUJ55" s="15"/>
      <c r="UUK55" s="15"/>
      <c r="UUL55" s="15"/>
      <c r="UUM55" s="15"/>
      <c r="UUN55" s="15"/>
      <c r="UUO55" s="15"/>
      <c r="UUP55" s="15"/>
      <c r="UUQ55" s="15"/>
      <c r="UUR55" s="15"/>
      <c r="UUS55" s="15"/>
      <c r="UUT55" s="15"/>
      <c r="UUU55" s="15"/>
      <c r="UUV55" s="15"/>
      <c r="UUW55" s="15"/>
      <c r="UUX55" s="15"/>
      <c r="UUY55" s="15"/>
      <c r="UUZ55" s="15"/>
      <c r="UVA55" s="15"/>
      <c r="UVB55" s="15"/>
      <c r="UVC55" s="15"/>
      <c r="UVD55" s="15"/>
      <c r="UVE55" s="15"/>
      <c r="UVF55" s="15"/>
      <c r="UVG55" s="15"/>
      <c r="UVH55" s="15"/>
      <c r="UVI55" s="15"/>
      <c r="UVJ55" s="15"/>
      <c r="UVK55" s="15"/>
      <c r="UVL55" s="15"/>
      <c r="UVM55" s="15"/>
      <c r="UVN55" s="15"/>
      <c r="UVO55" s="15"/>
      <c r="UVP55" s="15"/>
      <c r="UVQ55" s="15"/>
      <c r="UVR55" s="15"/>
      <c r="UVS55" s="15"/>
      <c r="UVT55" s="15"/>
      <c r="UVU55" s="15"/>
      <c r="UVV55" s="15"/>
      <c r="UVW55" s="15"/>
      <c r="UVX55" s="15"/>
      <c r="UVY55" s="15"/>
      <c r="UVZ55" s="15"/>
      <c r="UWA55" s="15"/>
      <c r="UWB55" s="15"/>
      <c r="UWC55" s="15"/>
      <c r="UWD55" s="15"/>
      <c r="UWE55" s="15"/>
      <c r="UWF55" s="15"/>
      <c r="UWG55" s="15"/>
      <c r="UWH55" s="15"/>
      <c r="UWI55" s="15"/>
      <c r="UWJ55" s="15"/>
      <c r="UWK55" s="15"/>
      <c r="UWL55" s="15"/>
      <c r="UWM55" s="15"/>
      <c r="UWN55" s="15"/>
      <c r="UWO55" s="15"/>
      <c r="UWP55" s="15"/>
      <c r="UWQ55" s="15"/>
      <c r="UWR55" s="15"/>
      <c r="UWS55" s="15"/>
      <c r="UWT55" s="15"/>
      <c r="UWU55" s="15"/>
      <c r="UWV55" s="15"/>
      <c r="UWW55" s="15"/>
      <c r="UWX55" s="15"/>
      <c r="UWY55" s="15"/>
      <c r="UWZ55" s="15"/>
      <c r="UXA55" s="15"/>
      <c r="UXB55" s="15"/>
      <c r="UXC55" s="15"/>
      <c r="UXD55" s="15"/>
      <c r="UXE55" s="15"/>
      <c r="UXF55" s="15"/>
      <c r="UXG55" s="15"/>
      <c r="UXH55" s="15"/>
      <c r="UXI55" s="15"/>
      <c r="UXJ55" s="15"/>
      <c r="UXK55" s="15"/>
      <c r="UXL55" s="15"/>
      <c r="UXM55" s="15"/>
      <c r="UXN55" s="15"/>
      <c r="UXO55" s="15"/>
      <c r="UXP55" s="15"/>
      <c r="UXQ55" s="15"/>
      <c r="UXR55" s="15"/>
      <c r="UXS55" s="15"/>
      <c r="UXT55" s="15"/>
      <c r="UXU55" s="15"/>
      <c r="UXV55" s="15"/>
      <c r="UXW55" s="15"/>
      <c r="UXX55" s="15"/>
      <c r="UXY55" s="15"/>
      <c r="UXZ55" s="15"/>
      <c r="UYA55" s="15"/>
      <c r="UYB55" s="15"/>
      <c r="UYC55" s="15"/>
      <c r="UYD55" s="15"/>
      <c r="UYE55" s="15"/>
      <c r="UYF55" s="15"/>
      <c r="UYG55" s="15"/>
      <c r="UYH55" s="15"/>
      <c r="UYI55" s="15"/>
      <c r="UYJ55" s="15"/>
      <c r="UYK55" s="15"/>
      <c r="UYL55" s="15"/>
      <c r="UYM55" s="15"/>
      <c r="UYN55" s="15"/>
      <c r="UYO55" s="15"/>
      <c r="UYP55" s="15"/>
      <c r="UYQ55" s="15"/>
      <c r="UYR55" s="15"/>
      <c r="UYS55" s="15"/>
      <c r="UYT55" s="15"/>
      <c r="UYU55" s="15"/>
      <c r="UYV55" s="15"/>
      <c r="UYW55" s="15"/>
      <c r="UYX55" s="15"/>
      <c r="UYY55" s="15"/>
      <c r="UYZ55" s="15"/>
      <c r="UZA55" s="15"/>
      <c r="UZB55" s="15"/>
      <c r="UZC55" s="15"/>
      <c r="UZD55" s="15"/>
      <c r="UZE55" s="15"/>
      <c r="UZF55" s="15"/>
      <c r="UZG55" s="15"/>
      <c r="UZH55" s="15"/>
      <c r="UZI55" s="15"/>
      <c r="UZJ55" s="15"/>
      <c r="UZK55" s="15"/>
      <c r="UZL55" s="15"/>
      <c r="UZM55" s="15"/>
      <c r="UZN55" s="15"/>
      <c r="UZO55" s="15"/>
      <c r="UZP55" s="15"/>
      <c r="UZQ55" s="15"/>
      <c r="UZR55" s="15"/>
      <c r="UZS55" s="15"/>
      <c r="UZT55" s="15"/>
      <c r="UZU55" s="15"/>
      <c r="UZV55" s="15"/>
      <c r="UZW55" s="15"/>
      <c r="UZX55" s="15"/>
      <c r="UZY55" s="15"/>
      <c r="UZZ55" s="15"/>
      <c r="VAA55" s="15"/>
      <c r="VAB55" s="15"/>
      <c r="VAC55" s="15"/>
      <c r="VAD55" s="15"/>
      <c r="VAE55" s="15"/>
      <c r="VAF55" s="15"/>
      <c r="VAG55" s="15"/>
      <c r="VAH55" s="15"/>
      <c r="VAI55" s="15"/>
      <c r="VAJ55" s="15"/>
      <c r="VAK55" s="15"/>
      <c r="VAL55" s="15"/>
      <c r="VAM55" s="15"/>
      <c r="VAN55" s="15"/>
      <c r="VAO55" s="15"/>
      <c r="VAP55" s="15"/>
      <c r="VAQ55" s="15"/>
      <c r="VAR55" s="15"/>
      <c r="VAS55" s="15"/>
      <c r="VAT55" s="15"/>
      <c r="VAU55" s="15"/>
      <c r="VAV55" s="15"/>
      <c r="VAW55" s="15"/>
      <c r="VAX55" s="15"/>
      <c r="VAY55" s="15"/>
      <c r="VAZ55" s="15"/>
      <c r="VBA55" s="15"/>
      <c r="VBB55" s="15"/>
      <c r="VBC55" s="15"/>
      <c r="VBD55" s="15"/>
      <c r="VBE55" s="15"/>
      <c r="VBF55" s="15"/>
      <c r="VBG55" s="15"/>
      <c r="VBH55" s="15"/>
      <c r="VBI55" s="15"/>
      <c r="VBJ55" s="15"/>
      <c r="VBK55" s="15"/>
      <c r="VBL55" s="15"/>
      <c r="VBM55" s="15"/>
      <c r="VBN55" s="15"/>
      <c r="VBO55" s="15"/>
      <c r="VBP55" s="15"/>
      <c r="VBQ55" s="15"/>
      <c r="VBR55" s="15"/>
      <c r="VBS55" s="15"/>
      <c r="VBT55" s="15"/>
      <c r="VBU55" s="15"/>
      <c r="VBV55" s="15"/>
      <c r="VBW55" s="15"/>
      <c r="VBX55" s="15"/>
      <c r="VBY55" s="15"/>
      <c r="VBZ55" s="15"/>
      <c r="VCA55" s="15"/>
      <c r="VCB55" s="15"/>
      <c r="VCC55" s="15"/>
      <c r="VCD55" s="15"/>
      <c r="VCE55" s="15"/>
      <c r="VCF55" s="15"/>
      <c r="VCG55" s="15"/>
      <c r="VCH55" s="15"/>
      <c r="VCI55" s="15"/>
      <c r="VCJ55" s="15"/>
      <c r="VCK55" s="15"/>
      <c r="VCL55" s="15"/>
      <c r="VCM55" s="15"/>
      <c r="VCN55" s="15"/>
      <c r="VCO55" s="15"/>
      <c r="VCP55" s="15"/>
      <c r="VCQ55" s="15"/>
      <c r="VCR55" s="15"/>
      <c r="VCS55" s="15"/>
      <c r="VCT55" s="15"/>
      <c r="VCU55" s="15"/>
      <c r="VCV55" s="15"/>
      <c r="VCW55" s="15"/>
      <c r="VCX55" s="15"/>
      <c r="VCY55" s="15"/>
      <c r="VCZ55" s="15"/>
      <c r="VDA55" s="15"/>
      <c r="VDB55" s="15"/>
      <c r="VDC55" s="15"/>
      <c r="VDD55" s="15"/>
      <c r="VDE55" s="15"/>
      <c r="VDF55" s="15"/>
      <c r="VDG55" s="15"/>
      <c r="VDH55" s="15"/>
      <c r="VDI55" s="15"/>
      <c r="VDJ55" s="15"/>
      <c r="VDK55" s="15"/>
      <c r="VDL55" s="15"/>
      <c r="VDM55" s="15"/>
      <c r="VDN55" s="15"/>
      <c r="VDO55" s="15"/>
      <c r="VDP55" s="15"/>
      <c r="VDQ55" s="15"/>
      <c r="VDR55" s="15"/>
      <c r="VDS55" s="15"/>
      <c r="VDT55" s="15"/>
      <c r="VDU55" s="15"/>
      <c r="VDV55" s="15"/>
      <c r="VDW55" s="15"/>
      <c r="VDX55" s="15"/>
      <c r="VDY55" s="15"/>
      <c r="VDZ55" s="15"/>
      <c r="VEA55" s="15"/>
      <c r="VEB55" s="15"/>
      <c r="VEC55" s="15"/>
      <c r="VED55" s="15"/>
      <c r="VEE55" s="15"/>
      <c r="VEF55" s="15"/>
      <c r="VEG55" s="15"/>
      <c r="VEH55" s="15"/>
      <c r="VEI55" s="15"/>
      <c r="VEJ55" s="15"/>
      <c r="VEK55" s="15"/>
      <c r="VEL55" s="15"/>
      <c r="VEM55" s="15"/>
      <c r="VEN55" s="15"/>
      <c r="VEO55" s="15"/>
      <c r="VEP55" s="15"/>
      <c r="VEQ55" s="15"/>
      <c r="VER55" s="15"/>
      <c r="VES55" s="15"/>
      <c r="VET55" s="15"/>
      <c r="VEU55" s="15"/>
      <c r="VEV55" s="15"/>
      <c r="VEW55" s="15"/>
      <c r="VEX55" s="15"/>
      <c r="VEY55" s="15"/>
      <c r="VEZ55" s="15"/>
      <c r="VFA55" s="15"/>
      <c r="VFB55" s="15"/>
      <c r="VFC55" s="15"/>
      <c r="VFD55" s="15"/>
      <c r="VFE55" s="15"/>
      <c r="VFF55" s="15"/>
      <c r="VFG55" s="15"/>
      <c r="VFH55" s="15"/>
      <c r="VFI55" s="15"/>
      <c r="VFJ55" s="15"/>
      <c r="VFK55" s="15"/>
      <c r="VFL55" s="15"/>
      <c r="VFM55" s="15"/>
      <c r="VFN55" s="15"/>
      <c r="VFO55" s="15"/>
      <c r="VFP55" s="15"/>
      <c r="VFQ55" s="15"/>
      <c r="VFR55" s="15"/>
      <c r="VFS55" s="15"/>
      <c r="VFT55" s="15"/>
      <c r="VFU55" s="15"/>
      <c r="VFV55" s="15"/>
      <c r="VFW55" s="15"/>
      <c r="VFX55" s="15"/>
      <c r="VFY55" s="15"/>
      <c r="VFZ55" s="15"/>
      <c r="VGA55" s="15"/>
      <c r="VGB55" s="15"/>
      <c r="VGC55" s="15"/>
      <c r="VGD55" s="15"/>
      <c r="VGE55" s="15"/>
      <c r="VGF55" s="15"/>
      <c r="VGG55" s="15"/>
      <c r="VGH55" s="15"/>
      <c r="VGI55" s="15"/>
      <c r="VGJ55" s="15"/>
      <c r="VGK55" s="15"/>
      <c r="VGL55" s="15"/>
      <c r="VGM55" s="15"/>
      <c r="VGN55" s="15"/>
      <c r="VGO55" s="15"/>
      <c r="VGP55" s="15"/>
      <c r="VGQ55" s="15"/>
      <c r="VGR55" s="15"/>
      <c r="VGS55" s="15"/>
      <c r="VGT55" s="15"/>
      <c r="VGU55" s="15"/>
      <c r="VGV55" s="15"/>
      <c r="VGW55" s="15"/>
      <c r="VGX55" s="15"/>
      <c r="VGY55" s="15"/>
      <c r="VGZ55" s="15"/>
      <c r="VHA55" s="15"/>
      <c r="VHB55" s="15"/>
      <c r="VHC55" s="15"/>
      <c r="VHD55" s="15"/>
      <c r="VHE55" s="15"/>
      <c r="VHF55" s="15"/>
      <c r="VHG55" s="15"/>
      <c r="VHH55" s="15"/>
      <c r="VHI55" s="15"/>
      <c r="VHJ55" s="15"/>
      <c r="VHK55" s="15"/>
      <c r="VHL55" s="15"/>
      <c r="VHM55" s="15"/>
      <c r="VHN55" s="15"/>
      <c r="VHO55" s="15"/>
      <c r="VHP55" s="15"/>
      <c r="VHQ55" s="15"/>
      <c r="VHR55" s="15"/>
      <c r="VHS55" s="15"/>
      <c r="VHT55" s="15"/>
      <c r="VHU55" s="15"/>
      <c r="VHV55" s="15"/>
      <c r="VHW55" s="15"/>
      <c r="VHX55" s="15"/>
      <c r="VHY55" s="15"/>
      <c r="VHZ55" s="15"/>
      <c r="VIA55" s="15"/>
      <c r="VIB55" s="15"/>
      <c r="VIC55" s="15"/>
      <c r="VID55" s="15"/>
      <c r="VIE55" s="15"/>
      <c r="VIF55" s="15"/>
      <c r="VIG55" s="15"/>
      <c r="VIH55" s="15"/>
      <c r="VII55" s="15"/>
      <c r="VIJ55" s="15"/>
      <c r="VIK55" s="15"/>
      <c r="VIL55" s="15"/>
      <c r="VIM55" s="15"/>
      <c r="VIN55" s="15"/>
      <c r="VIO55" s="15"/>
      <c r="VIP55" s="15"/>
      <c r="VIQ55" s="15"/>
      <c r="VIR55" s="15"/>
      <c r="VIS55" s="15"/>
      <c r="VIT55" s="15"/>
      <c r="VIU55" s="15"/>
      <c r="VIV55" s="15"/>
      <c r="VIW55" s="15"/>
      <c r="VIX55" s="15"/>
      <c r="VIY55" s="15"/>
      <c r="VIZ55" s="15"/>
      <c r="VJA55" s="15"/>
      <c r="VJB55" s="15"/>
      <c r="VJC55" s="15"/>
      <c r="VJD55" s="15"/>
      <c r="VJE55" s="15"/>
      <c r="VJF55" s="15"/>
      <c r="VJG55" s="15"/>
      <c r="VJH55" s="15"/>
      <c r="VJI55" s="15"/>
      <c r="VJJ55" s="15"/>
      <c r="VJK55" s="15"/>
      <c r="VJL55" s="15"/>
      <c r="VJM55" s="15"/>
      <c r="VJN55" s="15"/>
      <c r="VJO55" s="15"/>
      <c r="VJP55" s="15"/>
      <c r="VJQ55" s="15"/>
      <c r="VJR55" s="15"/>
      <c r="VJS55" s="15"/>
      <c r="VJT55" s="15"/>
      <c r="VJU55" s="15"/>
      <c r="VJV55" s="15"/>
      <c r="VJW55" s="15"/>
      <c r="VJX55" s="15"/>
      <c r="VJY55" s="15"/>
      <c r="VJZ55" s="15"/>
      <c r="VKA55" s="15"/>
      <c r="VKB55" s="15"/>
      <c r="VKC55" s="15"/>
      <c r="VKD55" s="15"/>
      <c r="VKE55" s="15"/>
      <c r="VKF55" s="15"/>
      <c r="VKG55" s="15"/>
      <c r="VKH55" s="15"/>
      <c r="VKI55" s="15"/>
      <c r="VKJ55" s="15"/>
      <c r="VKK55" s="15"/>
      <c r="VKL55" s="15"/>
      <c r="VKM55" s="15"/>
      <c r="VKN55" s="15"/>
      <c r="VKO55" s="15"/>
      <c r="VKP55" s="15"/>
      <c r="VKQ55" s="15"/>
      <c r="VKR55" s="15"/>
      <c r="VKS55" s="15"/>
      <c r="VKT55" s="15"/>
      <c r="VKU55" s="15"/>
      <c r="VKV55" s="15"/>
      <c r="VKW55" s="15"/>
      <c r="VKX55" s="15"/>
      <c r="VKY55" s="15"/>
      <c r="VKZ55" s="15"/>
      <c r="VLA55" s="15"/>
      <c r="VLB55" s="15"/>
      <c r="VLC55" s="15"/>
      <c r="VLD55" s="15"/>
      <c r="VLE55" s="15"/>
      <c r="VLF55" s="15"/>
      <c r="VLG55" s="15"/>
      <c r="VLH55" s="15"/>
      <c r="VLI55" s="15"/>
      <c r="VLJ55" s="15"/>
      <c r="VLK55" s="15"/>
      <c r="VLL55" s="15"/>
      <c r="VLM55" s="15"/>
      <c r="VLN55" s="15"/>
      <c r="VLO55" s="15"/>
      <c r="VLP55" s="15"/>
      <c r="VLQ55" s="15"/>
      <c r="VLR55" s="15"/>
      <c r="VLS55" s="15"/>
      <c r="VLT55" s="15"/>
      <c r="VLU55" s="15"/>
      <c r="VLV55" s="15"/>
      <c r="VLW55" s="15"/>
      <c r="VLX55" s="15"/>
      <c r="VLY55" s="15"/>
      <c r="VLZ55" s="15"/>
      <c r="VMA55" s="15"/>
      <c r="VMB55" s="15"/>
      <c r="VMC55" s="15"/>
      <c r="VMD55" s="15"/>
      <c r="VME55" s="15"/>
      <c r="VMF55" s="15"/>
      <c r="VMG55" s="15"/>
      <c r="VMH55" s="15"/>
      <c r="VMI55" s="15"/>
      <c r="VMJ55" s="15"/>
      <c r="VMK55" s="15"/>
      <c r="VML55" s="15"/>
      <c r="VMM55" s="15"/>
      <c r="VMN55" s="15"/>
      <c r="VMO55" s="15"/>
      <c r="VMP55" s="15"/>
      <c r="VMQ55" s="15"/>
      <c r="VMR55" s="15"/>
      <c r="VMS55" s="15"/>
      <c r="VMT55" s="15"/>
      <c r="VMU55" s="15"/>
      <c r="VMV55" s="15"/>
      <c r="VMW55" s="15"/>
      <c r="VMX55" s="15"/>
      <c r="VMY55" s="15"/>
      <c r="VMZ55" s="15"/>
      <c r="VNA55" s="15"/>
      <c r="VNB55" s="15"/>
      <c r="VNC55" s="15"/>
      <c r="VND55" s="15"/>
      <c r="VNE55" s="15"/>
      <c r="VNF55" s="15"/>
      <c r="VNG55" s="15"/>
      <c r="VNH55" s="15"/>
      <c r="VNI55" s="15"/>
      <c r="VNJ55" s="15"/>
      <c r="VNK55" s="15"/>
      <c r="VNL55" s="15"/>
      <c r="VNM55" s="15"/>
      <c r="VNN55" s="15"/>
      <c r="VNO55" s="15"/>
      <c r="VNP55" s="15"/>
      <c r="VNQ55" s="15"/>
      <c r="VNR55" s="15"/>
      <c r="VNS55" s="15"/>
      <c r="VNT55" s="15"/>
      <c r="VNU55" s="15"/>
      <c r="VNV55" s="15"/>
      <c r="VNW55" s="15"/>
      <c r="VNX55" s="15"/>
      <c r="VNY55" s="15"/>
      <c r="VNZ55" s="15"/>
      <c r="VOA55" s="15"/>
      <c r="VOB55" s="15"/>
      <c r="VOC55" s="15"/>
      <c r="VOD55" s="15"/>
      <c r="VOE55" s="15"/>
      <c r="VOF55" s="15"/>
      <c r="VOG55" s="15"/>
      <c r="VOH55" s="15"/>
      <c r="VOI55" s="15"/>
      <c r="VOJ55" s="15"/>
      <c r="VOK55" s="15"/>
      <c r="VOL55" s="15"/>
      <c r="VOM55" s="15"/>
      <c r="VON55" s="15"/>
      <c r="VOO55" s="15"/>
      <c r="VOP55" s="15"/>
      <c r="VOQ55" s="15"/>
      <c r="VOR55" s="15"/>
      <c r="VOS55" s="15"/>
      <c r="VOT55" s="15"/>
      <c r="VOU55" s="15"/>
      <c r="VOV55" s="15"/>
      <c r="VOW55" s="15"/>
      <c r="VOX55" s="15"/>
      <c r="VOY55" s="15"/>
      <c r="VOZ55" s="15"/>
      <c r="VPA55" s="15"/>
      <c r="VPB55" s="15"/>
      <c r="VPC55" s="15"/>
      <c r="VPD55" s="15"/>
      <c r="VPE55" s="15"/>
      <c r="VPF55" s="15"/>
      <c r="VPG55" s="15"/>
      <c r="VPH55" s="15"/>
      <c r="VPI55" s="15"/>
      <c r="VPJ55" s="15"/>
      <c r="VPK55" s="15"/>
      <c r="VPL55" s="15"/>
      <c r="VPM55" s="15"/>
      <c r="VPN55" s="15"/>
      <c r="VPO55" s="15"/>
      <c r="VPP55" s="15"/>
      <c r="VPQ55" s="15"/>
      <c r="VPR55" s="15"/>
      <c r="VPS55" s="15"/>
      <c r="VPT55" s="15"/>
      <c r="VPU55" s="15"/>
      <c r="VPV55" s="15"/>
      <c r="VPW55" s="15"/>
      <c r="VPX55" s="15"/>
      <c r="VPY55" s="15"/>
      <c r="VPZ55" s="15"/>
      <c r="VQA55" s="15"/>
      <c r="VQB55" s="15"/>
      <c r="VQC55" s="15"/>
      <c r="VQD55" s="15"/>
      <c r="VQE55" s="15"/>
      <c r="VQF55" s="15"/>
      <c r="VQG55" s="15"/>
      <c r="VQH55" s="15"/>
      <c r="VQI55" s="15"/>
      <c r="VQJ55" s="15"/>
      <c r="VQK55" s="15"/>
      <c r="VQL55" s="15"/>
      <c r="VQM55" s="15"/>
      <c r="VQN55" s="15"/>
      <c r="VQO55" s="15"/>
      <c r="VQP55" s="15"/>
      <c r="VQQ55" s="15"/>
      <c r="VQR55" s="15"/>
      <c r="VQS55" s="15"/>
      <c r="VQT55" s="15"/>
      <c r="VQU55" s="15"/>
      <c r="VQV55" s="15"/>
      <c r="VQW55" s="15"/>
      <c r="VQX55" s="15"/>
      <c r="VQY55" s="15"/>
      <c r="VQZ55" s="15"/>
      <c r="VRA55" s="15"/>
      <c r="VRB55" s="15"/>
      <c r="VRC55" s="15"/>
      <c r="VRD55" s="15"/>
      <c r="VRE55" s="15"/>
      <c r="VRF55" s="15"/>
      <c r="VRG55" s="15"/>
      <c r="VRH55" s="15"/>
      <c r="VRI55" s="15"/>
      <c r="VRJ55" s="15"/>
      <c r="VRK55" s="15"/>
      <c r="VRL55" s="15"/>
      <c r="VRM55" s="15"/>
      <c r="VRN55" s="15"/>
      <c r="VRO55" s="15"/>
      <c r="VRP55" s="15"/>
      <c r="VRQ55" s="15"/>
      <c r="VRR55" s="15"/>
      <c r="VRS55" s="15"/>
      <c r="VRT55" s="15"/>
      <c r="VRU55" s="15"/>
      <c r="VRV55" s="15"/>
      <c r="VRW55" s="15"/>
      <c r="VRX55" s="15"/>
      <c r="VRY55" s="15"/>
      <c r="VRZ55" s="15"/>
      <c r="VSA55" s="15"/>
      <c r="VSB55" s="15"/>
      <c r="VSC55" s="15"/>
      <c r="VSD55" s="15"/>
      <c r="VSE55" s="15"/>
      <c r="VSF55" s="15"/>
      <c r="VSG55" s="15"/>
      <c r="VSH55" s="15"/>
      <c r="VSI55" s="15"/>
      <c r="VSJ55" s="15"/>
      <c r="VSK55" s="15"/>
      <c r="VSL55" s="15"/>
      <c r="VSM55" s="15"/>
      <c r="VSN55" s="15"/>
      <c r="VSO55" s="15"/>
      <c r="VSP55" s="15"/>
      <c r="VSQ55" s="15"/>
      <c r="VSR55" s="15"/>
      <c r="VSS55" s="15"/>
      <c r="VST55" s="15"/>
      <c r="VSU55" s="15"/>
      <c r="VSV55" s="15"/>
      <c r="VSW55" s="15"/>
      <c r="VSX55" s="15"/>
      <c r="VSY55" s="15"/>
      <c r="VSZ55" s="15"/>
      <c r="VTA55" s="15"/>
      <c r="VTB55" s="15"/>
      <c r="VTC55" s="15"/>
      <c r="VTD55" s="15"/>
      <c r="VTE55" s="15"/>
      <c r="VTF55" s="15"/>
      <c r="VTG55" s="15"/>
      <c r="VTH55" s="15"/>
      <c r="VTI55" s="15"/>
      <c r="VTJ55" s="15"/>
      <c r="VTK55" s="15"/>
      <c r="VTL55" s="15"/>
      <c r="VTM55" s="15"/>
      <c r="VTN55" s="15"/>
      <c r="VTO55" s="15"/>
      <c r="VTP55" s="15"/>
      <c r="VTQ55" s="15"/>
      <c r="VTR55" s="15"/>
      <c r="VTS55" s="15"/>
      <c r="VTT55" s="15"/>
      <c r="VTU55" s="15"/>
      <c r="VTV55" s="15"/>
      <c r="VTW55" s="15"/>
      <c r="VTX55" s="15"/>
      <c r="VTY55" s="15"/>
      <c r="VTZ55" s="15"/>
      <c r="VUA55" s="15"/>
      <c r="VUB55" s="15"/>
      <c r="VUC55" s="15"/>
      <c r="VUD55" s="15"/>
      <c r="VUE55" s="15"/>
      <c r="VUF55" s="15"/>
      <c r="VUG55" s="15"/>
      <c r="VUH55" s="15"/>
      <c r="VUI55" s="15"/>
      <c r="VUJ55" s="15"/>
      <c r="VUK55" s="15"/>
      <c r="VUL55" s="15"/>
      <c r="VUM55" s="15"/>
      <c r="VUN55" s="15"/>
      <c r="VUO55" s="15"/>
      <c r="VUP55" s="15"/>
      <c r="VUQ55" s="15"/>
      <c r="VUR55" s="15"/>
      <c r="VUS55" s="15"/>
      <c r="VUT55" s="15"/>
      <c r="VUU55" s="15"/>
      <c r="VUV55" s="15"/>
      <c r="VUW55" s="15"/>
      <c r="VUX55" s="15"/>
      <c r="VUY55" s="15"/>
      <c r="VUZ55" s="15"/>
      <c r="VVA55" s="15"/>
      <c r="VVB55" s="15"/>
      <c r="VVC55" s="15"/>
      <c r="VVD55" s="15"/>
      <c r="VVE55" s="15"/>
      <c r="VVF55" s="15"/>
      <c r="VVG55" s="15"/>
      <c r="VVH55" s="15"/>
      <c r="VVI55" s="15"/>
      <c r="VVJ55" s="15"/>
      <c r="VVK55" s="15"/>
      <c r="VVL55" s="15"/>
      <c r="VVM55" s="15"/>
      <c r="VVN55" s="15"/>
      <c r="VVO55" s="15"/>
      <c r="VVP55" s="15"/>
      <c r="VVQ55" s="15"/>
      <c r="VVR55" s="15"/>
      <c r="VVS55" s="15"/>
      <c r="VVT55" s="15"/>
      <c r="VVU55" s="15"/>
      <c r="VVV55" s="15"/>
      <c r="VVW55" s="15"/>
      <c r="VVX55" s="15"/>
      <c r="VVY55" s="15"/>
      <c r="VVZ55" s="15"/>
      <c r="VWA55" s="15"/>
      <c r="VWB55" s="15"/>
      <c r="VWC55" s="15"/>
      <c r="VWD55" s="15"/>
      <c r="VWE55" s="15"/>
      <c r="VWF55" s="15"/>
      <c r="VWG55" s="15"/>
      <c r="VWH55" s="15"/>
      <c r="VWI55" s="15"/>
      <c r="VWJ55" s="15"/>
      <c r="VWK55" s="15"/>
      <c r="VWL55" s="15"/>
      <c r="VWM55" s="15"/>
      <c r="VWN55" s="15"/>
      <c r="VWO55" s="15"/>
      <c r="VWP55" s="15"/>
      <c r="VWQ55" s="15"/>
      <c r="VWR55" s="15"/>
      <c r="VWS55" s="15"/>
      <c r="VWT55" s="15"/>
      <c r="VWU55" s="15"/>
      <c r="VWV55" s="15"/>
      <c r="VWW55" s="15"/>
      <c r="VWX55" s="15"/>
      <c r="VWY55" s="15"/>
      <c r="VWZ55" s="15"/>
      <c r="VXA55" s="15"/>
      <c r="VXB55" s="15"/>
      <c r="VXC55" s="15"/>
      <c r="VXD55" s="15"/>
      <c r="VXE55" s="15"/>
      <c r="VXF55" s="15"/>
      <c r="VXG55" s="15"/>
      <c r="VXH55" s="15"/>
      <c r="VXI55" s="15"/>
      <c r="VXJ55" s="15"/>
      <c r="VXK55" s="15"/>
      <c r="VXL55" s="15"/>
      <c r="VXM55" s="15"/>
      <c r="VXN55" s="15"/>
      <c r="VXO55" s="15"/>
      <c r="VXP55" s="15"/>
      <c r="VXQ55" s="15"/>
      <c r="VXR55" s="15"/>
      <c r="VXS55" s="15"/>
      <c r="VXT55" s="15"/>
      <c r="VXU55" s="15"/>
      <c r="VXV55" s="15"/>
      <c r="VXW55" s="15"/>
      <c r="VXX55" s="15"/>
      <c r="VXY55" s="15"/>
      <c r="VXZ55" s="15"/>
      <c r="VYA55" s="15"/>
      <c r="VYB55" s="15"/>
      <c r="VYC55" s="15"/>
      <c r="VYD55" s="15"/>
      <c r="VYE55" s="15"/>
      <c r="VYF55" s="15"/>
      <c r="VYG55" s="15"/>
      <c r="VYH55" s="15"/>
      <c r="VYI55" s="15"/>
      <c r="VYJ55" s="15"/>
      <c r="VYK55" s="15"/>
      <c r="VYL55" s="15"/>
      <c r="VYM55" s="15"/>
      <c r="VYN55" s="15"/>
      <c r="VYO55" s="15"/>
      <c r="VYP55" s="15"/>
      <c r="VYQ55" s="15"/>
      <c r="VYR55" s="15"/>
      <c r="VYS55" s="15"/>
      <c r="VYT55" s="15"/>
      <c r="VYU55" s="15"/>
      <c r="VYV55" s="15"/>
      <c r="VYW55" s="15"/>
      <c r="VYX55" s="15"/>
      <c r="VYY55" s="15"/>
      <c r="VYZ55" s="15"/>
      <c r="VZA55" s="15"/>
      <c r="VZB55" s="15"/>
      <c r="VZC55" s="15"/>
      <c r="VZD55" s="15"/>
      <c r="VZE55" s="15"/>
      <c r="VZF55" s="15"/>
      <c r="VZG55" s="15"/>
      <c r="VZH55" s="15"/>
      <c r="VZI55" s="15"/>
      <c r="VZJ55" s="15"/>
      <c r="VZK55" s="15"/>
      <c r="VZL55" s="15"/>
      <c r="VZM55" s="15"/>
      <c r="VZN55" s="15"/>
      <c r="VZO55" s="15"/>
      <c r="VZP55" s="15"/>
      <c r="VZQ55" s="15"/>
      <c r="VZR55" s="15"/>
      <c r="VZS55" s="15"/>
      <c r="VZT55" s="15"/>
      <c r="VZU55" s="15"/>
      <c r="VZV55" s="15"/>
      <c r="VZW55" s="15"/>
      <c r="VZX55" s="15"/>
      <c r="VZY55" s="15"/>
      <c r="VZZ55" s="15"/>
      <c r="WAA55" s="15"/>
      <c r="WAB55" s="15"/>
      <c r="WAC55" s="15"/>
      <c r="WAD55" s="15"/>
      <c r="WAE55" s="15"/>
      <c r="WAF55" s="15"/>
      <c r="WAG55" s="15"/>
      <c r="WAH55" s="15"/>
      <c r="WAI55" s="15"/>
      <c r="WAJ55" s="15"/>
      <c r="WAK55" s="15"/>
      <c r="WAL55" s="15"/>
      <c r="WAM55" s="15"/>
      <c r="WAN55" s="15"/>
      <c r="WAO55" s="15"/>
      <c r="WAP55" s="15"/>
      <c r="WAQ55" s="15"/>
      <c r="WAR55" s="15"/>
      <c r="WAS55" s="15"/>
      <c r="WAT55" s="15"/>
      <c r="WAU55" s="15"/>
      <c r="WAV55" s="15"/>
      <c r="WAW55" s="15"/>
      <c r="WAX55" s="15"/>
      <c r="WAY55" s="15"/>
      <c r="WAZ55" s="15"/>
      <c r="WBA55" s="15"/>
      <c r="WBB55" s="15"/>
      <c r="WBC55" s="15"/>
      <c r="WBD55" s="15"/>
      <c r="WBE55" s="15"/>
      <c r="WBF55" s="15"/>
      <c r="WBG55" s="15"/>
      <c r="WBH55" s="15"/>
      <c r="WBI55" s="15"/>
      <c r="WBJ55" s="15"/>
      <c r="WBK55" s="15"/>
      <c r="WBL55" s="15"/>
      <c r="WBM55" s="15"/>
      <c r="WBN55" s="15"/>
      <c r="WBO55" s="15"/>
      <c r="WBP55" s="15"/>
      <c r="WBQ55" s="15"/>
      <c r="WBR55" s="15"/>
      <c r="WBS55" s="15"/>
      <c r="WBT55" s="15"/>
      <c r="WBU55" s="15"/>
      <c r="WBV55" s="15"/>
      <c r="WBW55" s="15"/>
      <c r="WBX55" s="15"/>
      <c r="WBY55" s="15"/>
      <c r="WBZ55" s="15"/>
      <c r="WCA55" s="15"/>
      <c r="WCB55" s="15"/>
      <c r="WCC55" s="15"/>
      <c r="WCD55" s="15"/>
      <c r="WCE55" s="15"/>
      <c r="WCF55" s="15"/>
      <c r="WCG55" s="15"/>
      <c r="WCH55" s="15"/>
      <c r="WCI55" s="15"/>
      <c r="WCJ55" s="15"/>
      <c r="WCK55" s="15"/>
      <c r="WCL55" s="15"/>
      <c r="WCM55" s="15"/>
      <c r="WCN55" s="15"/>
      <c r="WCO55" s="15"/>
      <c r="WCP55" s="15"/>
      <c r="WCQ55" s="15"/>
      <c r="WCR55" s="15"/>
      <c r="WCS55" s="15"/>
      <c r="WCT55" s="15"/>
      <c r="WCU55" s="15"/>
      <c r="WCV55" s="15"/>
      <c r="WCW55" s="15"/>
      <c r="WCX55" s="15"/>
      <c r="WCY55" s="15"/>
      <c r="WCZ55" s="15"/>
      <c r="WDA55" s="15"/>
      <c r="WDB55" s="15"/>
      <c r="WDC55" s="15"/>
      <c r="WDD55" s="15"/>
      <c r="WDE55" s="15"/>
      <c r="WDF55" s="15"/>
      <c r="WDG55" s="15"/>
      <c r="WDH55" s="15"/>
      <c r="WDI55" s="15"/>
      <c r="WDJ55" s="15"/>
      <c r="WDK55" s="15"/>
      <c r="WDL55" s="15"/>
      <c r="WDM55" s="15"/>
      <c r="WDN55" s="15"/>
      <c r="WDO55" s="15"/>
      <c r="WDP55" s="15"/>
      <c r="WDQ55" s="15"/>
      <c r="WDR55" s="15"/>
      <c r="WDS55" s="15"/>
      <c r="WDT55" s="15"/>
      <c r="WDU55" s="15"/>
      <c r="WDV55" s="15"/>
      <c r="WDW55" s="15"/>
      <c r="WDX55" s="15"/>
      <c r="WDY55" s="15"/>
      <c r="WDZ55" s="15"/>
      <c r="WEA55" s="15"/>
      <c r="WEB55" s="15"/>
      <c r="WEC55" s="15"/>
      <c r="WED55" s="15"/>
      <c r="WEE55" s="15"/>
      <c r="WEF55" s="15"/>
      <c r="WEG55" s="15"/>
      <c r="WEH55" s="15"/>
      <c r="WEI55" s="15"/>
      <c r="WEJ55" s="15"/>
      <c r="WEK55" s="15"/>
      <c r="WEL55" s="15"/>
      <c r="WEM55" s="15"/>
      <c r="WEN55" s="15"/>
      <c r="WEO55" s="15"/>
      <c r="WEP55" s="15"/>
      <c r="WEQ55" s="15"/>
      <c r="WER55" s="15"/>
      <c r="WES55" s="15"/>
      <c r="WET55" s="15"/>
      <c r="WEU55" s="15"/>
      <c r="WEV55" s="15"/>
      <c r="WEW55" s="15"/>
      <c r="WEX55" s="15"/>
      <c r="WEY55" s="15"/>
      <c r="WEZ55" s="15"/>
      <c r="WFA55" s="15"/>
      <c r="WFB55" s="15"/>
      <c r="WFC55" s="15"/>
      <c r="WFD55" s="15"/>
      <c r="WFE55" s="15"/>
      <c r="WFF55" s="15"/>
      <c r="WFG55" s="15"/>
      <c r="WFH55" s="15"/>
      <c r="WFI55" s="15"/>
      <c r="WFJ55" s="15"/>
      <c r="WFK55" s="15"/>
      <c r="WFL55" s="15"/>
      <c r="WFM55" s="15"/>
      <c r="WFN55" s="15"/>
      <c r="WFO55" s="15"/>
      <c r="WFP55" s="15"/>
      <c r="WFQ55" s="15"/>
      <c r="WFR55" s="15"/>
      <c r="WFS55" s="15"/>
      <c r="WFT55" s="15"/>
      <c r="WFU55" s="15"/>
      <c r="WFV55" s="15"/>
      <c r="WFW55" s="15"/>
      <c r="WFX55" s="15"/>
      <c r="WFY55" s="15"/>
      <c r="WFZ55" s="15"/>
      <c r="WGA55" s="15"/>
      <c r="WGB55" s="15"/>
      <c r="WGC55" s="15"/>
      <c r="WGD55" s="15"/>
      <c r="WGE55" s="15"/>
      <c r="WGF55" s="15"/>
      <c r="WGG55" s="15"/>
      <c r="WGH55" s="15"/>
      <c r="WGI55" s="15"/>
      <c r="WGJ55" s="15"/>
      <c r="WGK55" s="15"/>
      <c r="WGL55" s="15"/>
      <c r="WGM55" s="15"/>
      <c r="WGN55" s="15"/>
      <c r="WGO55" s="15"/>
      <c r="WGP55" s="15"/>
      <c r="WGQ55" s="15"/>
      <c r="WGR55" s="15"/>
      <c r="WGS55" s="15"/>
      <c r="WGT55" s="15"/>
      <c r="WGU55" s="15"/>
      <c r="WGV55" s="15"/>
      <c r="WGW55" s="15"/>
      <c r="WGX55" s="15"/>
      <c r="WGY55" s="15"/>
      <c r="WGZ55" s="15"/>
      <c r="WHA55" s="15"/>
      <c r="WHB55" s="15"/>
      <c r="WHC55" s="15"/>
      <c r="WHD55" s="15"/>
      <c r="WHE55" s="15"/>
      <c r="WHF55" s="15"/>
      <c r="WHG55" s="15"/>
      <c r="WHH55" s="15"/>
      <c r="WHI55" s="15"/>
      <c r="WHJ55" s="15"/>
      <c r="WHK55" s="15"/>
      <c r="WHL55" s="15"/>
      <c r="WHM55" s="15"/>
      <c r="WHN55" s="15"/>
      <c r="WHO55" s="15"/>
      <c r="WHP55" s="15"/>
      <c r="WHQ55" s="15"/>
      <c r="WHR55" s="15"/>
      <c r="WHS55" s="15"/>
      <c r="WHT55" s="15"/>
      <c r="WHU55" s="15"/>
      <c r="WHV55" s="15"/>
      <c r="WHW55" s="15"/>
      <c r="WHX55" s="15"/>
      <c r="WHY55" s="15"/>
      <c r="WHZ55" s="15"/>
      <c r="WIA55" s="15"/>
      <c r="WIB55" s="15"/>
      <c r="WIC55" s="15"/>
      <c r="WID55" s="15"/>
      <c r="WIE55" s="15"/>
      <c r="WIF55" s="15"/>
      <c r="WIG55" s="15"/>
      <c r="WIH55" s="15"/>
      <c r="WII55" s="15"/>
      <c r="WIJ55" s="15"/>
      <c r="WIK55" s="15"/>
      <c r="WIL55" s="15"/>
      <c r="WIM55" s="15"/>
      <c r="WIN55" s="15"/>
      <c r="WIO55" s="15"/>
      <c r="WIP55" s="15"/>
      <c r="WIQ55" s="15"/>
      <c r="WIR55" s="15"/>
      <c r="WIS55" s="15"/>
      <c r="WIT55" s="15"/>
      <c r="WIU55" s="15"/>
      <c r="WIV55" s="15"/>
      <c r="WIW55" s="15"/>
      <c r="WIX55" s="15"/>
      <c r="WIY55" s="15"/>
      <c r="WIZ55" s="15"/>
      <c r="WJA55" s="15"/>
      <c r="WJB55" s="15"/>
      <c r="WJC55" s="15"/>
      <c r="WJD55" s="15"/>
      <c r="WJE55" s="15"/>
      <c r="WJF55" s="15"/>
      <c r="WJG55" s="15"/>
      <c r="WJH55" s="15"/>
      <c r="WJI55" s="15"/>
      <c r="WJJ55" s="15"/>
      <c r="WJK55" s="15"/>
      <c r="WJL55" s="15"/>
      <c r="WJM55" s="15"/>
      <c r="WJN55" s="15"/>
      <c r="WJO55" s="15"/>
      <c r="WJP55" s="15"/>
      <c r="WJQ55" s="15"/>
      <c r="WJR55" s="15"/>
      <c r="WJS55" s="15"/>
      <c r="WJT55" s="15"/>
      <c r="WJU55" s="15"/>
      <c r="WJV55" s="15"/>
      <c r="WJW55" s="15"/>
      <c r="WJX55" s="15"/>
      <c r="WJY55" s="15"/>
      <c r="WJZ55" s="15"/>
      <c r="WKA55" s="15"/>
      <c r="WKB55" s="15"/>
      <c r="WKC55" s="15"/>
      <c r="WKD55" s="15"/>
      <c r="WKE55" s="15"/>
      <c r="WKF55" s="15"/>
      <c r="WKG55" s="15"/>
      <c r="WKH55" s="15"/>
      <c r="WKI55" s="15"/>
      <c r="WKJ55" s="15"/>
      <c r="WKK55" s="15"/>
      <c r="WKL55" s="15"/>
      <c r="WKM55" s="15"/>
      <c r="WKN55" s="15"/>
      <c r="WKO55" s="15"/>
      <c r="WKP55" s="15"/>
      <c r="WKQ55" s="15"/>
      <c r="WKR55" s="15"/>
      <c r="WKS55" s="15"/>
      <c r="WKT55" s="15"/>
      <c r="WKU55" s="15"/>
      <c r="WKV55" s="15"/>
      <c r="WKW55" s="15"/>
      <c r="WKX55" s="15"/>
      <c r="WKY55" s="15"/>
      <c r="WKZ55" s="15"/>
      <c r="WLA55" s="15"/>
      <c r="WLB55" s="15"/>
      <c r="WLC55" s="15"/>
      <c r="WLD55" s="15"/>
      <c r="WLE55" s="15"/>
      <c r="WLF55" s="15"/>
      <c r="WLG55" s="15"/>
      <c r="WLH55" s="15"/>
      <c r="WLI55" s="15"/>
      <c r="WLJ55" s="15"/>
      <c r="WLK55" s="15"/>
      <c r="WLL55" s="15"/>
      <c r="WLM55" s="15"/>
      <c r="WLN55" s="15"/>
      <c r="WLO55" s="15"/>
      <c r="WLP55" s="15"/>
      <c r="WLQ55" s="15"/>
      <c r="WLR55" s="15"/>
      <c r="WLS55" s="15"/>
      <c r="WLT55" s="15"/>
      <c r="WLU55" s="15"/>
      <c r="WLV55" s="15"/>
      <c r="WLW55" s="15"/>
      <c r="WLX55" s="15"/>
      <c r="WLY55" s="15"/>
      <c r="WLZ55" s="15"/>
      <c r="WMA55" s="15"/>
      <c r="WMB55" s="15"/>
      <c r="WMC55" s="15"/>
      <c r="WMD55" s="15"/>
      <c r="WME55" s="15"/>
      <c r="WMF55" s="15"/>
      <c r="WMG55" s="15"/>
      <c r="WMH55" s="15"/>
      <c r="WMI55" s="15"/>
      <c r="WMJ55" s="15"/>
      <c r="WMK55" s="15"/>
      <c r="WML55" s="15"/>
      <c r="WMM55" s="15"/>
      <c r="WMN55" s="15"/>
      <c r="WMO55" s="15"/>
      <c r="WMP55" s="15"/>
      <c r="WMQ55" s="15"/>
      <c r="WMR55" s="15"/>
      <c r="WMS55" s="15"/>
      <c r="WMT55" s="15"/>
      <c r="WMU55" s="15"/>
      <c r="WMV55" s="15"/>
      <c r="WMW55" s="15"/>
      <c r="WMX55" s="15"/>
      <c r="WMY55" s="15"/>
      <c r="WMZ55" s="15"/>
      <c r="WNA55" s="15"/>
      <c r="WNB55" s="15"/>
      <c r="WNC55" s="15"/>
      <c r="WND55" s="15"/>
      <c r="WNE55" s="15"/>
      <c r="WNF55" s="15"/>
      <c r="WNG55" s="15"/>
      <c r="WNH55" s="15"/>
      <c r="WNI55" s="15"/>
      <c r="WNJ55" s="15"/>
      <c r="WNK55" s="15"/>
      <c r="WNL55" s="15"/>
      <c r="WNM55" s="15"/>
      <c r="WNN55" s="15"/>
      <c r="WNO55" s="15"/>
      <c r="WNP55" s="15"/>
      <c r="WNQ55" s="15"/>
      <c r="WNR55" s="15"/>
      <c r="WNS55" s="15"/>
      <c r="WNT55" s="15"/>
      <c r="WNU55" s="15"/>
      <c r="WNV55" s="15"/>
      <c r="WNW55" s="15"/>
      <c r="WNX55" s="15"/>
      <c r="WNY55" s="15"/>
      <c r="WNZ55" s="15"/>
      <c r="WOA55" s="15"/>
      <c r="WOB55" s="15"/>
      <c r="WOC55" s="15"/>
      <c r="WOD55" s="15"/>
      <c r="WOE55" s="15"/>
      <c r="WOF55" s="15"/>
      <c r="WOG55" s="15"/>
      <c r="WOH55" s="15"/>
      <c r="WOI55" s="15"/>
      <c r="WOJ55" s="15"/>
      <c r="WOK55" s="15"/>
      <c r="WOL55" s="15"/>
      <c r="WOM55" s="15"/>
      <c r="WON55" s="15"/>
      <c r="WOO55" s="15"/>
      <c r="WOP55" s="15"/>
      <c r="WOQ55" s="15"/>
      <c r="WOR55" s="15"/>
      <c r="WOS55" s="15"/>
      <c r="WOT55" s="15"/>
      <c r="WOU55" s="15"/>
      <c r="WOV55" s="15"/>
      <c r="WOW55" s="15"/>
      <c r="WOX55" s="15"/>
      <c r="WOY55" s="15"/>
      <c r="WOZ55" s="15"/>
      <c r="WPA55" s="15"/>
      <c r="WPB55" s="15"/>
      <c r="WPC55" s="15"/>
      <c r="WPD55" s="15"/>
      <c r="WPE55" s="15"/>
      <c r="WPF55" s="15"/>
      <c r="WPG55" s="15"/>
      <c r="WPH55" s="15"/>
      <c r="WPI55" s="15"/>
      <c r="WPJ55" s="15"/>
      <c r="WPK55" s="15"/>
      <c r="WPL55" s="15"/>
      <c r="WPM55" s="15"/>
      <c r="WPN55" s="15"/>
      <c r="WPO55" s="15"/>
      <c r="WPP55" s="15"/>
      <c r="WPQ55" s="15"/>
      <c r="WPR55" s="15"/>
      <c r="WPS55" s="15"/>
      <c r="WPT55" s="15"/>
      <c r="WPU55" s="15"/>
      <c r="WPV55" s="15"/>
      <c r="WPW55" s="15"/>
      <c r="WPX55" s="15"/>
      <c r="WPY55" s="15"/>
      <c r="WPZ55" s="15"/>
      <c r="WQA55" s="15"/>
      <c r="WQB55" s="15"/>
      <c r="WQC55" s="15"/>
      <c r="WQD55" s="15"/>
      <c r="WQE55" s="15"/>
      <c r="WQF55" s="15"/>
      <c r="WQG55" s="15"/>
      <c r="WQH55" s="15"/>
      <c r="WQI55" s="15"/>
      <c r="WQJ55" s="15"/>
      <c r="WQK55" s="15"/>
      <c r="WQL55" s="15"/>
      <c r="WQM55" s="15"/>
      <c r="WQN55" s="15"/>
      <c r="WQO55" s="15"/>
      <c r="WQP55" s="15"/>
      <c r="WQQ55" s="15"/>
      <c r="WQR55" s="15"/>
      <c r="WQS55" s="15"/>
      <c r="WQT55" s="15"/>
      <c r="WQU55" s="15"/>
      <c r="WQV55" s="15"/>
      <c r="WQW55" s="15"/>
      <c r="WQX55" s="15"/>
      <c r="WQY55" s="15"/>
      <c r="WQZ55" s="15"/>
      <c r="WRA55" s="15"/>
      <c r="WRB55" s="15"/>
      <c r="WRC55" s="15"/>
      <c r="WRD55" s="15"/>
      <c r="WRE55" s="15"/>
      <c r="WRF55" s="15"/>
      <c r="WRG55" s="15"/>
      <c r="WRH55" s="15"/>
      <c r="WRI55" s="15"/>
      <c r="WRJ55" s="15"/>
      <c r="WRK55" s="15"/>
      <c r="WRL55" s="15"/>
      <c r="WRM55" s="15"/>
      <c r="WRN55" s="15"/>
      <c r="WRO55" s="15"/>
      <c r="WRP55" s="15"/>
      <c r="WRQ55" s="15"/>
      <c r="WRR55" s="15"/>
      <c r="WRS55" s="15"/>
      <c r="WRT55" s="15"/>
      <c r="WRU55" s="15"/>
      <c r="WRV55" s="15"/>
      <c r="WRW55" s="15"/>
      <c r="WRX55" s="15"/>
      <c r="WRY55" s="15"/>
      <c r="WRZ55" s="15"/>
      <c r="WSA55" s="15"/>
      <c r="WSB55" s="15"/>
      <c r="WSC55" s="15"/>
      <c r="WSD55" s="15"/>
      <c r="WSE55" s="15"/>
      <c r="WSF55" s="15"/>
      <c r="WSG55" s="15"/>
      <c r="WSH55" s="15"/>
      <c r="WSI55" s="15"/>
      <c r="WSJ55" s="15"/>
      <c r="WSK55" s="15"/>
      <c r="WSL55" s="15"/>
      <c r="WSM55" s="15"/>
      <c r="WSN55" s="15"/>
      <c r="WSO55" s="15"/>
      <c r="WSP55" s="15"/>
      <c r="WSQ55" s="15"/>
      <c r="WSR55" s="15"/>
      <c r="WSS55" s="15"/>
      <c r="WST55" s="15"/>
      <c r="WSU55" s="15"/>
      <c r="WSV55" s="15"/>
      <c r="WSW55" s="15"/>
      <c r="WSX55" s="15"/>
      <c r="WSY55" s="15"/>
      <c r="WSZ55" s="15"/>
      <c r="WTA55" s="15"/>
      <c r="WTB55" s="15"/>
      <c r="WTC55" s="15"/>
      <c r="WTD55" s="15"/>
      <c r="WTE55" s="15"/>
      <c r="WTF55" s="15"/>
      <c r="WTG55" s="15"/>
      <c r="WTH55" s="15"/>
      <c r="WTI55" s="15"/>
      <c r="WTJ55" s="15"/>
      <c r="WTK55" s="15"/>
      <c r="WTL55" s="15"/>
      <c r="WTM55" s="15"/>
      <c r="WTN55" s="15"/>
      <c r="WTO55" s="15"/>
      <c r="WTP55" s="15"/>
      <c r="WTQ55" s="15"/>
      <c r="WTR55" s="15"/>
      <c r="WTS55" s="15"/>
      <c r="WTT55" s="15"/>
      <c r="WTU55" s="15"/>
      <c r="WTV55" s="15"/>
      <c r="WTW55" s="15"/>
      <c r="WTX55" s="15"/>
      <c r="WTY55" s="15"/>
      <c r="WTZ55" s="15"/>
      <c r="WUA55" s="15"/>
      <c r="WUB55" s="15"/>
      <c r="WUC55" s="15"/>
      <c r="WUD55" s="15"/>
      <c r="WUE55" s="15"/>
      <c r="WUF55" s="15"/>
      <c r="WUG55" s="15"/>
      <c r="WUH55" s="15"/>
      <c r="WUI55" s="15"/>
      <c r="WUJ55" s="15"/>
      <c r="WUK55" s="15"/>
      <c r="WUL55" s="15"/>
      <c r="WUM55" s="15"/>
      <c r="WUN55" s="15"/>
      <c r="WUO55" s="15"/>
      <c r="WUP55" s="15"/>
      <c r="WUQ55" s="15"/>
      <c r="WUR55" s="15"/>
      <c r="WUS55" s="15"/>
      <c r="WUT55" s="15"/>
      <c r="WUU55" s="15"/>
      <c r="WUV55" s="15"/>
      <c r="WUW55" s="15"/>
      <c r="WUX55" s="15"/>
      <c r="WUY55" s="15"/>
      <c r="WUZ55" s="15"/>
      <c r="WVA55" s="15"/>
      <c r="WVB55" s="15"/>
      <c r="WVC55" s="15"/>
      <c r="WVD55" s="15"/>
      <c r="WVE55" s="15"/>
      <c r="WVF55" s="15"/>
      <c r="WVG55" s="15"/>
      <c r="WVH55" s="15"/>
      <c r="WVI55" s="15"/>
      <c r="WVJ55" s="15"/>
      <c r="WVK55" s="15"/>
      <c r="WVL55" s="15"/>
      <c r="WVM55" s="15"/>
      <c r="WVN55" s="15"/>
      <c r="WVO55" s="15"/>
      <c r="WVP55" s="15"/>
      <c r="WVQ55" s="15"/>
      <c r="WVR55" s="15"/>
      <c r="WVS55" s="15"/>
      <c r="WVT55" s="15"/>
      <c r="WVU55" s="15"/>
      <c r="WVV55" s="15"/>
      <c r="WVW55" s="15"/>
      <c r="WVX55" s="15"/>
      <c r="WVY55" s="15"/>
      <c r="WVZ55" s="15"/>
      <c r="WWA55" s="15"/>
      <c r="WWB55" s="15"/>
      <c r="WWC55" s="15"/>
      <c r="WWD55" s="15"/>
      <c r="WWE55" s="15"/>
      <c r="WWF55" s="15"/>
      <c r="WWG55" s="15"/>
      <c r="WWH55" s="15"/>
      <c r="WWI55" s="15"/>
      <c r="WWJ55" s="15"/>
      <c r="WWK55" s="15"/>
      <c r="WWL55" s="15"/>
      <c r="WWM55" s="15"/>
      <c r="WWN55" s="15"/>
      <c r="WWO55" s="15"/>
      <c r="WWP55" s="15"/>
      <c r="WWQ55" s="15"/>
      <c r="WWR55" s="15"/>
      <c r="WWS55" s="15"/>
      <c r="WWT55" s="15"/>
      <c r="WWU55" s="15"/>
      <c r="WWV55" s="15"/>
      <c r="WWW55" s="15"/>
      <c r="WWX55" s="15"/>
      <c r="WWY55" s="15"/>
      <c r="WWZ55" s="15"/>
      <c r="WXA55" s="15"/>
      <c r="WXB55" s="15"/>
      <c r="WXC55" s="15"/>
      <c r="WXD55" s="15"/>
      <c r="WXE55" s="15"/>
      <c r="WXF55" s="15"/>
      <c r="WXG55" s="15"/>
      <c r="WXH55" s="15"/>
      <c r="WXI55" s="15"/>
      <c r="WXJ55" s="15"/>
      <c r="WXK55" s="15"/>
      <c r="WXL55" s="15"/>
      <c r="WXM55" s="15"/>
      <c r="WXN55" s="15"/>
      <c r="WXO55" s="15"/>
      <c r="WXP55" s="15"/>
      <c r="WXQ55" s="15"/>
      <c r="WXR55" s="15"/>
      <c r="WXS55" s="15"/>
      <c r="WXT55" s="15"/>
      <c r="WXU55" s="15"/>
      <c r="WXV55" s="15"/>
      <c r="WXW55" s="15"/>
      <c r="WXX55" s="15"/>
      <c r="WXY55" s="15"/>
      <c r="WXZ55" s="15"/>
      <c r="WYA55" s="15"/>
      <c r="WYB55" s="15"/>
      <c r="WYC55" s="15"/>
      <c r="WYD55" s="15"/>
      <c r="WYE55" s="15"/>
      <c r="WYF55" s="15"/>
      <c r="WYG55" s="15"/>
      <c r="WYH55" s="15"/>
      <c r="WYI55" s="15"/>
      <c r="WYJ55" s="15"/>
      <c r="WYK55" s="15"/>
      <c r="WYL55" s="15"/>
      <c r="WYM55" s="15"/>
      <c r="WYN55" s="15"/>
      <c r="WYO55" s="15"/>
      <c r="WYP55" s="15"/>
      <c r="WYQ55" s="15"/>
      <c r="WYR55" s="15"/>
      <c r="WYS55" s="15"/>
      <c r="WYT55" s="15"/>
      <c r="WYU55" s="15"/>
      <c r="WYV55" s="15"/>
      <c r="WYW55" s="15"/>
      <c r="WYX55" s="15"/>
      <c r="WYY55" s="15"/>
      <c r="WYZ55" s="15"/>
      <c r="WZA55" s="15"/>
      <c r="WZB55" s="15"/>
      <c r="WZC55" s="15"/>
      <c r="WZD55" s="15"/>
      <c r="WZE55" s="15"/>
      <c r="WZF55" s="15"/>
      <c r="WZG55" s="15"/>
      <c r="WZH55" s="15"/>
      <c r="WZI55" s="15"/>
      <c r="WZJ55" s="15"/>
      <c r="WZK55" s="15"/>
      <c r="WZL55" s="15"/>
      <c r="WZM55" s="15"/>
      <c r="WZN55" s="15"/>
      <c r="WZO55" s="15"/>
      <c r="WZP55" s="15"/>
      <c r="WZQ55" s="15"/>
      <c r="WZR55" s="15"/>
      <c r="WZS55" s="15"/>
      <c r="WZT55" s="15"/>
      <c r="WZU55" s="15"/>
      <c r="WZV55" s="15"/>
      <c r="WZW55" s="15"/>
      <c r="WZX55" s="15"/>
      <c r="WZY55" s="15"/>
      <c r="WZZ55" s="15"/>
      <c r="XAA55" s="15"/>
      <c r="XAB55" s="15"/>
      <c r="XAC55" s="15"/>
      <c r="XAD55" s="15"/>
      <c r="XAE55" s="15"/>
      <c r="XAF55" s="15"/>
      <c r="XAG55" s="15"/>
      <c r="XAH55" s="15"/>
      <c r="XAI55" s="15"/>
      <c r="XAJ55" s="15"/>
      <c r="XAK55" s="15"/>
      <c r="XAL55" s="15"/>
      <c r="XAM55" s="15"/>
      <c r="XAN55" s="15"/>
      <c r="XAO55" s="15"/>
      <c r="XAP55" s="15"/>
      <c r="XAQ55" s="15"/>
      <c r="XAR55" s="15"/>
      <c r="XAS55" s="15"/>
      <c r="XAT55" s="15"/>
      <c r="XAU55" s="15"/>
      <c r="XAV55" s="15"/>
      <c r="XAW55" s="15"/>
      <c r="XAX55" s="15"/>
      <c r="XAY55" s="15"/>
      <c r="XAZ55" s="15"/>
      <c r="XBA55" s="15"/>
      <c r="XBB55" s="15"/>
      <c r="XBC55" s="15"/>
      <c r="XBD55" s="15"/>
      <c r="XBE55" s="15"/>
      <c r="XBF55" s="15"/>
      <c r="XBG55" s="15"/>
      <c r="XBH55" s="15"/>
      <c r="XBI55" s="15"/>
      <c r="XBJ55" s="15"/>
      <c r="XBK55" s="15"/>
      <c r="XBL55" s="15"/>
      <c r="XBM55" s="15"/>
      <c r="XBN55" s="15"/>
      <c r="XBO55" s="15"/>
      <c r="XBP55" s="15"/>
      <c r="XBQ55" s="15"/>
      <c r="XBR55" s="15"/>
      <c r="XBS55" s="15"/>
      <c r="XBT55" s="15"/>
      <c r="XBU55" s="15"/>
      <c r="XBV55" s="15"/>
      <c r="XBW55" s="15"/>
      <c r="XBX55" s="15"/>
      <c r="XBY55" s="15"/>
      <c r="XBZ55" s="15"/>
      <c r="XCA55" s="15"/>
      <c r="XCB55" s="15"/>
      <c r="XCC55" s="15"/>
      <c r="XCD55" s="15"/>
      <c r="XCE55" s="15"/>
      <c r="XCF55" s="15"/>
      <c r="XCG55" s="15"/>
      <c r="XCH55" s="15"/>
      <c r="XCI55" s="15"/>
      <c r="XCJ55" s="15"/>
      <c r="XCK55" s="15"/>
      <c r="XCL55" s="15"/>
      <c r="XCM55" s="15"/>
      <c r="XCN55" s="15"/>
      <c r="XCO55" s="15"/>
      <c r="XCP55" s="15"/>
      <c r="XCQ55" s="15"/>
      <c r="XCR55" s="15"/>
      <c r="XCS55" s="15"/>
      <c r="XCT55" s="15"/>
      <c r="XCU55" s="15"/>
      <c r="XCV55" s="15"/>
      <c r="XCW55" s="15"/>
      <c r="XCX55" s="15"/>
      <c r="XCY55" s="15"/>
      <c r="XCZ55" s="15"/>
      <c r="XDA55" s="15"/>
      <c r="XDB55" s="15"/>
      <c r="XDC55" s="15"/>
      <c r="XDD55" s="15"/>
      <c r="XDE55" s="15"/>
      <c r="XDF55" s="15"/>
      <c r="XDG55" s="15"/>
      <c r="XDH55" s="15"/>
      <c r="XDI55" s="15"/>
      <c r="XDJ55" s="15"/>
      <c r="XDK55" s="15"/>
      <c r="XDL55" s="15"/>
      <c r="XDM55" s="15"/>
      <c r="XDN55" s="15"/>
      <c r="XDO55" s="15"/>
      <c r="XDP55" s="15"/>
      <c r="XDQ55" s="15"/>
      <c r="XDR55" s="15"/>
      <c r="XDS55" s="15"/>
      <c r="XDT55" s="15"/>
      <c r="XDU55" s="15"/>
      <c r="XDV55" s="15"/>
      <c r="XDW55" s="15"/>
      <c r="XDX55" s="15"/>
      <c r="XDY55" s="15"/>
      <c r="XDZ55" s="15"/>
      <c r="XEA55" s="15"/>
      <c r="XEB55" s="15"/>
      <c r="XEC55" s="15"/>
      <c r="XED55" s="15"/>
      <c r="XEE55" s="15"/>
      <c r="XEF55" s="15"/>
      <c r="XEG55" s="15"/>
      <c r="XEH55" s="15"/>
      <c r="XEI55" s="15"/>
      <c r="XEJ55" s="15"/>
      <c r="XEK55" s="15"/>
      <c r="XEL55" s="15"/>
      <c r="XEM55" s="15"/>
      <c r="XEN55" s="15"/>
      <c r="XEO55" s="15"/>
      <c r="XEP55" s="15"/>
      <c r="XEQ55" s="15"/>
      <c r="XER55" s="15"/>
      <c r="XES55" s="15"/>
      <c r="XET55" s="15"/>
      <c r="XEU55" s="15"/>
      <c r="XEV55" s="15"/>
      <c r="XEW55" s="15"/>
      <c r="XEX55" s="15"/>
      <c r="XEY55" s="15"/>
      <c r="XEZ55" s="15"/>
      <c r="XFA55" s="15"/>
      <c r="XFB55" s="15"/>
      <c r="XFC55" s="15"/>
    </row>
    <row r="56" spans="2:16383" s="15" customFormat="1">
      <c r="B56" s="116" t="s">
        <v>189</v>
      </c>
      <c r="D56" s="117">
        <f t="shared" ref="D56:M56" si="5">IFERROR(D55/C55-1,"na")</f>
        <v>0.3439014761286554</v>
      </c>
      <c r="E56" s="117">
        <f t="shared" si="5"/>
        <v>0.31239012122891463</v>
      </c>
      <c r="F56" s="117">
        <f t="shared" si="5"/>
        <v>0.27996483130505045</v>
      </c>
      <c r="G56" s="117">
        <f t="shared" si="5"/>
        <v>0.24788268691899118</v>
      </c>
      <c r="H56" s="117">
        <f t="shared" si="5"/>
        <v>0.2170369858137382</v>
      </c>
      <c r="I56" s="117">
        <f t="shared" si="5"/>
        <v>0.18996588044125517</v>
      </c>
      <c r="J56" s="117">
        <f t="shared" si="5"/>
        <v>0.16749674663094316</v>
      </c>
      <c r="K56" s="117">
        <f t="shared" si="5"/>
        <v>0.14497229305878867</v>
      </c>
      <c r="L56" s="117">
        <f t="shared" si="5"/>
        <v>0.12576150339503123</v>
      </c>
      <c r="M56" s="117">
        <f t="shared" si="5"/>
        <v>4.4999999999999929E-2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  <c r="CG56"/>
      <c r="CH56"/>
      <c r="CI56"/>
      <c r="CJ56"/>
      <c r="CK56"/>
      <c r="CL56"/>
      <c r="CM56"/>
      <c r="CN56"/>
      <c r="CO56"/>
      <c r="CP56"/>
      <c r="CQ56"/>
      <c r="CR56"/>
      <c r="CS56"/>
      <c r="CT56"/>
      <c r="CU56"/>
      <c r="CV56"/>
      <c r="CW56"/>
      <c r="CX56"/>
      <c r="CY56"/>
      <c r="CZ56"/>
      <c r="DA56"/>
      <c r="DB56"/>
      <c r="DC56"/>
      <c r="DD56"/>
      <c r="DE56"/>
      <c r="DF56"/>
      <c r="DG56"/>
      <c r="DH56"/>
      <c r="DI56"/>
      <c r="DJ56"/>
      <c r="DK56"/>
      <c r="DL56"/>
      <c r="DM56"/>
      <c r="DN56"/>
      <c r="DO56"/>
      <c r="DP56"/>
      <c r="DQ56"/>
      <c r="DR56"/>
      <c r="DS56"/>
      <c r="DT56"/>
      <c r="DU56"/>
      <c r="DV56"/>
      <c r="DW56"/>
      <c r="DX56"/>
      <c r="DY56"/>
      <c r="DZ56"/>
      <c r="EA56"/>
      <c r="EB56"/>
      <c r="EC56"/>
      <c r="ED56"/>
      <c r="EE56"/>
      <c r="EF56"/>
      <c r="EG56"/>
      <c r="EH56"/>
      <c r="EI56"/>
      <c r="EJ56"/>
      <c r="EK56"/>
      <c r="EL56"/>
      <c r="EM56"/>
      <c r="EN56"/>
      <c r="EO56"/>
      <c r="EP56"/>
      <c r="EQ56"/>
      <c r="ER56"/>
      <c r="ES56"/>
      <c r="ET56"/>
      <c r="EU56"/>
      <c r="EV56"/>
      <c r="EW56"/>
      <c r="EX56"/>
      <c r="EY56"/>
      <c r="EZ56"/>
      <c r="FA56"/>
      <c r="FB56"/>
      <c r="FC56"/>
      <c r="FD56"/>
      <c r="FE56"/>
      <c r="FF56"/>
      <c r="FG56"/>
      <c r="FH56"/>
      <c r="FI56"/>
      <c r="FJ56"/>
      <c r="FK56"/>
      <c r="FL56"/>
      <c r="FM56"/>
      <c r="FN56"/>
      <c r="FO56"/>
      <c r="FP56"/>
      <c r="FQ56"/>
      <c r="FR56"/>
      <c r="FS56"/>
      <c r="FT56"/>
      <c r="FU56"/>
      <c r="FV56"/>
      <c r="FW56"/>
      <c r="FX56"/>
      <c r="FY56"/>
      <c r="FZ56"/>
      <c r="GA56"/>
      <c r="GB56"/>
      <c r="GC56"/>
      <c r="GD56"/>
      <c r="GE56"/>
      <c r="GF56"/>
      <c r="GG56"/>
      <c r="GH56"/>
      <c r="GI56"/>
      <c r="GJ56"/>
      <c r="GK56"/>
      <c r="GL56"/>
      <c r="GM56"/>
      <c r="GN56"/>
      <c r="GO56"/>
      <c r="GP56"/>
      <c r="GQ56"/>
      <c r="GR56"/>
      <c r="GS56"/>
      <c r="GT56"/>
      <c r="GU56"/>
      <c r="GV56"/>
      <c r="GW56"/>
      <c r="GX56"/>
      <c r="GY56"/>
      <c r="GZ56"/>
      <c r="HA56"/>
      <c r="HB56"/>
      <c r="HC56"/>
      <c r="HD56"/>
      <c r="HE56"/>
      <c r="HF56"/>
      <c r="HG56"/>
      <c r="HH56"/>
      <c r="HI56"/>
      <c r="HJ56"/>
      <c r="HK56"/>
      <c r="HL56"/>
      <c r="HM56"/>
      <c r="HN56"/>
      <c r="HO56"/>
      <c r="HP56"/>
      <c r="HQ56"/>
      <c r="HR56"/>
      <c r="HS56"/>
      <c r="HT56"/>
      <c r="HU56"/>
      <c r="HV56"/>
      <c r="HW56"/>
      <c r="HX56"/>
      <c r="HY56"/>
      <c r="HZ56"/>
      <c r="IA56"/>
      <c r="IB56"/>
      <c r="IC56"/>
      <c r="ID56"/>
      <c r="IE56"/>
      <c r="IF56"/>
      <c r="IG56"/>
      <c r="IH56"/>
      <c r="II56"/>
      <c r="IJ56"/>
      <c r="IK56"/>
      <c r="IL56"/>
      <c r="IM56"/>
      <c r="IN56"/>
      <c r="IO56"/>
      <c r="IP56"/>
      <c r="IQ56"/>
      <c r="IR56"/>
      <c r="IS56"/>
      <c r="IT56"/>
      <c r="IU56"/>
      <c r="IV56"/>
      <c r="IW56"/>
      <c r="IX56"/>
      <c r="IY56"/>
      <c r="IZ56"/>
      <c r="JA56"/>
      <c r="JB56"/>
      <c r="JC56"/>
      <c r="JD56"/>
      <c r="JE56"/>
      <c r="JF56"/>
      <c r="JG56"/>
      <c r="JH56"/>
      <c r="JI56"/>
      <c r="JJ56"/>
      <c r="JK56"/>
      <c r="JL56"/>
      <c r="JM56"/>
      <c r="JN56"/>
      <c r="JO56"/>
      <c r="JP56"/>
      <c r="JQ56"/>
      <c r="JR56"/>
      <c r="JS56"/>
      <c r="JT56"/>
      <c r="JU56"/>
      <c r="JV56"/>
      <c r="JW56"/>
      <c r="JX56"/>
      <c r="JY56"/>
      <c r="JZ56"/>
      <c r="KA56"/>
      <c r="KB56"/>
      <c r="KC56"/>
      <c r="KD56"/>
      <c r="KE56"/>
      <c r="KF56"/>
      <c r="KG56"/>
      <c r="KH56"/>
      <c r="KI56"/>
      <c r="KJ56"/>
      <c r="KK56"/>
      <c r="KL56"/>
      <c r="KM56"/>
      <c r="KN56"/>
      <c r="KO56"/>
      <c r="KP56"/>
      <c r="KQ56"/>
      <c r="KR56"/>
      <c r="KS56"/>
      <c r="KT56"/>
      <c r="KU56"/>
      <c r="KV56"/>
      <c r="KW56"/>
      <c r="KX56"/>
      <c r="KY56"/>
      <c r="KZ56"/>
      <c r="LA56"/>
      <c r="LB56"/>
      <c r="LC56"/>
      <c r="LD56"/>
      <c r="LE56"/>
      <c r="LF56"/>
      <c r="LG56"/>
      <c r="LH56"/>
      <c r="LI56"/>
      <c r="LJ56"/>
      <c r="LK56"/>
      <c r="LL56"/>
      <c r="LM56"/>
      <c r="LN56"/>
      <c r="LO56"/>
      <c r="LP56"/>
      <c r="LQ56"/>
      <c r="LR56"/>
      <c r="LS56"/>
      <c r="LT56"/>
      <c r="LU56"/>
      <c r="LV56"/>
      <c r="LW56"/>
      <c r="LX56"/>
      <c r="LY56"/>
      <c r="LZ56"/>
      <c r="MA56"/>
      <c r="MB56"/>
      <c r="MC56"/>
      <c r="MD56"/>
      <c r="ME56"/>
      <c r="MF56"/>
      <c r="MG56"/>
      <c r="MH56"/>
      <c r="MI56"/>
      <c r="MJ56"/>
      <c r="MK56"/>
      <c r="ML56"/>
      <c r="MM56"/>
      <c r="MN56"/>
      <c r="MO56"/>
      <c r="MP56"/>
      <c r="MQ56"/>
      <c r="MR56"/>
      <c r="MS56"/>
      <c r="MT56"/>
      <c r="MU56"/>
      <c r="MV56"/>
      <c r="MW56"/>
      <c r="MX56"/>
      <c r="MY56"/>
      <c r="MZ56"/>
      <c r="NA56"/>
      <c r="NB56"/>
      <c r="NC56"/>
      <c r="ND56"/>
      <c r="NE56"/>
      <c r="NF56"/>
      <c r="NG56"/>
      <c r="NH56"/>
      <c r="NI56"/>
      <c r="NJ56"/>
      <c r="NK56"/>
      <c r="NL56"/>
      <c r="NM56"/>
      <c r="NN56"/>
      <c r="NO56"/>
      <c r="NP56"/>
      <c r="NQ56"/>
      <c r="NR56"/>
      <c r="NS56"/>
      <c r="NT56"/>
      <c r="NU56"/>
      <c r="NV56"/>
      <c r="NW56"/>
      <c r="NX56"/>
      <c r="NY56"/>
      <c r="NZ56"/>
      <c r="OA56"/>
      <c r="OB56"/>
      <c r="OC56"/>
      <c r="OD56"/>
      <c r="OE56"/>
      <c r="OF56"/>
      <c r="OG56"/>
      <c r="OH56"/>
      <c r="OI56"/>
      <c r="OJ56"/>
      <c r="OK56"/>
      <c r="OL56"/>
      <c r="OM56"/>
      <c r="ON56"/>
      <c r="OO56"/>
      <c r="OP56"/>
      <c r="OQ56"/>
      <c r="OR56"/>
      <c r="OS56"/>
      <c r="OT56"/>
      <c r="OU56"/>
      <c r="OV56"/>
      <c r="OW56"/>
      <c r="OX56"/>
      <c r="OY56"/>
      <c r="OZ56"/>
      <c r="PA56"/>
      <c r="PB56"/>
      <c r="PC56"/>
      <c r="PD56"/>
      <c r="PE56"/>
      <c r="PF56"/>
      <c r="PG56"/>
      <c r="PH56"/>
      <c r="PI56"/>
      <c r="PJ56"/>
      <c r="PK56"/>
      <c r="PL56"/>
      <c r="PM56"/>
      <c r="PN56"/>
      <c r="PO56"/>
      <c r="PP56"/>
      <c r="PQ56"/>
      <c r="PR56"/>
      <c r="PS56"/>
      <c r="PT56"/>
      <c r="PU56"/>
      <c r="PV56"/>
      <c r="PW56"/>
      <c r="PX56"/>
      <c r="PY56"/>
      <c r="PZ56"/>
      <c r="QA56"/>
      <c r="QB56"/>
      <c r="QC56"/>
      <c r="QD56"/>
      <c r="QE56"/>
      <c r="QF56"/>
      <c r="QG56"/>
      <c r="QH56"/>
      <c r="QI56"/>
      <c r="QJ56"/>
      <c r="QK56"/>
      <c r="QL56"/>
      <c r="QM56"/>
      <c r="QN56"/>
      <c r="QO56"/>
      <c r="QP56"/>
      <c r="QQ56"/>
      <c r="QR56"/>
      <c r="QS56"/>
      <c r="QT56"/>
      <c r="QU56"/>
      <c r="QV56"/>
      <c r="QW56"/>
      <c r="QX56"/>
      <c r="QY56"/>
      <c r="QZ56"/>
      <c r="RA56"/>
      <c r="RB56"/>
      <c r="RC56"/>
      <c r="RD56"/>
      <c r="RE56"/>
      <c r="RF56"/>
      <c r="RG56"/>
      <c r="RH56"/>
      <c r="RI56"/>
      <c r="RJ56"/>
      <c r="RK56"/>
      <c r="RL56"/>
      <c r="RM56"/>
      <c r="RN56"/>
      <c r="RO56"/>
      <c r="RP56"/>
      <c r="RQ56"/>
      <c r="RR56"/>
      <c r="RS56"/>
      <c r="RT56"/>
      <c r="RU56"/>
      <c r="RV56"/>
      <c r="RW56"/>
      <c r="RX56"/>
      <c r="RY56"/>
      <c r="RZ56"/>
      <c r="SA56"/>
      <c r="SB56"/>
      <c r="SC56"/>
      <c r="SD56"/>
      <c r="SE56"/>
      <c r="SF56"/>
      <c r="SG56"/>
      <c r="SH56"/>
      <c r="SI56"/>
      <c r="SJ56"/>
      <c r="SK56"/>
      <c r="SL56"/>
      <c r="SM56"/>
      <c r="SN56"/>
      <c r="SO56"/>
      <c r="SP56"/>
      <c r="SQ56"/>
      <c r="SR56"/>
      <c r="SS56"/>
      <c r="ST56"/>
      <c r="SU56"/>
      <c r="SV56"/>
      <c r="SW56"/>
      <c r="SX56"/>
      <c r="SY56"/>
      <c r="SZ56"/>
      <c r="TA56"/>
      <c r="TB56"/>
      <c r="TC56"/>
      <c r="TD56"/>
      <c r="TE56"/>
      <c r="TF56"/>
      <c r="TG56"/>
      <c r="TH56"/>
      <c r="TI56"/>
      <c r="TJ56"/>
      <c r="TK56"/>
      <c r="TL56"/>
      <c r="TM56"/>
      <c r="TN56"/>
      <c r="TO56"/>
      <c r="TP56"/>
      <c r="TQ56"/>
      <c r="TR56"/>
      <c r="TS56"/>
      <c r="TT56"/>
      <c r="TU56"/>
      <c r="TV56"/>
      <c r="TW56"/>
      <c r="TX56"/>
      <c r="TY56"/>
      <c r="TZ56"/>
      <c r="UA56"/>
      <c r="UB56"/>
      <c r="UC56"/>
      <c r="UD56"/>
      <c r="UE56"/>
      <c r="UF56"/>
      <c r="UG56"/>
      <c r="UH56"/>
      <c r="UI56"/>
      <c r="UJ56"/>
      <c r="UK56"/>
      <c r="UL56"/>
      <c r="UM56"/>
      <c r="UN56"/>
      <c r="UO56"/>
      <c r="UP56"/>
      <c r="UQ56"/>
      <c r="UR56"/>
      <c r="US56"/>
      <c r="UT56"/>
      <c r="UU56"/>
      <c r="UV56"/>
      <c r="UW56"/>
      <c r="UX56"/>
      <c r="UY56"/>
      <c r="UZ56"/>
      <c r="VA56"/>
      <c r="VB56"/>
      <c r="VC56"/>
      <c r="VD56"/>
      <c r="VE56"/>
      <c r="VF56"/>
      <c r="VG56"/>
      <c r="VH56"/>
      <c r="VI56"/>
      <c r="VJ56"/>
      <c r="VK56"/>
      <c r="VL56"/>
      <c r="VM56"/>
      <c r="VN56"/>
      <c r="VO56"/>
      <c r="VP56"/>
      <c r="VQ56"/>
      <c r="VR56"/>
      <c r="VS56"/>
      <c r="VT56"/>
      <c r="VU56"/>
      <c r="VV56"/>
      <c r="VW56"/>
      <c r="VX56"/>
      <c r="VY56"/>
      <c r="VZ56"/>
      <c r="WA56"/>
      <c r="WB56"/>
      <c r="WC56"/>
      <c r="WD56"/>
      <c r="WE56"/>
      <c r="WF56"/>
      <c r="WG56"/>
      <c r="WH56"/>
      <c r="WI56"/>
      <c r="WJ56"/>
      <c r="WK56"/>
      <c r="WL56"/>
      <c r="WM56"/>
      <c r="WN56"/>
      <c r="WO56"/>
      <c r="WP56"/>
      <c r="WQ56"/>
      <c r="WR56"/>
      <c r="WS56"/>
      <c r="WT56"/>
      <c r="WU56"/>
      <c r="WV56"/>
      <c r="WW56"/>
      <c r="WX56"/>
      <c r="WY56"/>
      <c r="WZ56"/>
      <c r="XA56"/>
      <c r="XB56"/>
      <c r="XC56"/>
      <c r="XD56"/>
      <c r="XE56"/>
      <c r="XF56"/>
      <c r="XG56"/>
      <c r="XH56"/>
      <c r="XI56"/>
      <c r="XJ56"/>
      <c r="XK56"/>
      <c r="XL56"/>
      <c r="XM56"/>
      <c r="XN56"/>
      <c r="XO56"/>
      <c r="XP56"/>
      <c r="XQ56"/>
      <c r="XR56"/>
      <c r="XS56"/>
      <c r="XT56"/>
      <c r="XU56"/>
      <c r="XV56"/>
      <c r="XW56"/>
      <c r="XX56"/>
      <c r="XY56"/>
      <c r="XZ56"/>
      <c r="YA56"/>
      <c r="YB56"/>
      <c r="YC56"/>
      <c r="YD56"/>
      <c r="YE56"/>
      <c r="YF56"/>
      <c r="YG56"/>
      <c r="YH56"/>
      <c r="YI56"/>
      <c r="YJ56"/>
      <c r="YK56"/>
      <c r="YL56"/>
      <c r="YM56"/>
      <c r="YN56"/>
      <c r="YO56"/>
      <c r="YP56"/>
      <c r="YQ56"/>
      <c r="YR56"/>
      <c r="YS56"/>
      <c r="YT56"/>
      <c r="YU56"/>
      <c r="YV56"/>
      <c r="YW56"/>
      <c r="YX56"/>
      <c r="YY56"/>
      <c r="YZ56"/>
      <c r="ZA56"/>
      <c r="ZB56"/>
      <c r="ZC56"/>
      <c r="ZD56"/>
      <c r="ZE56"/>
      <c r="ZF56"/>
      <c r="ZG56"/>
      <c r="ZH56"/>
      <c r="ZI56"/>
      <c r="ZJ56"/>
      <c r="ZK56"/>
      <c r="ZL56"/>
      <c r="ZM56"/>
      <c r="ZN56"/>
      <c r="ZO56"/>
      <c r="ZP56"/>
      <c r="ZQ56"/>
      <c r="ZR56"/>
      <c r="ZS56"/>
      <c r="ZT56"/>
      <c r="ZU56"/>
      <c r="ZV56"/>
      <c r="ZW56"/>
      <c r="ZX56"/>
      <c r="ZY56"/>
      <c r="ZZ56"/>
      <c r="AAA56"/>
      <c r="AAB56"/>
      <c r="AAC56"/>
      <c r="AAD56"/>
      <c r="AAE56"/>
      <c r="AAF56"/>
      <c r="AAG56"/>
      <c r="AAH56"/>
      <c r="AAI56"/>
      <c r="AAJ56"/>
      <c r="AAK56"/>
      <c r="AAL56"/>
      <c r="AAM56"/>
      <c r="AAN56"/>
      <c r="AAO56"/>
      <c r="AAP56"/>
      <c r="AAQ56"/>
      <c r="AAR56"/>
      <c r="AAS56"/>
      <c r="AAT56"/>
      <c r="AAU56"/>
      <c r="AAV56"/>
      <c r="AAW56"/>
      <c r="AAX56"/>
      <c r="AAY56"/>
      <c r="AAZ56"/>
      <c r="ABA56"/>
      <c r="ABB56"/>
      <c r="ABC56"/>
      <c r="ABD56"/>
      <c r="ABE56"/>
      <c r="ABF56"/>
      <c r="ABG56"/>
      <c r="ABH56"/>
      <c r="ABI56"/>
      <c r="ABJ56"/>
      <c r="ABK56"/>
      <c r="ABL56"/>
      <c r="ABM56"/>
      <c r="ABN56"/>
      <c r="ABO56"/>
      <c r="ABP56"/>
      <c r="ABQ56"/>
      <c r="ABR56"/>
      <c r="ABS56"/>
      <c r="ABT56"/>
      <c r="ABU56"/>
      <c r="ABV56"/>
      <c r="ABW56"/>
      <c r="ABX56"/>
      <c r="ABY56"/>
      <c r="ABZ56"/>
      <c r="ACA56"/>
      <c r="ACB56"/>
      <c r="ACC56"/>
      <c r="ACD56"/>
      <c r="ACE56"/>
      <c r="ACF56"/>
      <c r="ACG56"/>
      <c r="ACH56"/>
      <c r="ACI56"/>
      <c r="ACJ56"/>
      <c r="ACK56"/>
      <c r="ACL56"/>
      <c r="ACM56"/>
      <c r="ACN56"/>
      <c r="ACO56"/>
      <c r="ACP56"/>
      <c r="ACQ56"/>
      <c r="ACR56"/>
      <c r="ACS56"/>
      <c r="ACT56"/>
      <c r="ACU56"/>
      <c r="ACV56"/>
      <c r="ACW56"/>
      <c r="ACX56"/>
      <c r="ACY56"/>
      <c r="ACZ56"/>
      <c r="ADA56"/>
      <c r="ADB56"/>
      <c r="ADC56"/>
      <c r="ADD56"/>
      <c r="ADE56"/>
      <c r="ADF56"/>
      <c r="ADG56"/>
      <c r="ADH56"/>
      <c r="ADI56"/>
      <c r="ADJ56"/>
      <c r="ADK56"/>
      <c r="ADL56"/>
      <c r="ADM56"/>
      <c r="ADN56"/>
      <c r="ADO56"/>
      <c r="ADP56"/>
      <c r="ADQ56"/>
      <c r="ADR56"/>
      <c r="ADS56"/>
      <c r="ADT56"/>
      <c r="ADU56"/>
      <c r="ADV56"/>
      <c r="ADW56"/>
      <c r="ADX56"/>
      <c r="ADY56"/>
      <c r="ADZ56"/>
      <c r="AEA56"/>
      <c r="AEB56"/>
      <c r="AEC56"/>
      <c r="AED56"/>
      <c r="AEE56"/>
      <c r="AEF56"/>
      <c r="AEG56"/>
      <c r="AEH56"/>
      <c r="AEI56"/>
      <c r="AEJ56"/>
      <c r="AEK56"/>
      <c r="AEL56"/>
      <c r="AEM56"/>
      <c r="AEN56"/>
      <c r="AEO56"/>
      <c r="AEP56"/>
      <c r="AEQ56"/>
      <c r="AER56"/>
      <c r="AES56"/>
      <c r="AET56"/>
      <c r="AEU56"/>
      <c r="AEV56"/>
      <c r="AEW56"/>
      <c r="AEX56"/>
      <c r="AEY56"/>
      <c r="AEZ56"/>
      <c r="AFA56"/>
      <c r="AFB56"/>
      <c r="AFC56"/>
      <c r="AFD56"/>
      <c r="AFE56"/>
      <c r="AFF56"/>
      <c r="AFG56"/>
      <c r="AFH56"/>
      <c r="AFI56"/>
      <c r="AFJ56"/>
      <c r="AFK56"/>
      <c r="AFL56"/>
      <c r="AFM56"/>
      <c r="AFN56"/>
      <c r="AFO56"/>
      <c r="AFP56"/>
      <c r="AFQ56"/>
      <c r="AFR56"/>
      <c r="AFS56"/>
      <c r="AFT56"/>
      <c r="AFU56"/>
      <c r="AFV56"/>
      <c r="AFW56"/>
      <c r="AFX56"/>
      <c r="AFY56"/>
      <c r="AFZ56"/>
      <c r="AGA56"/>
      <c r="AGB56"/>
      <c r="AGC56"/>
      <c r="AGD56"/>
      <c r="AGE56"/>
      <c r="AGF56"/>
      <c r="AGG56"/>
      <c r="AGH56"/>
      <c r="AGI56"/>
      <c r="AGJ56"/>
      <c r="AGK56"/>
      <c r="AGL56"/>
      <c r="AGM56"/>
      <c r="AGN56"/>
      <c r="AGO56"/>
      <c r="AGP56"/>
      <c r="AGQ56"/>
      <c r="AGR56"/>
      <c r="AGS56"/>
      <c r="AGT56"/>
      <c r="AGU56"/>
      <c r="AGV56"/>
      <c r="AGW56"/>
      <c r="AGX56"/>
      <c r="AGY56"/>
      <c r="AGZ56"/>
      <c r="AHA56"/>
      <c r="AHB56"/>
      <c r="AHC56"/>
      <c r="AHD56"/>
      <c r="AHE56"/>
      <c r="AHF56"/>
      <c r="AHG56"/>
      <c r="AHH56"/>
      <c r="AHI56"/>
      <c r="AHJ56"/>
      <c r="AHK56"/>
      <c r="AHL56"/>
      <c r="AHM56"/>
      <c r="AHN56"/>
      <c r="AHO56"/>
      <c r="AHP56"/>
      <c r="AHQ56"/>
      <c r="AHR56"/>
      <c r="AHS56"/>
      <c r="AHT56"/>
      <c r="AHU56"/>
      <c r="AHV56"/>
      <c r="AHW56"/>
      <c r="AHX56"/>
      <c r="AHY56"/>
      <c r="AHZ56"/>
      <c r="AIA56"/>
      <c r="AIB56"/>
      <c r="AIC56"/>
      <c r="AID56"/>
      <c r="AIE56"/>
      <c r="AIF56"/>
      <c r="AIG56"/>
      <c r="AIH56"/>
      <c r="AII56"/>
      <c r="AIJ56"/>
      <c r="AIK56"/>
      <c r="AIL56"/>
      <c r="AIM56"/>
      <c r="AIN56"/>
      <c r="AIO56"/>
      <c r="AIP56"/>
      <c r="AIQ56"/>
      <c r="AIR56"/>
      <c r="AIS56"/>
      <c r="AIT56"/>
      <c r="AIU56"/>
      <c r="AIV56"/>
      <c r="AIW56"/>
      <c r="AIX56"/>
      <c r="AIY56"/>
      <c r="AIZ56"/>
      <c r="AJA56"/>
      <c r="AJB56"/>
      <c r="AJC56"/>
      <c r="AJD56"/>
      <c r="AJE56"/>
      <c r="AJF56"/>
      <c r="AJG56"/>
      <c r="AJH56"/>
      <c r="AJI56"/>
      <c r="AJJ56"/>
      <c r="AJK56"/>
      <c r="AJL56"/>
      <c r="AJM56"/>
      <c r="AJN56"/>
      <c r="AJO56"/>
      <c r="AJP56"/>
      <c r="AJQ56"/>
      <c r="AJR56"/>
      <c r="AJS56"/>
      <c r="AJT56"/>
      <c r="AJU56"/>
      <c r="AJV56"/>
      <c r="AJW56"/>
      <c r="AJX56"/>
      <c r="AJY56"/>
      <c r="AJZ56"/>
      <c r="AKA56"/>
      <c r="AKB56"/>
      <c r="AKC56"/>
      <c r="AKD56"/>
      <c r="AKE56"/>
      <c r="AKF56"/>
      <c r="AKG56"/>
      <c r="AKH56"/>
      <c r="AKI56"/>
      <c r="AKJ56"/>
      <c r="AKK56"/>
      <c r="AKL56"/>
      <c r="AKM56"/>
      <c r="AKN56"/>
      <c r="AKO56"/>
      <c r="AKP56"/>
      <c r="AKQ56"/>
      <c r="AKR56"/>
      <c r="AKS56"/>
      <c r="AKT56"/>
      <c r="AKU56"/>
      <c r="AKV56"/>
      <c r="AKW56"/>
      <c r="AKX56"/>
      <c r="AKY56"/>
      <c r="AKZ56"/>
      <c r="ALA56"/>
      <c r="ALB56"/>
      <c r="ALC56"/>
      <c r="ALD56"/>
      <c r="ALE56"/>
      <c r="ALF56"/>
      <c r="ALG56"/>
      <c r="ALH56"/>
      <c r="ALI56"/>
      <c r="ALJ56"/>
      <c r="ALK56"/>
      <c r="ALL56"/>
      <c r="ALM56"/>
      <c r="ALN56"/>
      <c r="ALO56"/>
      <c r="ALP56"/>
      <c r="ALQ56"/>
      <c r="ALR56"/>
      <c r="ALS56"/>
      <c r="ALT56"/>
      <c r="ALU56"/>
      <c r="ALV56"/>
      <c r="ALW56"/>
      <c r="ALX56"/>
      <c r="ALY56"/>
      <c r="ALZ56"/>
      <c r="AMA56"/>
      <c r="AMB56"/>
      <c r="AMC56"/>
      <c r="AMD56"/>
      <c r="AME56"/>
      <c r="AMF56"/>
      <c r="AMG56"/>
      <c r="AMH56"/>
      <c r="AMI56"/>
      <c r="AMJ56"/>
      <c r="AMK56"/>
      <c r="AML56"/>
      <c r="AMM56"/>
      <c r="AMN56"/>
      <c r="AMO56"/>
      <c r="AMP56"/>
      <c r="AMQ56"/>
      <c r="AMR56"/>
      <c r="AMS56"/>
      <c r="AMT56"/>
      <c r="AMU56"/>
      <c r="AMV56"/>
      <c r="AMW56"/>
      <c r="AMX56"/>
      <c r="AMY56"/>
      <c r="AMZ56"/>
      <c r="ANA56"/>
      <c r="ANB56"/>
      <c r="ANC56"/>
      <c r="AND56"/>
      <c r="ANE56"/>
      <c r="ANF56"/>
      <c r="ANG56"/>
      <c r="ANH56"/>
      <c r="ANI56"/>
      <c r="ANJ56"/>
      <c r="ANK56"/>
      <c r="ANL56"/>
      <c r="ANM56"/>
      <c r="ANN56"/>
      <c r="ANO56"/>
      <c r="ANP56"/>
      <c r="ANQ56"/>
      <c r="ANR56"/>
      <c r="ANS56"/>
      <c r="ANT56"/>
      <c r="ANU56"/>
      <c r="ANV56"/>
      <c r="ANW56"/>
      <c r="ANX56"/>
      <c r="ANY56"/>
      <c r="ANZ56"/>
      <c r="AOA56"/>
      <c r="AOB56"/>
      <c r="AOC56"/>
      <c r="AOD56"/>
      <c r="AOE56"/>
      <c r="AOF56"/>
      <c r="AOG56"/>
      <c r="AOH56"/>
      <c r="AOI56"/>
      <c r="AOJ56"/>
      <c r="AOK56"/>
      <c r="AOL56"/>
      <c r="AOM56"/>
      <c r="AON56"/>
      <c r="AOO56"/>
      <c r="AOP56"/>
      <c r="AOQ56"/>
      <c r="AOR56"/>
      <c r="AOS56"/>
      <c r="AOT56"/>
      <c r="AOU56"/>
      <c r="AOV56"/>
      <c r="AOW56"/>
      <c r="AOX56"/>
      <c r="AOY56"/>
      <c r="AOZ56"/>
      <c r="APA56"/>
      <c r="APB56"/>
      <c r="APC56"/>
      <c r="APD56"/>
      <c r="APE56"/>
      <c r="APF56"/>
      <c r="APG56"/>
      <c r="APH56"/>
      <c r="API56"/>
      <c r="APJ56"/>
      <c r="APK56"/>
      <c r="APL56"/>
      <c r="APM56"/>
      <c r="APN56"/>
      <c r="APO56"/>
      <c r="APP56"/>
      <c r="APQ56"/>
      <c r="APR56"/>
      <c r="APS56"/>
      <c r="APT56"/>
      <c r="APU56"/>
      <c r="APV56"/>
      <c r="APW56"/>
      <c r="APX56"/>
      <c r="APY56"/>
      <c r="APZ56"/>
      <c r="AQA56"/>
      <c r="AQB56"/>
      <c r="AQC56"/>
      <c r="AQD56"/>
      <c r="AQE56"/>
      <c r="AQF56"/>
      <c r="AQG56"/>
      <c r="AQH56"/>
      <c r="AQI56"/>
      <c r="AQJ56"/>
      <c r="AQK56"/>
      <c r="AQL56"/>
      <c r="AQM56"/>
      <c r="AQN56"/>
      <c r="AQO56"/>
      <c r="AQP56"/>
      <c r="AQQ56"/>
      <c r="AQR56"/>
      <c r="AQS56"/>
      <c r="AQT56"/>
      <c r="AQU56"/>
      <c r="AQV56"/>
      <c r="AQW56"/>
      <c r="AQX56"/>
      <c r="AQY56"/>
      <c r="AQZ56"/>
      <c r="ARA56"/>
      <c r="ARB56"/>
      <c r="ARC56"/>
      <c r="ARD56"/>
      <c r="ARE56"/>
      <c r="ARF56"/>
      <c r="ARG56"/>
      <c r="ARH56"/>
      <c r="ARI56"/>
      <c r="ARJ56"/>
      <c r="ARK56"/>
      <c r="ARL56"/>
      <c r="ARM56"/>
      <c r="ARN56"/>
      <c r="ARO56"/>
      <c r="ARP56"/>
      <c r="ARQ56"/>
      <c r="ARR56"/>
      <c r="ARS56"/>
      <c r="ART56"/>
      <c r="ARU56"/>
      <c r="ARV56"/>
      <c r="ARW56"/>
      <c r="ARX56"/>
      <c r="ARY56"/>
      <c r="ARZ56"/>
      <c r="ASA56"/>
      <c r="ASB56"/>
      <c r="ASC56"/>
      <c r="ASD56"/>
      <c r="ASE56"/>
      <c r="ASF56"/>
      <c r="ASG56"/>
      <c r="ASH56"/>
      <c r="ASI56"/>
      <c r="ASJ56"/>
      <c r="ASK56"/>
      <c r="ASL56"/>
      <c r="ASM56"/>
      <c r="ASN56"/>
      <c r="ASO56"/>
      <c r="ASP56"/>
      <c r="ASQ56"/>
      <c r="ASR56"/>
      <c r="ASS56"/>
      <c r="AST56"/>
      <c r="ASU56"/>
      <c r="ASV56"/>
      <c r="ASW56"/>
      <c r="ASX56"/>
      <c r="ASY56"/>
      <c r="ASZ56"/>
      <c r="ATA56"/>
      <c r="ATB56"/>
      <c r="ATC56"/>
      <c r="ATD56"/>
      <c r="ATE56"/>
      <c r="ATF56"/>
      <c r="ATG56"/>
      <c r="ATH56"/>
      <c r="ATI56"/>
      <c r="ATJ56"/>
      <c r="ATK56"/>
      <c r="ATL56"/>
      <c r="ATM56"/>
      <c r="ATN56"/>
      <c r="ATO56"/>
      <c r="ATP56"/>
      <c r="ATQ56"/>
      <c r="ATR56"/>
      <c r="ATS56"/>
      <c r="ATT56"/>
      <c r="ATU56"/>
      <c r="ATV56"/>
      <c r="ATW56"/>
      <c r="ATX56"/>
      <c r="ATY56"/>
      <c r="ATZ56"/>
      <c r="AUA56"/>
      <c r="AUB56"/>
      <c r="AUC56"/>
      <c r="AUD56"/>
      <c r="AUE56"/>
      <c r="AUF56"/>
      <c r="AUG56"/>
      <c r="AUH56"/>
      <c r="AUI56"/>
      <c r="AUJ56"/>
      <c r="AUK56"/>
      <c r="AUL56"/>
      <c r="AUM56"/>
      <c r="AUN56"/>
      <c r="AUO56"/>
      <c r="AUP56"/>
      <c r="AUQ56"/>
      <c r="AUR56"/>
      <c r="AUS56"/>
      <c r="AUT56"/>
      <c r="AUU56"/>
      <c r="AUV56"/>
      <c r="AUW56"/>
      <c r="AUX56"/>
      <c r="AUY56"/>
      <c r="AUZ56"/>
      <c r="AVA56"/>
      <c r="AVB56"/>
      <c r="AVC56"/>
      <c r="AVD56"/>
      <c r="AVE56"/>
      <c r="AVF56"/>
      <c r="AVG56"/>
      <c r="AVH56"/>
      <c r="AVI56"/>
      <c r="AVJ56"/>
      <c r="AVK56"/>
      <c r="AVL56"/>
      <c r="AVM56"/>
      <c r="AVN56"/>
      <c r="AVO56"/>
      <c r="AVP56"/>
      <c r="AVQ56"/>
      <c r="AVR56"/>
      <c r="AVS56"/>
      <c r="AVT56"/>
      <c r="AVU56"/>
      <c r="AVV56"/>
      <c r="AVW56"/>
      <c r="AVX56"/>
      <c r="AVY56"/>
      <c r="AVZ56"/>
      <c r="AWA56"/>
      <c r="AWB56"/>
      <c r="AWC56"/>
      <c r="AWD56"/>
      <c r="AWE56"/>
      <c r="AWF56"/>
      <c r="AWG56"/>
      <c r="AWH56"/>
      <c r="AWI56"/>
      <c r="AWJ56"/>
      <c r="AWK56"/>
      <c r="AWL56"/>
      <c r="AWM56"/>
      <c r="AWN56"/>
      <c r="AWO56"/>
      <c r="AWP56"/>
      <c r="AWQ56"/>
      <c r="AWR56"/>
      <c r="AWS56"/>
      <c r="AWT56"/>
      <c r="AWU56"/>
      <c r="AWV56"/>
      <c r="AWW56"/>
      <c r="AWX56"/>
      <c r="AWY56"/>
      <c r="AWZ56"/>
      <c r="AXA56"/>
      <c r="AXB56"/>
      <c r="AXC56"/>
      <c r="AXD56"/>
      <c r="AXE56"/>
      <c r="AXF56"/>
      <c r="AXG56"/>
      <c r="AXH56"/>
      <c r="AXI56"/>
      <c r="AXJ56"/>
      <c r="AXK56"/>
      <c r="AXL56"/>
      <c r="AXM56"/>
      <c r="AXN56"/>
      <c r="AXO56"/>
      <c r="AXP56"/>
      <c r="AXQ56"/>
      <c r="AXR56"/>
      <c r="AXS56"/>
      <c r="AXT56"/>
      <c r="AXU56"/>
      <c r="AXV56"/>
      <c r="AXW56"/>
      <c r="AXX56"/>
      <c r="AXY56"/>
      <c r="AXZ56"/>
      <c r="AYA56"/>
      <c r="AYB56"/>
      <c r="AYC56"/>
      <c r="AYD56"/>
      <c r="AYE56"/>
      <c r="AYF56"/>
      <c r="AYG56"/>
      <c r="AYH56"/>
      <c r="AYI56"/>
      <c r="AYJ56"/>
      <c r="AYK56"/>
      <c r="AYL56"/>
      <c r="AYM56"/>
      <c r="AYN56"/>
      <c r="AYO56"/>
      <c r="AYP56"/>
      <c r="AYQ56"/>
      <c r="AYR56"/>
      <c r="AYS56"/>
      <c r="AYT56"/>
      <c r="AYU56"/>
      <c r="AYV56"/>
      <c r="AYW56"/>
      <c r="AYX56"/>
      <c r="AYY56"/>
      <c r="AYZ56"/>
      <c r="AZA56"/>
      <c r="AZB56"/>
      <c r="AZC56"/>
      <c r="AZD56"/>
      <c r="AZE56"/>
      <c r="AZF56"/>
      <c r="AZG56"/>
      <c r="AZH56"/>
      <c r="AZI56"/>
      <c r="AZJ56"/>
      <c r="AZK56"/>
      <c r="AZL56"/>
      <c r="AZM56"/>
      <c r="AZN56"/>
      <c r="AZO56"/>
      <c r="AZP56"/>
      <c r="AZQ56"/>
      <c r="AZR56"/>
      <c r="AZS56"/>
      <c r="AZT56"/>
      <c r="AZU56"/>
      <c r="AZV56"/>
      <c r="AZW56"/>
      <c r="AZX56"/>
      <c r="AZY56"/>
      <c r="AZZ56"/>
      <c r="BAA56"/>
      <c r="BAB56"/>
      <c r="BAC56"/>
      <c r="BAD56"/>
      <c r="BAE56"/>
      <c r="BAF56"/>
      <c r="BAG56"/>
      <c r="BAH56"/>
      <c r="BAI56"/>
      <c r="BAJ56"/>
      <c r="BAK56"/>
      <c r="BAL56"/>
      <c r="BAM56"/>
      <c r="BAN56"/>
      <c r="BAO56"/>
      <c r="BAP56"/>
      <c r="BAQ56"/>
      <c r="BAR56"/>
      <c r="BAS56"/>
      <c r="BAT56"/>
      <c r="BAU56"/>
      <c r="BAV56"/>
      <c r="BAW56"/>
      <c r="BAX56"/>
      <c r="BAY56"/>
      <c r="BAZ56"/>
      <c r="BBA56"/>
      <c r="BBB56"/>
      <c r="BBC56"/>
      <c r="BBD56"/>
      <c r="BBE56"/>
      <c r="BBF56"/>
      <c r="BBG56"/>
      <c r="BBH56"/>
      <c r="BBI56"/>
      <c r="BBJ56"/>
      <c r="BBK56"/>
      <c r="BBL56"/>
      <c r="BBM56"/>
      <c r="BBN56"/>
      <c r="BBO56"/>
      <c r="BBP56"/>
      <c r="BBQ56"/>
      <c r="BBR56"/>
      <c r="BBS56"/>
      <c r="BBT56"/>
      <c r="BBU56"/>
      <c r="BBV56"/>
      <c r="BBW56"/>
      <c r="BBX56"/>
      <c r="BBY56"/>
      <c r="BBZ56"/>
      <c r="BCA56"/>
      <c r="BCB56"/>
      <c r="BCC56"/>
      <c r="BCD56"/>
      <c r="BCE56"/>
      <c r="BCF56"/>
      <c r="BCG56"/>
      <c r="BCH56"/>
      <c r="BCI56"/>
      <c r="BCJ56"/>
      <c r="BCK56"/>
      <c r="BCL56"/>
      <c r="BCM56"/>
      <c r="BCN56"/>
      <c r="BCO56"/>
      <c r="BCP56"/>
      <c r="BCQ56"/>
      <c r="BCR56"/>
      <c r="BCS56"/>
      <c r="BCT56"/>
      <c r="BCU56"/>
      <c r="BCV56"/>
      <c r="BCW56"/>
      <c r="BCX56"/>
      <c r="BCY56"/>
      <c r="BCZ56"/>
      <c r="BDA56"/>
      <c r="BDB56"/>
      <c r="BDC56"/>
      <c r="BDD56"/>
      <c r="BDE56"/>
      <c r="BDF56"/>
      <c r="BDG56"/>
      <c r="BDH56"/>
      <c r="BDI56"/>
      <c r="BDJ56"/>
      <c r="BDK56"/>
      <c r="BDL56"/>
      <c r="BDM56"/>
      <c r="BDN56"/>
      <c r="BDO56"/>
      <c r="BDP56"/>
      <c r="BDQ56"/>
      <c r="BDR56"/>
      <c r="BDS56"/>
      <c r="BDT56"/>
      <c r="BDU56"/>
      <c r="BDV56"/>
      <c r="BDW56"/>
      <c r="BDX56"/>
      <c r="BDY56"/>
      <c r="BDZ56"/>
      <c r="BEA56"/>
      <c r="BEB56"/>
      <c r="BEC56"/>
      <c r="BED56"/>
      <c r="BEE56"/>
      <c r="BEF56"/>
      <c r="BEG56"/>
      <c r="BEH56"/>
      <c r="BEI56"/>
      <c r="BEJ56"/>
      <c r="BEK56"/>
      <c r="BEL56"/>
      <c r="BEM56"/>
      <c r="BEN56"/>
      <c r="BEO56"/>
      <c r="BEP56"/>
      <c r="BEQ56"/>
      <c r="BER56"/>
      <c r="BES56"/>
      <c r="BET56"/>
      <c r="BEU56"/>
      <c r="BEV56"/>
      <c r="BEW56"/>
      <c r="BEX56"/>
      <c r="BEY56"/>
      <c r="BEZ56"/>
      <c r="BFA56"/>
      <c r="BFB56"/>
      <c r="BFC56"/>
      <c r="BFD56"/>
      <c r="BFE56"/>
      <c r="BFF56"/>
      <c r="BFG56"/>
      <c r="BFH56"/>
      <c r="BFI56"/>
      <c r="BFJ56"/>
      <c r="BFK56"/>
      <c r="BFL56"/>
      <c r="BFM56"/>
      <c r="BFN56"/>
      <c r="BFO56"/>
      <c r="BFP56"/>
      <c r="BFQ56"/>
      <c r="BFR56"/>
      <c r="BFS56"/>
      <c r="BFT56"/>
      <c r="BFU56"/>
      <c r="BFV56"/>
      <c r="BFW56"/>
      <c r="BFX56"/>
      <c r="BFY56"/>
      <c r="BFZ56"/>
      <c r="BGA56"/>
      <c r="BGB56"/>
      <c r="BGC56"/>
      <c r="BGD56"/>
      <c r="BGE56"/>
      <c r="BGF56"/>
      <c r="BGG56"/>
      <c r="BGH56"/>
      <c r="BGI56"/>
      <c r="BGJ56"/>
      <c r="BGK56"/>
      <c r="BGL56"/>
      <c r="BGM56"/>
      <c r="BGN56"/>
      <c r="BGO56"/>
      <c r="BGP56"/>
      <c r="BGQ56"/>
      <c r="BGR56"/>
      <c r="BGS56"/>
      <c r="BGT56"/>
      <c r="BGU56"/>
      <c r="BGV56"/>
      <c r="BGW56"/>
      <c r="BGX56"/>
      <c r="BGY56"/>
      <c r="BGZ56"/>
      <c r="BHA56"/>
      <c r="BHB56"/>
      <c r="BHC56"/>
      <c r="BHD56"/>
      <c r="BHE56"/>
      <c r="BHF56"/>
      <c r="BHG56"/>
      <c r="BHH56"/>
      <c r="BHI56"/>
      <c r="BHJ56"/>
      <c r="BHK56"/>
      <c r="BHL56"/>
      <c r="BHM56"/>
      <c r="BHN56"/>
      <c r="BHO56"/>
      <c r="BHP56"/>
      <c r="BHQ56"/>
      <c r="BHR56"/>
      <c r="BHS56"/>
      <c r="BHT56"/>
      <c r="BHU56"/>
      <c r="BHV56"/>
      <c r="BHW56"/>
      <c r="BHX56"/>
      <c r="BHY56"/>
      <c r="BHZ56"/>
      <c r="BIA56"/>
      <c r="BIB56"/>
      <c r="BIC56"/>
      <c r="BID56"/>
      <c r="BIE56"/>
      <c r="BIF56"/>
      <c r="BIG56"/>
      <c r="BIH56"/>
      <c r="BII56"/>
      <c r="BIJ56"/>
      <c r="BIK56"/>
      <c r="BIL56"/>
      <c r="BIM56"/>
      <c r="BIN56"/>
      <c r="BIO56"/>
      <c r="BIP56"/>
      <c r="BIQ56"/>
      <c r="BIR56"/>
      <c r="BIS56"/>
      <c r="BIT56"/>
      <c r="BIU56"/>
      <c r="BIV56"/>
      <c r="BIW56"/>
      <c r="BIX56"/>
      <c r="BIY56"/>
      <c r="BIZ56"/>
      <c r="BJA56"/>
      <c r="BJB56"/>
      <c r="BJC56"/>
      <c r="BJD56"/>
      <c r="BJE56"/>
      <c r="BJF56"/>
      <c r="BJG56"/>
      <c r="BJH56"/>
      <c r="BJI56"/>
      <c r="BJJ56"/>
      <c r="BJK56"/>
      <c r="BJL56"/>
      <c r="BJM56"/>
      <c r="BJN56"/>
      <c r="BJO56"/>
      <c r="BJP56"/>
      <c r="BJQ56"/>
      <c r="BJR56"/>
      <c r="BJS56"/>
      <c r="BJT56"/>
      <c r="BJU56"/>
      <c r="BJV56"/>
      <c r="BJW56"/>
      <c r="BJX56"/>
      <c r="BJY56"/>
      <c r="BJZ56"/>
      <c r="BKA56"/>
      <c r="BKB56"/>
      <c r="BKC56"/>
      <c r="BKD56"/>
      <c r="BKE56"/>
      <c r="BKF56"/>
      <c r="BKG56"/>
      <c r="BKH56"/>
      <c r="BKI56"/>
      <c r="BKJ56"/>
      <c r="BKK56"/>
      <c r="BKL56"/>
      <c r="BKM56"/>
      <c r="BKN56"/>
      <c r="BKO56"/>
      <c r="BKP56"/>
      <c r="BKQ56"/>
      <c r="BKR56"/>
      <c r="BKS56"/>
      <c r="BKT56"/>
      <c r="BKU56"/>
      <c r="BKV56"/>
      <c r="BKW56"/>
      <c r="BKX56"/>
      <c r="BKY56"/>
      <c r="BKZ56"/>
      <c r="BLA56"/>
      <c r="BLB56"/>
      <c r="BLC56"/>
      <c r="BLD56"/>
      <c r="BLE56"/>
      <c r="BLF56"/>
      <c r="BLG56"/>
      <c r="BLH56"/>
      <c r="BLI56"/>
      <c r="BLJ56"/>
      <c r="BLK56"/>
      <c r="BLL56"/>
      <c r="BLM56"/>
      <c r="BLN56"/>
      <c r="BLO56"/>
      <c r="BLP56"/>
      <c r="BLQ56"/>
      <c r="BLR56"/>
      <c r="BLS56"/>
      <c r="BLT56"/>
      <c r="BLU56"/>
      <c r="BLV56"/>
      <c r="BLW56"/>
      <c r="BLX56"/>
      <c r="BLY56"/>
      <c r="BLZ56"/>
      <c r="BMA56"/>
      <c r="BMB56"/>
      <c r="BMC56"/>
      <c r="BMD56"/>
      <c r="BME56"/>
      <c r="BMF56"/>
      <c r="BMG56"/>
      <c r="BMH56"/>
      <c r="BMI56"/>
      <c r="BMJ56"/>
      <c r="BMK56"/>
      <c r="BML56"/>
      <c r="BMM56"/>
      <c r="BMN56"/>
      <c r="BMO56"/>
      <c r="BMP56"/>
      <c r="BMQ56"/>
      <c r="BMR56"/>
      <c r="BMS56"/>
      <c r="BMT56"/>
      <c r="BMU56"/>
      <c r="BMV56"/>
      <c r="BMW56"/>
      <c r="BMX56"/>
      <c r="BMY56"/>
      <c r="BMZ56"/>
      <c r="BNA56"/>
      <c r="BNB56"/>
      <c r="BNC56"/>
      <c r="BND56"/>
      <c r="BNE56"/>
      <c r="BNF56"/>
      <c r="BNG56"/>
      <c r="BNH56"/>
      <c r="BNI56"/>
      <c r="BNJ56"/>
      <c r="BNK56"/>
      <c r="BNL56"/>
      <c r="BNM56"/>
      <c r="BNN56"/>
      <c r="BNO56"/>
      <c r="BNP56"/>
      <c r="BNQ56"/>
      <c r="BNR56"/>
      <c r="BNS56"/>
      <c r="BNT56"/>
      <c r="BNU56"/>
      <c r="BNV56"/>
      <c r="BNW56"/>
      <c r="BNX56"/>
      <c r="BNY56"/>
      <c r="BNZ56"/>
      <c r="BOA56"/>
      <c r="BOB56"/>
      <c r="BOC56"/>
      <c r="BOD56"/>
      <c r="BOE56"/>
      <c r="BOF56"/>
      <c r="BOG56"/>
      <c r="BOH56"/>
      <c r="BOI56"/>
      <c r="BOJ56"/>
      <c r="BOK56"/>
      <c r="BOL56"/>
      <c r="BOM56"/>
      <c r="BON56"/>
      <c r="BOO56"/>
      <c r="BOP56"/>
      <c r="BOQ56"/>
      <c r="BOR56"/>
      <c r="BOS56"/>
      <c r="BOT56"/>
      <c r="BOU56"/>
      <c r="BOV56"/>
      <c r="BOW56"/>
      <c r="BOX56"/>
      <c r="BOY56"/>
      <c r="BOZ56"/>
      <c r="BPA56"/>
      <c r="BPB56"/>
      <c r="BPC56"/>
      <c r="BPD56"/>
      <c r="BPE56"/>
      <c r="BPF56"/>
      <c r="BPG56"/>
      <c r="BPH56"/>
      <c r="BPI56"/>
      <c r="BPJ56"/>
      <c r="BPK56"/>
      <c r="BPL56"/>
      <c r="BPM56"/>
      <c r="BPN56"/>
      <c r="BPO56"/>
      <c r="BPP56"/>
      <c r="BPQ56"/>
      <c r="BPR56"/>
      <c r="BPS56"/>
      <c r="BPT56"/>
      <c r="BPU56"/>
      <c r="BPV56"/>
      <c r="BPW56"/>
      <c r="BPX56"/>
      <c r="BPY56"/>
      <c r="BPZ56"/>
      <c r="BQA56"/>
      <c r="BQB56"/>
      <c r="BQC56"/>
      <c r="BQD56"/>
      <c r="BQE56"/>
      <c r="BQF56"/>
      <c r="BQG56"/>
      <c r="BQH56"/>
      <c r="BQI56"/>
      <c r="BQJ56"/>
      <c r="BQK56"/>
      <c r="BQL56"/>
      <c r="BQM56"/>
      <c r="BQN56"/>
      <c r="BQO56"/>
      <c r="BQP56"/>
      <c r="BQQ56"/>
      <c r="BQR56"/>
      <c r="BQS56"/>
      <c r="BQT56"/>
      <c r="BQU56"/>
      <c r="BQV56"/>
      <c r="BQW56"/>
      <c r="BQX56"/>
      <c r="BQY56"/>
      <c r="BQZ56"/>
      <c r="BRA56"/>
      <c r="BRB56"/>
      <c r="BRC56"/>
      <c r="BRD56"/>
      <c r="BRE56"/>
      <c r="BRF56"/>
      <c r="BRG56"/>
      <c r="BRH56"/>
      <c r="BRI56"/>
      <c r="BRJ56"/>
      <c r="BRK56"/>
      <c r="BRL56"/>
      <c r="BRM56"/>
      <c r="BRN56"/>
      <c r="BRO56"/>
      <c r="BRP56"/>
      <c r="BRQ56"/>
      <c r="BRR56"/>
      <c r="BRS56"/>
      <c r="BRT56"/>
      <c r="BRU56"/>
      <c r="BRV56"/>
      <c r="BRW56"/>
      <c r="BRX56"/>
      <c r="BRY56"/>
      <c r="BRZ56"/>
      <c r="BSA56"/>
      <c r="BSB56"/>
      <c r="BSC56"/>
      <c r="BSD56"/>
      <c r="BSE56"/>
      <c r="BSF56"/>
      <c r="BSG56"/>
      <c r="BSH56"/>
      <c r="BSI56"/>
      <c r="BSJ56"/>
      <c r="BSK56"/>
      <c r="BSL56"/>
      <c r="BSM56"/>
      <c r="BSN56"/>
      <c r="BSO56"/>
      <c r="BSP56"/>
      <c r="BSQ56"/>
      <c r="BSR56"/>
      <c r="BSS56"/>
      <c r="BST56"/>
      <c r="BSU56"/>
      <c r="BSV56"/>
      <c r="BSW56"/>
      <c r="BSX56"/>
      <c r="BSY56"/>
      <c r="BSZ56"/>
      <c r="BTA56"/>
      <c r="BTB56"/>
      <c r="BTC56"/>
      <c r="BTD56"/>
      <c r="BTE56"/>
      <c r="BTF56"/>
      <c r="BTG56"/>
      <c r="BTH56"/>
      <c r="BTI56"/>
      <c r="BTJ56"/>
      <c r="BTK56"/>
      <c r="BTL56"/>
      <c r="BTM56"/>
      <c r="BTN56"/>
      <c r="BTO56"/>
      <c r="BTP56"/>
      <c r="BTQ56"/>
      <c r="BTR56"/>
      <c r="BTS56"/>
      <c r="BTT56"/>
      <c r="BTU56"/>
      <c r="BTV56"/>
      <c r="BTW56"/>
      <c r="BTX56"/>
      <c r="BTY56"/>
      <c r="BTZ56"/>
      <c r="BUA56"/>
      <c r="BUB56"/>
      <c r="BUC56"/>
      <c r="BUD56"/>
      <c r="BUE56"/>
      <c r="BUF56"/>
      <c r="BUG56"/>
      <c r="BUH56"/>
      <c r="BUI56"/>
      <c r="BUJ56"/>
      <c r="BUK56"/>
      <c r="BUL56"/>
      <c r="BUM56"/>
      <c r="BUN56"/>
      <c r="BUO56"/>
      <c r="BUP56"/>
      <c r="BUQ56"/>
      <c r="BUR56"/>
      <c r="BUS56"/>
      <c r="BUT56"/>
      <c r="BUU56"/>
      <c r="BUV56"/>
      <c r="BUW56"/>
      <c r="BUX56"/>
      <c r="BUY56"/>
      <c r="BUZ56"/>
      <c r="BVA56"/>
      <c r="BVB56"/>
      <c r="BVC56"/>
      <c r="BVD56"/>
      <c r="BVE56"/>
      <c r="BVF56"/>
      <c r="BVG56"/>
      <c r="BVH56"/>
      <c r="BVI56"/>
      <c r="BVJ56"/>
      <c r="BVK56"/>
      <c r="BVL56"/>
      <c r="BVM56"/>
      <c r="BVN56"/>
      <c r="BVO56"/>
      <c r="BVP56"/>
      <c r="BVQ56"/>
      <c r="BVR56"/>
      <c r="BVS56"/>
      <c r="BVT56"/>
      <c r="BVU56"/>
      <c r="BVV56"/>
      <c r="BVW56"/>
      <c r="BVX56"/>
      <c r="BVY56"/>
      <c r="BVZ56"/>
      <c r="BWA56"/>
      <c r="BWB56"/>
      <c r="BWC56"/>
      <c r="BWD56"/>
      <c r="BWE56"/>
      <c r="BWF56"/>
      <c r="BWG56"/>
      <c r="BWH56"/>
      <c r="BWI56"/>
      <c r="BWJ56"/>
      <c r="BWK56"/>
      <c r="BWL56"/>
      <c r="BWM56"/>
      <c r="BWN56"/>
      <c r="BWO56"/>
      <c r="BWP56"/>
      <c r="BWQ56"/>
      <c r="BWR56"/>
      <c r="BWS56"/>
      <c r="BWT56"/>
      <c r="BWU56"/>
      <c r="BWV56"/>
      <c r="BWW56"/>
      <c r="BWX56"/>
      <c r="BWY56"/>
      <c r="BWZ56"/>
      <c r="BXA56"/>
      <c r="BXB56"/>
      <c r="BXC56"/>
      <c r="BXD56"/>
      <c r="BXE56"/>
      <c r="BXF56"/>
      <c r="BXG56"/>
      <c r="BXH56"/>
      <c r="BXI56"/>
      <c r="BXJ56"/>
      <c r="BXK56"/>
      <c r="BXL56"/>
      <c r="BXM56"/>
      <c r="BXN56"/>
      <c r="BXO56"/>
      <c r="BXP56"/>
      <c r="BXQ56"/>
      <c r="BXR56"/>
      <c r="BXS56"/>
      <c r="BXT56"/>
      <c r="BXU56"/>
      <c r="BXV56"/>
      <c r="BXW56"/>
      <c r="BXX56"/>
      <c r="BXY56"/>
      <c r="BXZ56"/>
      <c r="BYA56"/>
      <c r="BYB56"/>
      <c r="BYC56"/>
      <c r="BYD56"/>
      <c r="BYE56"/>
      <c r="BYF56"/>
      <c r="BYG56"/>
      <c r="BYH56"/>
      <c r="BYI56"/>
      <c r="BYJ56"/>
      <c r="BYK56"/>
      <c r="BYL56"/>
      <c r="BYM56"/>
      <c r="BYN56"/>
      <c r="BYO56"/>
      <c r="BYP56"/>
      <c r="BYQ56"/>
      <c r="BYR56"/>
      <c r="BYS56"/>
      <c r="BYT56"/>
      <c r="BYU56"/>
      <c r="BYV56"/>
      <c r="BYW56"/>
      <c r="BYX56"/>
      <c r="BYY56"/>
      <c r="BYZ56"/>
      <c r="BZA56"/>
      <c r="BZB56"/>
      <c r="BZC56"/>
      <c r="BZD56"/>
      <c r="BZE56"/>
      <c r="BZF56"/>
      <c r="BZG56"/>
      <c r="BZH56"/>
      <c r="BZI56"/>
      <c r="BZJ56"/>
      <c r="BZK56"/>
      <c r="BZL56"/>
      <c r="BZM56"/>
      <c r="BZN56"/>
      <c r="BZO56"/>
      <c r="BZP56"/>
      <c r="BZQ56"/>
      <c r="BZR56"/>
      <c r="BZS56"/>
      <c r="BZT56"/>
      <c r="BZU56"/>
      <c r="BZV56"/>
      <c r="BZW56"/>
      <c r="BZX56"/>
      <c r="BZY56"/>
      <c r="BZZ56"/>
      <c r="CAA56"/>
      <c r="CAB56"/>
      <c r="CAC56"/>
      <c r="CAD56"/>
      <c r="CAE56"/>
      <c r="CAF56"/>
      <c r="CAG56"/>
      <c r="CAH56"/>
      <c r="CAI56"/>
      <c r="CAJ56"/>
      <c r="CAK56"/>
      <c r="CAL56"/>
      <c r="CAM56"/>
      <c r="CAN56"/>
      <c r="CAO56"/>
      <c r="CAP56"/>
      <c r="CAQ56"/>
      <c r="CAR56"/>
      <c r="CAS56"/>
      <c r="CAT56"/>
      <c r="CAU56"/>
      <c r="CAV56"/>
      <c r="CAW56"/>
      <c r="CAX56"/>
      <c r="CAY56"/>
      <c r="CAZ56"/>
      <c r="CBA56"/>
      <c r="CBB56"/>
      <c r="CBC56"/>
      <c r="CBD56"/>
      <c r="CBE56"/>
      <c r="CBF56"/>
      <c r="CBG56"/>
      <c r="CBH56"/>
      <c r="CBI56"/>
      <c r="CBJ56"/>
      <c r="CBK56"/>
      <c r="CBL56"/>
      <c r="CBM56"/>
      <c r="CBN56"/>
      <c r="CBO56"/>
      <c r="CBP56"/>
      <c r="CBQ56"/>
      <c r="CBR56"/>
      <c r="CBS56"/>
      <c r="CBT56"/>
      <c r="CBU56"/>
      <c r="CBV56"/>
      <c r="CBW56"/>
      <c r="CBX56"/>
      <c r="CBY56"/>
      <c r="CBZ56"/>
      <c r="CCA56"/>
      <c r="CCB56"/>
      <c r="CCC56"/>
      <c r="CCD56"/>
      <c r="CCE56"/>
      <c r="CCF56"/>
      <c r="CCG56"/>
      <c r="CCH56"/>
      <c r="CCI56"/>
      <c r="CCJ56"/>
      <c r="CCK56"/>
      <c r="CCL56"/>
      <c r="CCM56"/>
      <c r="CCN56"/>
      <c r="CCO56"/>
      <c r="CCP56"/>
      <c r="CCQ56"/>
      <c r="CCR56"/>
      <c r="CCS56"/>
      <c r="CCT56"/>
      <c r="CCU56"/>
      <c r="CCV56"/>
      <c r="CCW56"/>
      <c r="CCX56"/>
      <c r="CCY56"/>
      <c r="CCZ56"/>
      <c r="CDA56"/>
      <c r="CDB56"/>
      <c r="CDC56"/>
      <c r="CDD56"/>
      <c r="CDE56"/>
      <c r="CDF56"/>
      <c r="CDG56"/>
      <c r="CDH56"/>
      <c r="CDI56"/>
      <c r="CDJ56"/>
      <c r="CDK56"/>
      <c r="CDL56"/>
      <c r="CDM56"/>
      <c r="CDN56"/>
      <c r="CDO56"/>
      <c r="CDP56"/>
      <c r="CDQ56"/>
      <c r="CDR56"/>
      <c r="CDS56"/>
      <c r="CDT56"/>
      <c r="CDU56"/>
      <c r="CDV56"/>
      <c r="CDW56"/>
      <c r="CDX56"/>
      <c r="CDY56"/>
      <c r="CDZ56"/>
      <c r="CEA56"/>
      <c r="CEB56"/>
      <c r="CEC56"/>
      <c r="CED56"/>
      <c r="CEE56"/>
      <c r="CEF56"/>
      <c r="CEG56"/>
      <c r="CEH56"/>
      <c r="CEI56"/>
      <c r="CEJ56"/>
      <c r="CEK56"/>
      <c r="CEL56"/>
      <c r="CEM56"/>
      <c r="CEN56"/>
      <c r="CEO56"/>
      <c r="CEP56"/>
      <c r="CEQ56"/>
      <c r="CER56"/>
      <c r="CES56"/>
      <c r="CET56"/>
      <c r="CEU56"/>
      <c r="CEV56"/>
      <c r="CEW56"/>
      <c r="CEX56"/>
      <c r="CEY56"/>
      <c r="CEZ56"/>
      <c r="CFA56"/>
      <c r="CFB56"/>
      <c r="CFC56"/>
      <c r="CFD56"/>
      <c r="CFE56"/>
      <c r="CFF56"/>
      <c r="CFG56"/>
      <c r="CFH56"/>
      <c r="CFI56"/>
      <c r="CFJ56"/>
      <c r="CFK56"/>
      <c r="CFL56"/>
      <c r="CFM56"/>
      <c r="CFN56"/>
      <c r="CFO56"/>
      <c r="CFP56"/>
      <c r="CFQ56"/>
      <c r="CFR56"/>
      <c r="CFS56"/>
      <c r="CFT56"/>
      <c r="CFU56"/>
      <c r="CFV56"/>
      <c r="CFW56"/>
      <c r="CFX56"/>
      <c r="CFY56"/>
      <c r="CFZ56"/>
      <c r="CGA56"/>
      <c r="CGB56"/>
      <c r="CGC56"/>
      <c r="CGD56"/>
      <c r="CGE56"/>
      <c r="CGF56"/>
      <c r="CGG56"/>
      <c r="CGH56"/>
      <c r="CGI56"/>
      <c r="CGJ56"/>
      <c r="CGK56"/>
      <c r="CGL56"/>
      <c r="CGM56"/>
      <c r="CGN56"/>
      <c r="CGO56"/>
      <c r="CGP56"/>
      <c r="CGQ56"/>
      <c r="CGR56"/>
      <c r="CGS56"/>
      <c r="CGT56"/>
      <c r="CGU56"/>
      <c r="CGV56"/>
      <c r="CGW56"/>
      <c r="CGX56"/>
      <c r="CGY56"/>
      <c r="CGZ56"/>
      <c r="CHA56"/>
      <c r="CHB56"/>
      <c r="CHC56"/>
      <c r="CHD56"/>
      <c r="CHE56"/>
      <c r="CHF56"/>
      <c r="CHG56"/>
      <c r="CHH56"/>
      <c r="CHI56"/>
      <c r="CHJ56"/>
      <c r="CHK56"/>
      <c r="CHL56"/>
      <c r="CHM56"/>
      <c r="CHN56"/>
      <c r="CHO56"/>
      <c r="CHP56"/>
      <c r="CHQ56"/>
      <c r="CHR56"/>
      <c r="CHS56"/>
      <c r="CHT56"/>
      <c r="CHU56"/>
      <c r="CHV56"/>
      <c r="CHW56"/>
      <c r="CHX56"/>
      <c r="CHY56"/>
      <c r="CHZ56"/>
      <c r="CIA56"/>
      <c r="CIB56"/>
      <c r="CIC56"/>
      <c r="CID56"/>
      <c r="CIE56"/>
      <c r="CIF56"/>
      <c r="CIG56"/>
      <c r="CIH56"/>
      <c r="CII56"/>
      <c r="CIJ56"/>
      <c r="CIK56"/>
      <c r="CIL56"/>
      <c r="CIM56"/>
      <c r="CIN56"/>
      <c r="CIO56"/>
      <c r="CIP56"/>
      <c r="CIQ56"/>
      <c r="CIR56"/>
      <c r="CIS56"/>
      <c r="CIT56"/>
      <c r="CIU56"/>
      <c r="CIV56"/>
      <c r="CIW56"/>
      <c r="CIX56"/>
      <c r="CIY56"/>
      <c r="CIZ56"/>
      <c r="CJA56"/>
      <c r="CJB56"/>
      <c r="CJC56"/>
      <c r="CJD56"/>
      <c r="CJE56"/>
      <c r="CJF56"/>
      <c r="CJG56"/>
      <c r="CJH56"/>
      <c r="CJI56"/>
      <c r="CJJ56"/>
      <c r="CJK56"/>
      <c r="CJL56"/>
      <c r="CJM56"/>
      <c r="CJN56"/>
      <c r="CJO56"/>
      <c r="CJP56"/>
      <c r="CJQ56"/>
      <c r="CJR56"/>
      <c r="CJS56"/>
      <c r="CJT56"/>
      <c r="CJU56"/>
      <c r="CJV56"/>
      <c r="CJW56"/>
      <c r="CJX56"/>
      <c r="CJY56"/>
      <c r="CJZ56"/>
      <c r="CKA56"/>
      <c r="CKB56"/>
      <c r="CKC56"/>
      <c r="CKD56"/>
      <c r="CKE56"/>
      <c r="CKF56"/>
      <c r="CKG56"/>
      <c r="CKH56"/>
      <c r="CKI56"/>
      <c r="CKJ56"/>
      <c r="CKK56"/>
      <c r="CKL56"/>
      <c r="CKM56"/>
      <c r="CKN56"/>
      <c r="CKO56"/>
      <c r="CKP56"/>
      <c r="CKQ56"/>
      <c r="CKR56"/>
      <c r="CKS56"/>
      <c r="CKT56"/>
      <c r="CKU56"/>
      <c r="CKV56"/>
      <c r="CKW56"/>
      <c r="CKX56"/>
      <c r="CKY56"/>
      <c r="CKZ56"/>
      <c r="CLA56"/>
      <c r="CLB56"/>
      <c r="CLC56"/>
      <c r="CLD56"/>
      <c r="CLE56"/>
      <c r="CLF56"/>
      <c r="CLG56"/>
      <c r="CLH56"/>
      <c r="CLI56"/>
      <c r="CLJ56"/>
      <c r="CLK56"/>
      <c r="CLL56"/>
      <c r="CLM56"/>
      <c r="CLN56"/>
      <c r="CLO56"/>
      <c r="CLP56"/>
      <c r="CLQ56"/>
      <c r="CLR56"/>
      <c r="CLS56"/>
      <c r="CLT56"/>
      <c r="CLU56"/>
      <c r="CLV56"/>
      <c r="CLW56"/>
      <c r="CLX56"/>
      <c r="CLY56"/>
      <c r="CLZ56"/>
      <c r="CMA56"/>
      <c r="CMB56"/>
      <c r="CMC56"/>
      <c r="CMD56"/>
      <c r="CME56"/>
      <c r="CMF56"/>
      <c r="CMG56"/>
      <c r="CMH56"/>
      <c r="CMI56"/>
      <c r="CMJ56"/>
      <c r="CMK56"/>
      <c r="CML56"/>
      <c r="CMM56"/>
      <c r="CMN56"/>
      <c r="CMO56"/>
      <c r="CMP56"/>
      <c r="CMQ56"/>
      <c r="CMR56"/>
      <c r="CMS56"/>
      <c r="CMT56"/>
      <c r="CMU56"/>
      <c r="CMV56"/>
      <c r="CMW56"/>
      <c r="CMX56"/>
      <c r="CMY56"/>
      <c r="CMZ56"/>
      <c r="CNA56"/>
      <c r="CNB56"/>
      <c r="CNC56"/>
      <c r="CND56"/>
      <c r="CNE56"/>
      <c r="CNF56"/>
      <c r="CNG56"/>
      <c r="CNH56"/>
      <c r="CNI56"/>
      <c r="CNJ56"/>
      <c r="CNK56"/>
      <c r="CNL56"/>
      <c r="CNM56"/>
      <c r="CNN56"/>
      <c r="CNO56"/>
      <c r="CNP56"/>
      <c r="CNQ56"/>
      <c r="CNR56"/>
      <c r="CNS56"/>
      <c r="CNT56"/>
      <c r="CNU56"/>
      <c r="CNV56"/>
      <c r="CNW56"/>
      <c r="CNX56"/>
      <c r="CNY56"/>
      <c r="CNZ56"/>
      <c r="COA56"/>
      <c r="COB56"/>
      <c r="COC56"/>
      <c r="COD56"/>
      <c r="COE56"/>
      <c r="COF56"/>
      <c r="COG56"/>
      <c r="COH56"/>
      <c r="COI56"/>
      <c r="COJ56"/>
      <c r="COK56"/>
      <c r="COL56"/>
      <c r="COM56"/>
      <c r="CON56"/>
      <c r="COO56"/>
      <c r="COP56"/>
      <c r="COQ56"/>
      <c r="COR56"/>
      <c r="COS56"/>
      <c r="COT56"/>
      <c r="COU56"/>
      <c r="COV56"/>
      <c r="COW56"/>
      <c r="COX56"/>
      <c r="COY56"/>
      <c r="COZ56"/>
      <c r="CPA56"/>
      <c r="CPB56"/>
      <c r="CPC56"/>
      <c r="CPD56"/>
      <c r="CPE56"/>
      <c r="CPF56"/>
      <c r="CPG56"/>
      <c r="CPH56"/>
      <c r="CPI56"/>
      <c r="CPJ56"/>
      <c r="CPK56"/>
      <c r="CPL56"/>
      <c r="CPM56"/>
      <c r="CPN56"/>
      <c r="CPO56"/>
      <c r="CPP56"/>
      <c r="CPQ56"/>
      <c r="CPR56"/>
      <c r="CPS56"/>
      <c r="CPT56"/>
      <c r="CPU56"/>
      <c r="CPV56"/>
      <c r="CPW56"/>
      <c r="CPX56"/>
      <c r="CPY56"/>
      <c r="CPZ56"/>
      <c r="CQA56"/>
      <c r="CQB56"/>
      <c r="CQC56"/>
      <c r="CQD56"/>
      <c r="CQE56"/>
      <c r="CQF56"/>
      <c r="CQG56"/>
      <c r="CQH56"/>
      <c r="CQI56"/>
      <c r="CQJ56"/>
      <c r="CQK56"/>
      <c r="CQL56"/>
      <c r="CQM56"/>
      <c r="CQN56"/>
      <c r="CQO56"/>
      <c r="CQP56"/>
      <c r="CQQ56"/>
      <c r="CQR56"/>
      <c r="CQS56"/>
      <c r="CQT56"/>
      <c r="CQU56"/>
      <c r="CQV56"/>
      <c r="CQW56"/>
      <c r="CQX56"/>
      <c r="CQY56"/>
      <c r="CQZ56"/>
      <c r="CRA56"/>
      <c r="CRB56"/>
      <c r="CRC56"/>
      <c r="CRD56"/>
      <c r="CRE56"/>
      <c r="CRF56"/>
      <c r="CRG56"/>
      <c r="CRH56"/>
      <c r="CRI56"/>
      <c r="CRJ56"/>
      <c r="CRK56"/>
      <c r="CRL56"/>
      <c r="CRM56"/>
      <c r="CRN56"/>
      <c r="CRO56"/>
      <c r="CRP56"/>
      <c r="CRQ56"/>
      <c r="CRR56"/>
      <c r="CRS56"/>
      <c r="CRT56"/>
      <c r="CRU56"/>
      <c r="CRV56"/>
      <c r="CRW56"/>
      <c r="CRX56"/>
      <c r="CRY56"/>
      <c r="CRZ56"/>
      <c r="CSA56"/>
      <c r="CSB56"/>
      <c r="CSC56"/>
      <c r="CSD56"/>
      <c r="CSE56"/>
      <c r="CSF56"/>
      <c r="CSG56"/>
      <c r="CSH56"/>
      <c r="CSI56"/>
      <c r="CSJ56"/>
      <c r="CSK56"/>
      <c r="CSL56"/>
      <c r="CSM56"/>
      <c r="CSN56"/>
      <c r="CSO56"/>
      <c r="CSP56"/>
      <c r="CSQ56"/>
      <c r="CSR56"/>
      <c r="CSS56"/>
      <c r="CST56"/>
      <c r="CSU56"/>
      <c r="CSV56"/>
      <c r="CSW56"/>
      <c r="CSX56"/>
      <c r="CSY56"/>
      <c r="CSZ56"/>
      <c r="CTA56"/>
      <c r="CTB56"/>
      <c r="CTC56"/>
      <c r="CTD56"/>
      <c r="CTE56"/>
      <c r="CTF56"/>
      <c r="CTG56"/>
      <c r="CTH56"/>
      <c r="CTI56"/>
      <c r="CTJ56"/>
      <c r="CTK56"/>
      <c r="CTL56"/>
      <c r="CTM56"/>
      <c r="CTN56"/>
      <c r="CTO56"/>
      <c r="CTP56"/>
      <c r="CTQ56"/>
      <c r="CTR56"/>
      <c r="CTS56"/>
      <c r="CTT56"/>
      <c r="CTU56"/>
      <c r="CTV56"/>
      <c r="CTW56"/>
      <c r="CTX56"/>
      <c r="CTY56"/>
      <c r="CTZ56"/>
      <c r="CUA56"/>
      <c r="CUB56"/>
      <c r="CUC56"/>
      <c r="CUD56"/>
      <c r="CUE56"/>
      <c r="CUF56"/>
      <c r="CUG56"/>
      <c r="CUH56"/>
      <c r="CUI56"/>
      <c r="CUJ56"/>
      <c r="CUK56"/>
      <c r="CUL56"/>
      <c r="CUM56"/>
      <c r="CUN56"/>
      <c r="CUO56"/>
      <c r="CUP56"/>
      <c r="CUQ56"/>
      <c r="CUR56"/>
      <c r="CUS56"/>
      <c r="CUT56"/>
      <c r="CUU56"/>
      <c r="CUV56"/>
      <c r="CUW56"/>
      <c r="CUX56"/>
      <c r="CUY56"/>
      <c r="CUZ56"/>
      <c r="CVA56"/>
      <c r="CVB56"/>
      <c r="CVC56"/>
      <c r="CVD56"/>
      <c r="CVE56"/>
      <c r="CVF56"/>
      <c r="CVG56"/>
      <c r="CVH56"/>
      <c r="CVI56"/>
      <c r="CVJ56"/>
      <c r="CVK56"/>
      <c r="CVL56"/>
      <c r="CVM56"/>
      <c r="CVN56"/>
      <c r="CVO56"/>
      <c r="CVP56"/>
      <c r="CVQ56"/>
      <c r="CVR56"/>
      <c r="CVS56"/>
      <c r="CVT56"/>
      <c r="CVU56"/>
      <c r="CVV56"/>
      <c r="CVW56"/>
      <c r="CVX56"/>
      <c r="CVY56"/>
      <c r="CVZ56"/>
      <c r="CWA56"/>
      <c r="CWB56"/>
      <c r="CWC56"/>
      <c r="CWD56"/>
      <c r="CWE56"/>
      <c r="CWF56"/>
      <c r="CWG56"/>
      <c r="CWH56"/>
      <c r="CWI56"/>
      <c r="CWJ56"/>
      <c r="CWK56"/>
      <c r="CWL56"/>
      <c r="CWM56"/>
      <c r="CWN56"/>
      <c r="CWO56"/>
      <c r="CWP56"/>
      <c r="CWQ56"/>
      <c r="CWR56"/>
      <c r="CWS56"/>
      <c r="CWT56"/>
      <c r="CWU56"/>
      <c r="CWV56"/>
      <c r="CWW56"/>
      <c r="CWX56"/>
      <c r="CWY56"/>
      <c r="CWZ56"/>
      <c r="CXA56"/>
      <c r="CXB56"/>
      <c r="CXC56"/>
      <c r="CXD56"/>
      <c r="CXE56"/>
      <c r="CXF56"/>
      <c r="CXG56"/>
      <c r="CXH56"/>
      <c r="CXI56"/>
      <c r="CXJ56"/>
      <c r="CXK56"/>
      <c r="CXL56"/>
      <c r="CXM56"/>
      <c r="CXN56"/>
      <c r="CXO56"/>
      <c r="CXP56"/>
      <c r="CXQ56"/>
      <c r="CXR56"/>
      <c r="CXS56"/>
      <c r="CXT56"/>
      <c r="CXU56"/>
      <c r="CXV56"/>
      <c r="CXW56"/>
      <c r="CXX56"/>
      <c r="CXY56"/>
      <c r="CXZ56"/>
      <c r="CYA56"/>
      <c r="CYB56"/>
      <c r="CYC56"/>
      <c r="CYD56"/>
      <c r="CYE56"/>
      <c r="CYF56"/>
      <c r="CYG56"/>
      <c r="CYH56"/>
      <c r="CYI56"/>
      <c r="CYJ56"/>
      <c r="CYK56"/>
      <c r="CYL56"/>
      <c r="CYM56"/>
      <c r="CYN56"/>
      <c r="CYO56"/>
      <c r="CYP56"/>
      <c r="CYQ56"/>
      <c r="CYR56"/>
      <c r="CYS56"/>
      <c r="CYT56"/>
      <c r="CYU56"/>
      <c r="CYV56"/>
      <c r="CYW56"/>
      <c r="CYX56"/>
      <c r="CYY56"/>
      <c r="CYZ56"/>
      <c r="CZA56"/>
      <c r="CZB56"/>
      <c r="CZC56"/>
      <c r="CZD56"/>
      <c r="CZE56"/>
      <c r="CZF56"/>
      <c r="CZG56"/>
      <c r="CZH56"/>
      <c r="CZI56"/>
      <c r="CZJ56"/>
      <c r="CZK56"/>
      <c r="CZL56"/>
      <c r="CZM56"/>
      <c r="CZN56"/>
      <c r="CZO56"/>
      <c r="CZP56"/>
      <c r="CZQ56"/>
      <c r="CZR56"/>
      <c r="CZS56"/>
      <c r="CZT56"/>
      <c r="CZU56"/>
      <c r="CZV56"/>
      <c r="CZW56"/>
      <c r="CZX56"/>
      <c r="CZY56"/>
      <c r="CZZ56"/>
      <c r="DAA56"/>
      <c r="DAB56"/>
      <c r="DAC56"/>
      <c r="DAD56"/>
      <c r="DAE56"/>
      <c r="DAF56"/>
      <c r="DAG56"/>
      <c r="DAH56"/>
      <c r="DAI56"/>
      <c r="DAJ56"/>
      <c r="DAK56"/>
      <c r="DAL56"/>
      <c r="DAM56"/>
      <c r="DAN56"/>
      <c r="DAO56"/>
      <c r="DAP56"/>
      <c r="DAQ56"/>
      <c r="DAR56"/>
      <c r="DAS56"/>
      <c r="DAT56"/>
      <c r="DAU56"/>
      <c r="DAV56"/>
      <c r="DAW56"/>
      <c r="DAX56"/>
      <c r="DAY56"/>
      <c r="DAZ56"/>
      <c r="DBA56"/>
      <c r="DBB56"/>
      <c r="DBC56"/>
      <c r="DBD56"/>
      <c r="DBE56"/>
      <c r="DBF56"/>
      <c r="DBG56"/>
      <c r="DBH56"/>
      <c r="DBI56"/>
      <c r="DBJ56"/>
      <c r="DBK56"/>
      <c r="DBL56"/>
      <c r="DBM56"/>
      <c r="DBN56"/>
      <c r="DBO56"/>
      <c r="DBP56"/>
      <c r="DBQ56"/>
      <c r="DBR56"/>
      <c r="DBS56"/>
      <c r="DBT56"/>
      <c r="DBU56"/>
      <c r="DBV56"/>
      <c r="DBW56"/>
      <c r="DBX56"/>
      <c r="DBY56"/>
      <c r="DBZ56"/>
      <c r="DCA56"/>
      <c r="DCB56"/>
      <c r="DCC56"/>
      <c r="DCD56"/>
      <c r="DCE56"/>
      <c r="DCF56"/>
      <c r="DCG56"/>
      <c r="DCH56"/>
      <c r="DCI56"/>
      <c r="DCJ56"/>
      <c r="DCK56"/>
      <c r="DCL56"/>
      <c r="DCM56"/>
      <c r="DCN56"/>
      <c r="DCO56"/>
      <c r="DCP56"/>
      <c r="DCQ56"/>
      <c r="DCR56"/>
      <c r="DCS56"/>
      <c r="DCT56"/>
      <c r="DCU56"/>
      <c r="DCV56"/>
      <c r="DCW56"/>
      <c r="DCX56"/>
      <c r="DCY56"/>
      <c r="DCZ56"/>
      <c r="DDA56"/>
      <c r="DDB56"/>
      <c r="DDC56"/>
      <c r="DDD56"/>
      <c r="DDE56"/>
      <c r="DDF56"/>
      <c r="DDG56"/>
      <c r="DDH56"/>
      <c r="DDI56"/>
      <c r="DDJ56"/>
      <c r="DDK56"/>
      <c r="DDL56"/>
      <c r="DDM56"/>
      <c r="DDN56"/>
      <c r="DDO56"/>
      <c r="DDP56"/>
      <c r="DDQ56"/>
      <c r="DDR56"/>
      <c r="DDS56"/>
      <c r="DDT56"/>
      <c r="DDU56"/>
      <c r="DDV56"/>
      <c r="DDW56"/>
      <c r="DDX56"/>
      <c r="DDY56"/>
      <c r="DDZ56"/>
      <c r="DEA56"/>
      <c r="DEB56"/>
      <c r="DEC56"/>
      <c r="DED56"/>
      <c r="DEE56"/>
      <c r="DEF56"/>
      <c r="DEG56"/>
      <c r="DEH56"/>
      <c r="DEI56"/>
      <c r="DEJ56"/>
      <c r="DEK56"/>
      <c r="DEL56"/>
      <c r="DEM56"/>
      <c r="DEN56"/>
      <c r="DEO56"/>
      <c r="DEP56"/>
      <c r="DEQ56"/>
      <c r="DER56"/>
      <c r="DES56"/>
      <c r="DET56"/>
      <c r="DEU56"/>
      <c r="DEV56"/>
      <c r="DEW56"/>
      <c r="DEX56"/>
      <c r="DEY56"/>
      <c r="DEZ56"/>
      <c r="DFA56"/>
      <c r="DFB56"/>
      <c r="DFC56"/>
      <c r="DFD56"/>
      <c r="DFE56"/>
      <c r="DFF56"/>
      <c r="DFG56"/>
      <c r="DFH56"/>
      <c r="DFI56"/>
      <c r="DFJ56"/>
      <c r="DFK56"/>
      <c r="DFL56"/>
      <c r="DFM56"/>
      <c r="DFN56"/>
      <c r="DFO56"/>
      <c r="DFP56"/>
      <c r="DFQ56"/>
      <c r="DFR56"/>
      <c r="DFS56"/>
      <c r="DFT56"/>
      <c r="DFU56"/>
      <c r="DFV56"/>
      <c r="DFW56"/>
      <c r="DFX56"/>
      <c r="DFY56"/>
      <c r="DFZ56"/>
      <c r="DGA56"/>
      <c r="DGB56"/>
      <c r="DGC56"/>
      <c r="DGD56"/>
      <c r="DGE56"/>
      <c r="DGF56"/>
      <c r="DGG56"/>
      <c r="DGH56"/>
      <c r="DGI56"/>
      <c r="DGJ56"/>
      <c r="DGK56"/>
      <c r="DGL56"/>
      <c r="DGM56"/>
      <c r="DGN56"/>
      <c r="DGO56"/>
      <c r="DGP56"/>
      <c r="DGQ56"/>
      <c r="DGR56"/>
      <c r="DGS56"/>
      <c r="DGT56"/>
      <c r="DGU56"/>
      <c r="DGV56"/>
      <c r="DGW56"/>
      <c r="DGX56"/>
      <c r="DGY56"/>
      <c r="DGZ56"/>
      <c r="DHA56"/>
      <c r="DHB56"/>
      <c r="DHC56"/>
      <c r="DHD56"/>
      <c r="DHE56"/>
      <c r="DHF56"/>
      <c r="DHG56"/>
      <c r="DHH56"/>
      <c r="DHI56"/>
      <c r="DHJ56"/>
      <c r="DHK56"/>
      <c r="DHL56"/>
      <c r="DHM56"/>
      <c r="DHN56"/>
      <c r="DHO56"/>
      <c r="DHP56"/>
      <c r="DHQ56"/>
      <c r="DHR56"/>
      <c r="DHS56"/>
      <c r="DHT56"/>
      <c r="DHU56"/>
      <c r="DHV56"/>
      <c r="DHW56"/>
      <c r="DHX56"/>
      <c r="DHY56"/>
      <c r="DHZ56"/>
      <c r="DIA56"/>
      <c r="DIB56"/>
      <c r="DIC56"/>
      <c r="DID56"/>
      <c r="DIE56"/>
      <c r="DIF56"/>
      <c r="DIG56"/>
      <c r="DIH56"/>
      <c r="DII56"/>
      <c r="DIJ56"/>
      <c r="DIK56"/>
      <c r="DIL56"/>
      <c r="DIM56"/>
      <c r="DIN56"/>
      <c r="DIO56"/>
      <c r="DIP56"/>
      <c r="DIQ56"/>
      <c r="DIR56"/>
      <c r="DIS56"/>
      <c r="DIT56"/>
      <c r="DIU56"/>
      <c r="DIV56"/>
      <c r="DIW56"/>
      <c r="DIX56"/>
      <c r="DIY56"/>
      <c r="DIZ56"/>
      <c r="DJA56"/>
      <c r="DJB56"/>
      <c r="DJC56"/>
      <c r="DJD56"/>
      <c r="DJE56"/>
      <c r="DJF56"/>
      <c r="DJG56"/>
      <c r="DJH56"/>
      <c r="DJI56"/>
      <c r="DJJ56"/>
      <c r="DJK56"/>
      <c r="DJL56"/>
      <c r="DJM56"/>
      <c r="DJN56"/>
      <c r="DJO56"/>
      <c r="DJP56"/>
      <c r="DJQ56"/>
      <c r="DJR56"/>
      <c r="DJS56"/>
      <c r="DJT56"/>
      <c r="DJU56"/>
      <c r="DJV56"/>
      <c r="DJW56"/>
      <c r="DJX56"/>
      <c r="DJY56"/>
      <c r="DJZ56"/>
      <c r="DKA56"/>
      <c r="DKB56"/>
      <c r="DKC56"/>
      <c r="DKD56"/>
      <c r="DKE56"/>
      <c r="DKF56"/>
      <c r="DKG56"/>
      <c r="DKH56"/>
      <c r="DKI56"/>
      <c r="DKJ56"/>
      <c r="DKK56"/>
      <c r="DKL56"/>
      <c r="DKM56"/>
      <c r="DKN56"/>
      <c r="DKO56"/>
      <c r="DKP56"/>
      <c r="DKQ56"/>
      <c r="DKR56"/>
      <c r="DKS56"/>
      <c r="DKT56"/>
      <c r="DKU56"/>
      <c r="DKV56"/>
      <c r="DKW56"/>
      <c r="DKX56"/>
      <c r="DKY56"/>
      <c r="DKZ56"/>
      <c r="DLA56"/>
      <c r="DLB56"/>
      <c r="DLC56"/>
      <c r="DLD56"/>
      <c r="DLE56"/>
      <c r="DLF56"/>
      <c r="DLG56"/>
      <c r="DLH56"/>
      <c r="DLI56"/>
      <c r="DLJ56"/>
      <c r="DLK56"/>
      <c r="DLL56"/>
      <c r="DLM56"/>
      <c r="DLN56"/>
      <c r="DLO56"/>
      <c r="DLP56"/>
      <c r="DLQ56"/>
      <c r="DLR56"/>
      <c r="DLS56"/>
      <c r="DLT56"/>
      <c r="DLU56"/>
      <c r="DLV56"/>
      <c r="DLW56"/>
      <c r="DLX56"/>
      <c r="DLY56"/>
      <c r="DLZ56"/>
      <c r="DMA56"/>
      <c r="DMB56"/>
      <c r="DMC56"/>
      <c r="DMD56"/>
      <c r="DME56"/>
      <c r="DMF56"/>
      <c r="DMG56"/>
      <c r="DMH56"/>
      <c r="DMI56"/>
      <c r="DMJ56"/>
      <c r="DMK56"/>
      <c r="DML56"/>
      <c r="DMM56"/>
      <c r="DMN56"/>
      <c r="DMO56"/>
      <c r="DMP56"/>
      <c r="DMQ56"/>
      <c r="DMR56"/>
      <c r="DMS56"/>
      <c r="DMT56"/>
      <c r="DMU56"/>
      <c r="DMV56"/>
      <c r="DMW56"/>
      <c r="DMX56"/>
      <c r="DMY56"/>
      <c r="DMZ56"/>
      <c r="DNA56"/>
      <c r="DNB56"/>
      <c r="DNC56"/>
      <c r="DND56"/>
      <c r="DNE56"/>
      <c r="DNF56"/>
      <c r="DNG56"/>
      <c r="DNH56"/>
      <c r="DNI56"/>
      <c r="DNJ56"/>
      <c r="DNK56"/>
      <c r="DNL56"/>
      <c r="DNM56"/>
      <c r="DNN56"/>
      <c r="DNO56"/>
      <c r="DNP56"/>
      <c r="DNQ56"/>
      <c r="DNR56"/>
      <c r="DNS56"/>
      <c r="DNT56"/>
      <c r="DNU56"/>
      <c r="DNV56"/>
      <c r="DNW56"/>
      <c r="DNX56"/>
      <c r="DNY56"/>
      <c r="DNZ56"/>
      <c r="DOA56"/>
      <c r="DOB56"/>
      <c r="DOC56"/>
      <c r="DOD56"/>
      <c r="DOE56"/>
      <c r="DOF56"/>
      <c r="DOG56"/>
      <c r="DOH56"/>
      <c r="DOI56"/>
      <c r="DOJ56"/>
      <c r="DOK56"/>
      <c r="DOL56"/>
      <c r="DOM56"/>
      <c r="DON56"/>
      <c r="DOO56"/>
      <c r="DOP56"/>
      <c r="DOQ56"/>
      <c r="DOR56"/>
      <c r="DOS56"/>
      <c r="DOT56"/>
      <c r="DOU56"/>
      <c r="DOV56"/>
      <c r="DOW56"/>
      <c r="DOX56"/>
      <c r="DOY56"/>
      <c r="DOZ56"/>
      <c r="DPA56"/>
      <c r="DPB56"/>
      <c r="DPC56"/>
      <c r="DPD56"/>
      <c r="DPE56"/>
      <c r="DPF56"/>
      <c r="DPG56"/>
      <c r="DPH56"/>
      <c r="DPI56"/>
      <c r="DPJ56"/>
      <c r="DPK56"/>
      <c r="DPL56"/>
      <c r="DPM56"/>
      <c r="DPN56"/>
      <c r="DPO56"/>
      <c r="DPP56"/>
      <c r="DPQ56"/>
      <c r="DPR56"/>
      <c r="DPS56"/>
      <c r="DPT56"/>
      <c r="DPU56"/>
      <c r="DPV56"/>
      <c r="DPW56"/>
      <c r="DPX56"/>
      <c r="DPY56"/>
      <c r="DPZ56"/>
      <c r="DQA56"/>
      <c r="DQB56"/>
      <c r="DQC56"/>
      <c r="DQD56"/>
      <c r="DQE56"/>
      <c r="DQF56"/>
      <c r="DQG56"/>
      <c r="DQH56"/>
      <c r="DQI56"/>
      <c r="DQJ56"/>
      <c r="DQK56"/>
      <c r="DQL56"/>
      <c r="DQM56"/>
      <c r="DQN56"/>
      <c r="DQO56"/>
      <c r="DQP56"/>
      <c r="DQQ56"/>
      <c r="DQR56"/>
      <c r="DQS56"/>
      <c r="DQT56"/>
      <c r="DQU56"/>
      <c r="DQV56"/>
      <c r="DQW56"/>
      <c r="DQX56"/>
      <c r="DQY56"/>
      <c r="DQZ56"/>
      <c r="DRA56"/>
      <c r="DRB56"/>
      <c r="DRC56"/>
      <c r="DRD56"/>
      <c r="DRE56"/>
      <c r="DRF56"/>
      <c r="DRG56"/>
      <c r="DRH56"/>
      <c r="DRI56"/>
      <c r="DRJ56"/>
      <c r="DRK56"/>
      <c r="DRL56"/>
      <c r="DRM56"/>
      <c r="DRN56"/>
      <c r="DRO56"/>
      <c r="DRP56"/>
      <c r="DRQ56"/>
      <c r="DRR56"/>
      <c r="DRS56"/>
      <c r="DRT56"/>
      <c r="DRU56"/>
      <c r="DRV56"/>
      <c r="DRW56"/>
      <c r="DRX56"/>
      <c r="DRY56"/>
      <c r="DRZ56"/>
      <c r="DSA56"/>
      <c r="DSB56"/>
      <c r="DSC56"/>
      <c r="DSD56"/>
      <c r="DSE56"/>
      <c r="DSF56"/>
      <c r="DSG56"/>
      <c r="DSH56"/>
      <c r="DSI56"/>
      <c r="DSJ56"/>
      <c r="DSK56"/>
      <c r="DSL56"/>
      <c r="DSM56"/>
      <c r="DSN56"/>
      <c r="DSO56"/>
      <c r="DSP56"/>
      <c r="DSQ56"/>
      <c r="DSR56"/>
      <c r="DSS56"/>
      <c r="DST56"/>
      <c r="DSU56"/>
      <c r="DSV56"/>
      <c r="DSW56"/>
      <c r="DSX56"/>
      <c r="DSY56"/>
      <c r="DSZ56"/>
      <c r="DTA56"/>
      <c r="DTB56"/>
      <c r="DTC56"/>
      <c r="DTD56"/>
      <c r="DTE56"/>
      <c r="DTF56"/>
      <c r="DTG56"/>
      <c r="DTH56"/>
      <c r="DTI56"/>
      <c r="DTJ56"/>
      <c r="DTK56"/>
      <c r="DTL56"/>
      <c r="DTM56"/>
      <c r="DTN56"/>
      <c r="DTO56"/>
      <c r="DTP56"/>
      <c r="DTQ56"/>
      <c r="DTR56"/>
      <c r="DTS56"/>
      <c r="DTT56"/>
      <c r="DTU56"/>
      <c r="DTV56"/>
      <c r="DTW56"/>
      <c r="DTX56"/>
      <c r="DTY56"/>
      <c r="DTZ56"/>
      <c r="DUA56"/>
      <c r="DUB56"/>
      <c r="DUC56"/>
      <c r="DUD56"/>
      <c r="DUE56"/>
      <c r="DUF56"/>
      <c r="DUG56"/>
      <c r="DUH56"/>
      <c r="DUI56"/>
      <c r="DUJ56"/>
      <c r="DUK56"/>
      <c r="DUL56"/>
      <c r="DUM56"/>
      <c r="DUN56"/>
      <c r="DUO56"/>
      <c r="DUP56"/>
      <c r="DUQ56"/>
      <c r="DUR56"/>
      <c r="DUS56"/>
      <c r="DUT56"/>
      <c r="DUU56"/>
      <c r="DUV56"/>
      <c r="DUW56"/>
      <c r="DUX56"/>
      <c r="DUY56"/>
      <c r="DUZ56"/>
      <c r="DVA56"/>
      <c r="DVB56"/>
      <c r="DVC56"/>
      <c r="DVD56"/>
      <c r="DVE56"/>
      <c r="DVF56"/>
      <c r="DVG56"/>
      <c r="DVH56"/>
      <c r="DVI56"/>
      <c r="DVJ56"/>
      <c r="DVK56"/>
      <c r="DVL56"/>
      <c r="DVM56"/>
      <c r="DVN56"/>
      <c r="DVO56"/>
      <c r="DVP56"/>
      <c r="DVQ56"/>
      <c r="DVR56"/>
      <c r="DVS56"/>
      <c r="DVT56"/>
      <c r="DVU56"/>
      <c r="DVV56"/>
      <c r="DVW56"/>
      <c r="DVX56"/>
      <c r="DVY56"/>
      <c r="DVZ56"/>
      <c r="DWA56"/>
      <c r="DWB56"/>
      <c r="DWC56"/>
      <c r="DWD56"/>
      <c r="DWE56"/>
      <c r="DWF56"/>
      <c r="DWG56"/>
      <c r="DWH56"/>
      <c r="DWI56"/>
      <c r="DWJ56"/>
      <c r="DWK56"/>
      <c r="DWL56"/>
      <c r="DWM56"/>
      <c r="DWN56"/>
      <c r="DWO56"/>
      <c r="DWP56"/>
      <c r="DWQ56"/>
      <c r="DWR56"/>
      <c r="DWS56"/>
      <c r="DWT56"/>
      <c r="DWU56"/>
      <c r="DWV56"/>
      <c r="DWW56"/>
      <c r="DWX56"/>
      <c r="DWY56"/>
      <c r="DWZ56"/>
      <c r="DXA56"/>
      <c r="DXB56"/>
      <c r="DXC56"/>
      <c r="DXD56"/>
      <c r="DXE56"/>
      <c r="DXF56"/>
      <c r="DXG56"/>
      <c r="DXH56"/>
      <c r="DXI56"/>
      <c r="DXJ56"/>
      <c r="DXK56"/>
      <c r="DXL56"/>
      <c r="DXM56"/>
      <c r="DXN56"/>
      <c r="DXO56"/>
      <c r="DXP56"/>
      <c r="DXQ56"/>
      <c r="DXR56"/>
      <c r="DXS56"/>
      <c r="DXT56"/>
      <c r="DXU56"/>
      <c r="DXV56"/>
      <c r="DXW56"/>
      <c r="DXX56"/>
      <c r="DXY56"/>
      <c r="DXZ56"/>
      <c r="DYA56"/>
      <c r="DYB56"/>
      <c r="DYC56"/>
      <c r="DYD56"/>
      <c r="DYE56"/>
      <c r="DYF56"/>
      <c r="DYG56"/>
      <c r="DYH56"/>
      <c r="DYI56"/>
      <c r="DYJ56"/>
      <c r="DYK56"/>
      <c r="DYL56"/>
      <c r="DYM56"/>
      <c r="DYN56"/>
      <c r="DYO56"/>
      <c r="DYP56"/>
      <c r="DYQ56"/>
      <c r="DYR56"/>
      <c r="DYS56"/>
      <c r="DYT56"/>
      <c r="DYU56"/>
      <c r="DYV56"/>
      <c r="DYW56"/>
      <c r="DYX56"/>
      <c r="DYY56"/>
      <c r="DYZ56"/>
      <c r="DZA56"/>
      <c r="DZB56"/>
      <c r="DZC56"/>
      <c r="DZD56"/>
      <c r="DZE56"/>
      <c r="DZF56"/>
      <c r="DZG56"/>
      <c r="DZH56"/>
      <c r="DZI56"/>
      <c r="DZJ56"/>
      <c r="DZK56"/>
      <c r="DZL56"/>
      <c r="DZM56"/>
      <c r="DZN56"/>
      <c r="DZO56"/>
      <c r="DZP56"/>
      <c r="DZQ56"/>
      <c r="DZR56"/>
      <c r="DZS56"/>
      <c r="DZT56"/>
      <c r="DZU56"/>
      <c r="DZV56"/>
      <c r="DZW56"/>
      <c r="DZX56"/>
      <c r="DZY56"/>
      <c r="DZZ56"/>
      <c r="EAA56"/>
      <c r="EAB56"/>
      <c r="EAC56"/>
      <c r="EAD56"/>
      <c r="EAE56"/>
      <c r="EAF56"/>
      <c r="EAG56"/>
      <c r="EAH56"/>
      <c r="EAI56"/>
      <c r="EAJ56"/>
      <c r="EAK56"/>
      <c r="EAL56"/>
      <c r="EAM56"/>
      <c r="EAN56"/>
      <c r="EAO56"/>
      <c r="EAP56"/>
      <c r="EAQ56"/>
      <c r="EAR56"/>
      <c r="EAS56"/>
      <c r="EAT56"/>
      <c r="EAU56"/>
      <c r="EAV56"/>
      <c r="EAW56"/>
      <c r="EAX56"/>
      <c r="EAY56"/>
      <c r="EAZ56"/>
      <c r="EBA56"/>
      <c r="EBB56"/>
      <c r="EBC56"/>
      <c r="EBD56"/>
      <c r="EBE56"/>
      <c r="EBF56"/>
      <c r="EBG56"/>
      <c r="EBH56"/>
      <c r="EBI56"/>
      <c r="EBJ56"/>
      <c r="EBK56"/>
      <c r="EBL56"/>
      <c r="EBM56"/>
      <c r="EBN56"/>
      <c r="EBO56"/>
      <c r="EBP56"/>
      <c r="EBQ56"/>
      <c r="EBR56"/>
      <c r="EBS56"/>
      <c r="EBT56"/>
      <c r="EBU56"/>
      <c r="EBV56"/>
      <c r="EBW56"/>
      <c r="EBX56"/>
      <c r="EBY56"/>
      <c r="EBZ56"/>
      <c r="ECA56"/>
      <c r="ECB56"/>
      <c r="ECC56"/>
      <c r="ECD56"/>
      <c r="ECE56"/>
      <c r="ECF56"/>
      <c r="ECG56"/>
      <c r="ECH56"/>
      <c r="ECI56"/>
      <c r="ECJ56"/>
      <c r="ECK56"/>
      <c r="ECL56"/>
      <c r="ECM56"/>
      <c r="ECN56"/>
      <c r="ECO56"/>
      <c r="ECP56"/>
      <c r="ECQ56"/>
      <c r="ECR56"/>
      <c r="ECS56"/>
      <c r="ECT56"/>
      <c r="ECU56"/>
      <c r="ECV56"/>
      <c r="ECW56"/>
      <c r="ECX56"/>
      <c r="ECY56"/>
      <c r="ECZ56"/>
      <c r="EDA56"/>
      <c r="EDB56"/>
      <c r="EDC56"/>
      <c r="EDD56"/>
      <c r="EDE56"/>
      <c r="EDF56"/>
      <c r="EDG56"/>
      <c r="EDH56"/>
      <c r="EDI56"/>
      <c r="EDJ56"/>
      <c r="EDK56"/>
      <c r="EDL56"/>
      <c r="EDM56"/>
      <c r="EDN56"/>
      <c r="EDO56"/>
      <c r="EDP56"/>
      <c r="EDQ56"/>
      <c r="EDR56"/>
      <c r="EDS56"/>
      <c r="EDT56"/>
      <c r="EDU56"/>
      <c r="EDV56"/>
      <c r="EDW56"/>
      <c r="EDX56"/>
      <c r="EDY56"/>
      <c r="EDZ56"/>
      <c r="EEA56"/>
      <c r="EEB56"/>
      <c r="EEC56"/>
      <c r="EED56"/>
      <c r="EEE56"/>
      <c r="EEF56"/>
      <c r="EEG56"/>
      <c r="EEH56"/>
      <c r="EEI56"/>
      <c r="EEJ56"/>
      <c r="EEK56"/>
      <c r="EEL56"/>
      <c r="EEM56"/>
      <c r="EEN56"/>
      <c r="EEO56"/>
      <c r="EEP56"/>
      <c r="EEQ56"/>
      <c r="EER56"/>
      <c r="EES56"/>
      <c r="EET56"/>
      <c r="EEU56"/>
      <c r="EEV56"/>
      <c r="EEW56"/>
      <c r="EEX56"/>
      <c r="EEY56"/>
      <c r="EEZ56"/>
      <c r="EFA56"/>
      <c r="EFB56"/>
      <c r="EFC56"/>
      <c r="EFD56"/>
      <c r="EFE56"/>
      <c r="EFF56"/>
      <c r="EFG56"/>
      <c r="EFH56"/>
      <c r="EFI56"/>
      <c r="EFJ56"/>
      <c r="EFK56"/>
      <c r="EFL56"/>
      <c r="EFM56"/>
      <c r="EFN56"/>
      <c r="EFO56"/>
      <c r="EFP56"/>
      <c r="EFQ56"/>
      <c r="EFR56"/>
      <c r="EFS56"/>
      <c r="EFT56"/>
      <c r="EFU56"/>
      <c r="EFV56"/>
      <c r="EFW56"/>
      <c r="EFX56"/>
      <c r="EFY56"/>
      <c r="EFZ56"/>
      <c r="EGA56"/>
      <c r="EGB56"/>
      <c r="EGC56"/>
      <c r="EGD56"/>
      <c r="EGE56"/>
      <c r="EGF56"/>
      <c r="EGG56"/>
      <c r="EGH56"/>
      <c r="EGI56"/>
      <c r="EGJ56"/>
      <c r="EGK56"/>
      <c r="EGL56"/>
      <c r="EGM56"/>
      <c r="EGN56"/>
      <c r="EGO56"/>
      <c r="EGP56"/>
      <c r="EGQ56"/>
      <c r="EGR56"/>
      <c r="EGS56"/>
      <c r="EGT56"/>
      <c r="EGU56"/>
      <c r="EGV56"/>
      <c r="EGW56"/>
      <c r="EGX56"/>
      <c r="EGY56"/>
      <c r="EGZ56"/>
      <c r="EHA56"/>
      <c r="EHB56"/>
      <c r="EHC56"/>
      <c r="EHD56"/>
      <c r="EHE56"/>
      <c r="EHF56"/>
      <c r="EHG56"/>
      <c r="EHH56"/>
      <c r="EHI56"/>
      <c r="EHJ56"/>
      <c r="EHK56"/>
      <c r="EHL56"/>
      <c r="EHM56"/>
      <c r="EHN56"/>
      <c r="EHO56"/>
      <c r="EHP56"/>
      <c r="EHQ56"/>
      <c r="EHR56"/>
      <c r="EHS56"/>
      <c r="EHT56"/>
      <c r="EHU56"/>
      <c r="EHV56"/>
      <c r="EHW56"/>
      <c r="EHX56"/>
      <c r="EHY56"/>
      <c r="EHZ56"/>
      <c r="EIA56"/>
      <c r="EIB56"/>
      <c r="EIC56"/>
      <c r="EID56"/>
      <c r="EIE56"/>
      <c r="EIF56"/>
      <c r="EIG56"/>
      <c r="EIH56"/>
      <c r="EII56"/>
      <c r="EIJ56"/>
      <c r="EIK56"/>
      <c r="EIL56"/>
      <c r="EIM56"/>
      <c r="EIN56"/>
      <c r="EIO56"/>
      <c r="EIP56"/>
      <c r="EIQ56"/>
      <c r="EIR56"/>
      <c r="EIS56"/>
      <c r="EIT56"/>
      <c r="EIU56"/>
      <c r="EIV56"/>
      <c r="EIW56"/>
      <c r="EIX56"/>
      <c r="EIY56"/>
      <c r="EIZ56"/>
      <c r="EJA56"/>
      <c r="EJB56"/>
      <c r="EJC56"/>
      <c r="EJD56"/>
      <c r="EJE56"/>
      <c r="EJF56"/>
      <c r="EJG56"/>
      <c r="EJH56"/>
      <c r="EJI56"/>
      <c r="EJJ56"/>
      <c r="EJK56"/>
      <c r="EJL56"/>
      <c r="EJM56"/>
      <c r="EJN56"/>
      <c r="EJO56"/>
      <c r="EJP56"/>
      <c r="EJQ56"/>
      <c r="EJR56"/>
      <c r="EJS56"/>
      <c r="EJT56"/>
      <c r="EJU56"/>
      <c r="EJV56"/>
      <c r="EJW56"/>
      <c r="EJX56"/>
      <c r="EJY56"/>
      <c r="EJZ56"/>
      <c r="EKA56"/>
      <c r="EKB56"/>
      <c r="EKC56"/>
      <c r="EKD56"/>
      <c r="EKE56"/>
      <c r="EKF56"/>
      <c r="EKG56"/>
      <c r="EKH56"/>
      <c r="EKI56"/>
      <c r="EKJ56"/>
      <c r="EKK56"/>
      <c r="EKL56"/>
      <c r="EKM56"/>
      <c r="EKN56"/>
      <c r="EKO56"/>
      <c r="EKP56"/>
      <c r="EKQ56"/>
      <c r="EKR56"/>
      <c r="EKS56"/>
      <c r="EKT56"/>
      <c r="EKU56"/>
      <c r="EKV56"/>
      <c r="EKW56"/>
      <c r="EKX56"/>
      <c r="EKY56"/>
      <c r="EKZ56"/>
      <c r="ELA56"/>
      <c r="ELB56"/>
      <c r="ELC56"/>
      <c r="ELD56"/>
      <c r="ELE56"/>
      <c r="ELF56"/>
      <c r="ELG56"/>
      <c r="ELH56"/>
      <c r="ELI56"/>
      <c r="ELJ56"/>
      <c r="ELK56"/>
      <c r="ELL56"/>
      <c r="ELM56"/>
      <c r="ELN56"/>
      <c r="ELO56"/>
      <c r="ELP56"/>
      <c r="ELQ56"/>
      <c r="ELR56"/>
      <c r="ELS56"/>
      <c r="ELT56"/>
      <c r="ELU56"/>
      <c r="ELV56"/>
      <c r="ELW56"/>
      <c r="ELX56"/>
      <c r="ELY56"/>
      <c r="ELZ56"/>
      <c r="EMA56"/>
      <c r="EMB56"/>
      <c r="EMC56"/>
      <c r="EMD56"/>
      <c r="EME56"/>
      <c r="EMF56"/>
      <c r="EMG56"/>
      <c r="EMH56"/>
      <c r="EMI56"/>
      <c r="EMJ56"/>
      <c r="EMK56"/>
      <c r="EML56"/>
      <c r="EMM56"/>
      <c r="EMN56"/>
      <c r="EMO56"/>
      <c r="EMP56"/>
      <c r="EMQ56"/>
      <c r="EMR56"/>
      <c r="EMS56"/>
      <c r="EMT56"/>
      <c r="EMU56"/>
      <c r="EMV56"/>
      <c r="EMW56"/>
      <c r="EMX56"/>
      <c r="EMY56"/>
      <c r="EMZ56"/>
      <c r="ENA56"/>
      <c r="ENB56"/>
      <c r="ENC56"/>
      <c r="END56"/>
      <c r="ENE56"/>
      <c r="ENF56"/>
      <c r="ENG56"/>
      <c r="ENH56"/>
      <c r="ENI56"/>
      <c r="ENJ56"/>
      <c r="ENK56"/>
      <c r="ENL56"/>
      <c r="ENM56"/>
      <c r="ENN56"/>
      <c r="ENO56"/>
      <c r="ENP56"/>
      <c r="ENQ56"/>
      <c r="ENR56"/>
      <c r="ENS56"/>
      <c r="ENT56"/>
      <c r="ENU56"/>
      <c r="ENV56"/>
      <c r="ENW56"/>
      <c r="ENX56"/>
      <c r="ENY56"/>
      <c r="ENZ56"/>
      <c r="EOA56"/>
      <c r="EOB56"/>
      <c r="EOC56"/>
      <c r="EOD56"/>
      <c r="EOE56"/>
      <c r="EOF56"/>
      <c r="EOG56"/>
      <c r="EOH56"/>
      <c r="EOI56"/>
      <c r="EOJ56"/>
      <c r="EOK56"/>
      <c r="EOL56"/>
      <c r="EOM56"/>
      <c r="EON56"/>
      <c r="EOO56"/>
      <c r="EOP56"/>
      <c r="EOQ56"/>
      <c r="EOR56"/>
      <c r="EOS56"/>
      <c r="EOT56"/>
      <c r="EOU56"/>
      <c r="EOV56"/>
      <c r="EOW56"/>
      <c r="EOX56"/>
      <c r="EOY56"/>
      <c r="EOZ56"/>
      <c r="EPA56"/>
      <c r="EPB56"/>
      <c r="EPC56"/>
      <c r="EPD56"/>
      <c r="EPE56"/>
      <c r="EPF56"/>
      <c r="EPG56"/>
      <c r="EPH56"/>
      <c r="EPI56"/>
      <c r="EPJ56"/>
      <c r="EPK56"/>
      <c r="EPL56"/>
      <c r="EPM56"/>
      <c r="EPN56"/>
      <c r="EPO56"/>
      <c r="EPP56"/>
      <c r="EPQ56"/>
      <c r="EPR56"/>
      <c r="EPS56"/>
      <c r="EPT56"/>
      <c r="EPU56"/>
      <c r="EPV56"/>
      <c r="EPW56"/>
      <c r="EPX56"/>
      <c r="EPY56"/>
      <c r="EPZ56"/>
      <c r="EQA56"/>
      <c r="EQB56"/>
      <c r="EQC56"/>
      <c r="EQD56"/>
      <c r="EQE56"/>
      <c r="EQF56"/>
      <c r="EQG56"/>
      <c r="EQH56"/>
      <c r="EQI56"/>
      <c r="EQJ56"/>
      <c r="EQK56"/>
      <c r="EQL56"/>
      <c r="EQM56"/>
      <c r="EQN56"/>
      <c r="EQO56"/>
      <c r="EQP56"/>
      <c r="EQQ56"/>
      <c r="EQR56"/>
      <c r="EQS56"/>
      <c r="EQT56"/>
      <c r="EQU56"/>
      <c r="EQV56"/>
      <c r="EQW56"/>
      <c r="EQX56"/>
      <c r="EQY56"/>
      <c r="EQZ56"/>
      <c r="ERA56"/>
      <c r="ERB56"/>
      <c r="ERC56"/>
      <c r="ERD56"/>
      <c r="ERE56"/>
      <c r="ERF56"/>
      <c r="ERG56"/>
      <c r="ERH56"/>
      <c r="ERI56"/>
      <c r="ERJ56"/>
      <c r="ERK56"/>
      <c r="ERL56"/>
      <c r="ERM56"/>
      <c r="ERN56"/>
      <c r="ERO56"/>
      <c r="ERP56"/>
      <c r="ERQ56"/>
      <c r="ERR56"/>
      <c r="ERS56"/>
      <c r="ERT56"/>
      <c r="ERU56"/>
      <c r="ERV56"/>
      <c r="ERW56"/>
      <c r="ERX56"/>
      <c r="ERY56"/>
      <c r="ERZ56"/>
      <c r="ESA56"/>
      <c r="ESB56"/>
      <c r="ESC56"/>
      <c r="ESD56"/>
      <c r="ESE56"/>
      <c r="ESF56"/>
      <c r="ESG56"/>
      <c r="ESH56"/>
      <c r="ESI56"/>
      <c r="ESJ56"/>
      <c r="ESK56"/>
      <c r="ESL56"/>
      <c r="ESM56"/>
      <c r="ESN56"/>
      <c r="ESO56"/>
      <c r="ESP56"/>
      <c r="ESQ56"/>
      <c r="ESR56"/>
      <c r="ESS56"/>
      <c r="EST56"/>
      <c r="ESU56"/>
      <c r="ESV56"/>
      <c r="ESW56"/>
      <c r="ESX56"/>
      <c r="ESY56"/>
      <c r="ESZ56"/>
      <c r="ETA56"/>
      <c r="ETB56"/>
      <c r="ETC56"/>
      <c r="ETD56"/>
      <c r="ETE56"/>
      <c r="ETF56"/>
      <c r="ETG56"/>
      <c r="ETH56"/>
      <c r="ETI56"/>
      <c r="ETJ56"/>
      <c r="ETK56"/>
      <c r="ETL56"/>
      <c r="ETM56"/>
      <c r="ETN56"/>
      <c r="ETO56"/>
      <c r="ETP56"/>
      <c r="ETQ56"/>
      <c r="ETR56"/>
      <c r="ETS56"/>
      <c r="ETT56"/>
      <c r="ETU56"/>
      <c r="ETV56"/>
      <c r="ETW56"/>
      <c r="ETX56"/>
      <c r="ETY56"/>
      <c r="ETZ56"/>
      <c r="EUA56"/>
      <c r="EUB56"/>
      <c r="EUC56"/>
      <c r="EUD56"/>
      <c r="EUE56"/>
      <c r="EUF56"/>
      <c r="EUG56"/>
      <c r="EUH56"/>
      <c r="EUI56"/>
      <c r="EUJ56"/>
      <c r="EUK56"/>
      <c r="EUL56"/>
      <c r="EUM56"/>
      <c r="EUN56"/>
      <c r="EUO56"/>
      <c r="EUP56"/>
      <c r="EUQ56"/>
      <c r="EUR56"/>
      <c r="EUS56"/>
      <c r="EUT56"/>
      <c r="EUU56"/>
      <c r="EUV56"/>
      <c r="EUW56"/>
      <c r="EUX56"/>
      <c r="EUY56"/>
      <c r="EUZ56"/>
      <c r="EVA56"/>
      <c r="EVB56"/>
      <c r="EVC56"/>
      <c r="EVD56"/>
      <c r="EVE56"/>
      <c r="EVF56"/>
      <c r="EVG56"/>
      <c r="EVH56"/>
      <c r="EVI56"/>
      <c r="EVJ56"/>
      <c r="EVK56"/>
      <c r="EVL56"/>
      <c r="EVM56"/>
      <c r="EVN56"/>
      <c r="EVO56"/>
      <c r="EVP56"/>
      <c r="EVQ56"/>
      <c r="EVR56"/>
      <c r="EVS56"/>
      <c r="EVT56"/>
      <c r="EVU56"/>
      <c r="EVV56"/>
      <c r="EVW56"/>
      <c r="EVX56"/>
      <c r="EVY56"/>
      <c r="EVZ56"/>
      <c r="EWA56"/>
      <c r="EWB56"/>
      <c r="EWC56"/>
      <c r="EWD56"/>
      <c r="EWE56"/>
      <c r="EWF56"/>
      <c r="EWG56"/>
      <c r="EWH56"/>
      <c r="EWI56"/>
      <c r="EWJ56"/>
      <c r="EWK56"/>
      <c r="EWL56"/>
      <c r="EWM56"/>
      <c r="EWN56"/>
      <c r="EWO56"/>
      <c r="EWP56"/>
      <c r="EWQ56"/>
      <c r="EWR56"/>
      <c r="EWS56"/>
      <c r="EWT56"/>
      <c r="EWU56"/>
      <c r="EWV56"/>
      <c r="EWW56"/>
      <c r="EWX56"/>
      <c r="EWY56"/>
      <c r="EWZ56"/>
      <c r="EXA56"/>
      <c r="EXB56"/>
      <c r="EXC56"/>
      <c r="EXD56"/>
      <c r="EXE56"/>
      <c r="EXF56"/>
      <c r="EXG56"/>
      <c r="EXH56"/>
      <c r="EXI56"/>
      <c r="EXJ56"/>
      <c r="EXK56"/>
      <c r="EXL56"/>
      <c r="EXM56"/>
      <c r="EXN56"/>
      <c r="EXO56"/>
      <c r="EXP56"/>
      <c r="EXQ56"/>
      <c r="EXR56"/>
      <c r="EXS56"/>
      <c r="EXT56"/>
      <c r="EXU56"/>
      <c r="EXV56"/>
      <c r="EXW56"/>
      <c r="EXX56"/>
      <c r="EXY56"/>
      <c r="EXZ56"/>
      <c r="EYA56"/>
      <c r="EYB56"/>
      <c r="EYC56"/>
      <c r="EYD56"/>
      <c r="EYE56"/>
      <c r="EYF56"/>
      <c r="EYG56"/>
      <c r="EYH56"/>
      <c r="EYI56"/>
      <c r="EYJ56"/>
      <c r="EYK56"/>
      <c r="EYL56"/>
      <c r="EYM56"/>
      <c r="EYN56"/>
      <c r="EYO56"/>
      <c r="EYP56"/>
      <c r="EYQ56"/>
      <c r="EYR56"/>
      <c r="EYS56"/>
      <c r="EYT56"/>
      <c r="EYU56"/>
      <c r="EYV56"/>
      <c r="EYW56"/>
      <c r="EYX56"/>
      <c r="EYY56"/>
      <c r="EYZ56"/>
      <c r="EZA56"/>
      <c r="EZB56"/>
      <c r="EZC56"/>
      <c r="EZD56"/>
      <c r="EZE56"/>
      <c r="EZF56"/>
      <c r="EZG56"/>
      <c r="EZH56"/>
      <c r="EZI56"/>
      <c r="EZJ56"/>
      <c r="EZK56"/>
      <c r="EZL56"/>
      <c r="EZM56"/>
      <c r="EZN56"/>
      <c r="EZO56"/>
      <c r="EZP56"/>
      <c r="EZQ56"/>
      <c r="EZR56"/>
      <c r="EZS56"/>
      <c r="EZT56"/>
      <c r="EZU56"/>
      <c r="EZV56"/>
      <c r="EZW56"/>
      <c r="EZX56"/>
      <c r="EZY56"/>
      <c r="EZZ56"/>
      <c r="FAA56"/>
      <c r="FAB56"/>
      <c r="FAC56"/>
      <c r="FAD56"/>
      <c r="FAE56"/>
      <c r="FAF56"/>
      <c r="FAG56"/>
      <c r="FAH56"/>
      <c r="FAI56"/>
      <c r="FAJ56"/>
      <c r="FAK56"/>
      <c r="FAL56"/>
      <c r="FAM56"/>
      <c r="FAN56"/>
      <c r="FAO56"/>
      <c r="FAP56"/>
      <c r="FAQ56"/>
      <c r="FAR56"/>
      <c r="FAS56"/>
      <c r="FAT56"/>
      <c r="FAU56"/>
      <c r="FAV56"/>
      <c r="FAW56"/>
      <c r="FAX56"/>
      <c r="FAY56"/>
      <c r="FAZ56"/>
      <c r="FBA56"/>
      <c r="FBB56"/>
      <c r="FBC56"/>
      <c r="FBD56"/>
      <c r="FBE56"/>
      <c r="FBF56"/>
      <c r="FBG56"/>
      <c r="FBH56"/>
      <c r="FBI56"/>
      <c r="FBJ56"/>
      <c r="FBK56"/>
      <c r="FBL56"/>
      <c r="FBM56"/>
      <c r="FBN56"/>
      <c r="FBO56"/>
      <c r="FBP56"/>
      <c r="FBQ56"/>
      <c r="FBR56"/>
      <c r="FBS56"/>
      <c r="FBT56"/>
      <c r="FBU56"/>
      <c r="FBV56"/>
      <c r="FBW56"/>
      <c r="FBX56"/>
      <c r="FBY56"/>
      <c r="FBZ56"/>
      <c r="FCA56"/>
      <c r="FCB56"/>
      <c r="FCC56"/>
      <c r="FCD56"/>
      <c r="FCE56"/>
      <c r="FCF56"/>
      <c r="FCG56"/>
      <c r="FCH56"/>
      <c r="FCI56"/>
      <c r="FCJ56"/>
      <c r="FCK56"/>
      <c r="FCL56"/>
      <c r="FCM56"/>
      <c r="FCN56"/>
      <c r="FCO56"/>
      <c r="FCP56"/>
      <c r="FCQ56"/>
      <c r="FCR56"/>
      <c r="FCS56"/>
      <c r="FCT56"/>
      <c r="FCU56"/>
      <c r="FCV56"/>
      <c r="FCW56"/>
      <c r="FCX56"/>
      <c r="FCY56"/>
      <c r="FCZ56"/>
      <c r="FDA56"/>
      <c r="FDB56"/>
      <c r="FDC56"/>
      <c r="FDD56"/>
      <c r="FDE56"/>
      <c r="FDF56"/>
      <c r="FDG56"/>
      <c r="FDH56"/>
      <c r="FDI56"/>
      <c r="FDJ56"/>
      <c r="FDK56"/>
      <c r="FDL56"/>
      <c r="FDM56"/>
      <c r="FDN56"/>
      <c r="FDO56"/>
      <c r="FDP56"/>
      <c r="FDQ56"/>
      <c r="FDR56"/>
      <c r="FDS56"/>
      <c r="FDT56"/>
      <c r="FDU56"/>
      <c r="FDV56"/>
      <c r="FDW56"/>
      <c r="FDX56"/>
      <c r="FDY56"/>
      <c r="FDZ56"/>
      <c r="FEA56"/>
      <c r="FEB56"/>
      <c r="FEC56"/>
      <c r="FED56"/>
      <c r="FEE56"/>
      <c r="FEF56"/>
      <c r="FEG56"/>
      <c r="FEH56"/>
      <c r="FEI56"/>
      <c r="FEJ56"/>
      <c r="FEK56"/>
      <c r="FEL56"/>
      <c r="FEM56"/>
      <c r="FEN56"/>
      <c r="FEO56"/>
      <c r="FEP56"/>
      <c r="FEQ56"/>
      <c r="FER56"/>
      <c r="FES56"/>
      <c r="FET56"/>
      <c r="FEU56"/>
      <c r="FEV56"/>
      <c r="FEW56"/>
      <c r="FEX56"/>
      <c r="FEY56"/>
      <c r="FEZ56"/>
      <c r="FFA56"/>
      <c r="FFB56"/>
      <c r="FFC56"/>
      <c r="FFD56"/>
      <c r="FFE56"/>
      <c r="FFF56"/>
      <c r="FFG56"/>
      <c r="FFH56"/>
      <c r="FFI56"/>
      <c r="FFJ56"/>
      <c r="FFK56"/>
      <c r="FFL56"/>
      <c r="FFM56"/>
      <c r="FFN56"/>
      <c r="FFO56"/>
      <c r="FFP56"/>
      <c r="FFQ56"/>
      <c r="FFR56"/>
      <c r="FFS56"/>
      <c r="FFT56"/>
      <c r="FFU56"/>
      <c r="FFV56"/>
      <c r="FFW56"/>
      <c r="FFX56"/>
      <c r="FFY56"/>
      <c r="FFZ56"/>
      <c r="FGA56"/>
      <c r="FGB56"/>
      <c r="FGC56"/>
      <c r="FGD56"/>
      <c r="FGE56"/>
      <c r="FGF56"/>
      <c r="FGG56"/>
      <c r="FGH56"/>
      <c r="FGI56"/>
      <c r="FGJ56"/>
      <c r="FGK56"/>
      <c r="FGL56"/>
      <c r="FGM56"/>
      <c r="FGN56"/>
      <c r="FGO56"/>
      <c r="FGP56"/>
      <c r="FGQ56"/>
      <c r="FGR56"/>
      <c r="FGS56"/>
      <c r="FGT56"/>
      <c r="FGU56"/>
      <c r="FGV56"/>
      <c r="FGW56"/>
      <c r="FGX56"/>
      <c r="FGY56"/>
      <c r="FGZ56"/>
      <c r="FHA56"/>
      <c r="FHB56"/>
      <c r="FHC56"/>
      <c r="FHD56"/>
      <c r="FHE56"/>
      <c r="FHF56"/>
      <c r="FHG56"/>
      <c r="FHH56"/>
      <c r="FHI56"/>
      <c r="FHJ56"/>
      <c r="FHK56"/>
      <c r="FHL56"/>
      <c r="FHM56"/>
      <c r="FHN56"/>
      <c r="FHO56"/>
      <c r="FHP56"/>
      <c r="FHQ56"/>
      <c r="FHR56"/>
      <c r="FHS56"/>
      <c r="FHT56"/>
      <c r="FHU56"/>
      <c r="FHV56"/>
      <c r="FHW56"/>
      <c r="FHX56"/>
      <c r="FHY56"/>
      <c r="FHZ56"/>
      <c r="FIA56"/>
      <c r="FIB56"/>
      <c r="FIC56"/>
      <c r="FID56"/>
      <c r="FIE56"/>
      <c r="FIF56"/>
      <c r="FIG56"/>
      <c r="FIH56"/>
      <c r="FII56"/>
      <c r="FIJ56"/>
      <c r="FIK56"/>
      <c r="FIL56"/>
      <c r="FIM56"/>
      <c r="FIN56"/>
      <c r="FIO56"/>
      <c r="FIP56"/>
      <c r="FIQ56"/>
      <c r="FIR56"/>
      <c r="FIS56"/>
      <c r="FIT56"/>
      <c r="FIU56"/>
      <c r="FIV56"/>
      <c r="FIW56"/>
      <c r="FIX56"/>
      <c r="FIY56"/>
      <c r="FIZ56"/>
      <c r="FJA56"/>
      <c r="FJB56"/>
      <c r="FJC56"/>
      <c r="FJD56"/>
      <c r="FJE56"/>
      <c r="FJF56"/>
      <c r="FJG56"/>
      <c r="FJH56"/>
      <c r="FJI56"/>
      <c r="FJJ56"/>
      <c r="FJK56"/>
      <c r="FJL56"/>
      <c r="FJM56"/>
      <c r="FJN56"/>
      <c r="FJO56"/>
      <c r="FJP56"/>
      <c r="FJQ56"/>
      <c r="FJR56"/>
      <c r="FJS56"/>
      <c r="FJT56"/>
      <c r="FJU56"/>
      <c r="FJV56"/>
      <c r="FJW56"/>
      <c r="FJX56"/>
      <c r="FJY56"/>
      <c r="FJZ56"/>
      <c r="FKA56"/>
      <c r="FKB56"/>
      <c r="FKC56"/>
      <c r="FKD56"/>
      <c r="FKE56"/>
      <c r="FKF56"/>
      <c r="FKG56"/>
      <c r="FKH56"/>
      <c r="FKI56"/>
      <c r="FKJ56"/>
      <c r="FKK56"/>
      <c r="FKL56"/>
      <c r="FKM56"/>
      <c r="FKN56"/>
      <c r="FKO56"/>
      <c r="FKP56"/>
      <c r="FKQ56"/>
      <c r="FKR56"/>
      <c r="FKS56"/>
      <c r="FKT56"/>
      <c r="FKU56"/>
      <c r="FKV56"/>
      <c r="FKW56"/>
      <c r="FKX56"/>
      <c r="FKY56"/>
      <c r="FKZ56"/>
      <c r="FLA56"/>
      <c r="FLB56"/>
      <c r="FLC56"/>
      <c r="FLD56"/>
      <c r="FLE56"/>
      <c r="FLF56"/>
      <c r="FLG56"/>
      <c r="FLH56"/>
      <c r="FLI56"/>
      <c r="FLJ56"/>
      <c r="FLK56"/>
      <c r="FLL56"/>
      <c r="FLM56"/>
      <c r="FLN56"/>
      <c r="FLO56"/>
      <c r="FLP56"/>
      <c r="FLQ56"/>
      <c r="FLR56"/>
      <c r="FLS56"/>
      <c r="FLT56"/>
      <c r="FLU56"/>
      <c r="FLV56"/>
      <c r="FLW56"/>
      <c r="FLX56"/>
      <c r="FLY56"/>
      <c r="FLZ56"/>
      <c r="FMA56"/>
      <c r="FMB56"/>
      <c r="FMC56"/>
      <c r="FMD56"/>
      <c r="FME56"/>
      <c r="FMF56"/>
      <c r="FMG56"/>
      <c r="FMH56"/>
      <c r="FMI56"/>
      <c r="FMJ56"/>
      <c r="FMK56"/>
      <c r="FML56"/>
      <c r="FMM56"/>
      <c r="FMN56"/>
      <c r="FMO56"/>
      <c r="FMP56"/>
      <c r="FMQ56"/>
      <c r="FMR56"/>
      <c r="FMS56"/>
      <c r="FMT56"/>
      <c r="FMU56"/>
      <c r="FMV56"/>
      <c r="FMW56"/>
      <c r="FMX56"/>
      <c r="FMY56"/>
      <c r="FMZ56"/>
      <c r="FNA56"/>
      <c r="FNB56"/>
      <c r="FNC56"/>
      <c r="FND56"/>
      <c r="FNE56"/>
      <c r="FNF56"/>
      <c r="FNG56"/>
      <c r="FNH56"/>
      <c r="FNI56"/>
      <c r="FNJ56"/>
      <c r="FNK56"/>
      <c r="FNL56"/>
      <c r="FNM56"/>
      <c r="FNN56"/>
      <c r="FNO56"/>
      <c r="FNP56"/>
      <c r="FNQ56"/>
      <c r="FNR56"/>
      <c r="FNS56"/>
      <c r="FNT56"/>
      <c r="FNU56"/>
      <c r="FNV56"/>
      <c r="FNW56"/>
      <c r="FNX56"/>
      <c r="FNY56"/>
      <c r="FNZ56"/>
      <c r="FOA56"/>
      <c r="FOB56"/>
      <c r="FOC56"/>
      <c r="FOD56"/>
      <c r="FOE56"/>
      <c r="FOF56"/>
      <c r="FOG56"/>
      <c r="FOH56"/>
      <c r="FOI56"/>
      <c r="FOJ56"/>
      <c r="FOK56"/>
      <c r="FOL56"/>
      <c r="FOM56"/>
      <c r="FON56"/>
      <c r="FOO56"/>
      <c r="FOP56"/>
      <c r="FOQ56"/>
      <c r="FOR56"/>
      <c r="FOS56"/>
      <c r="FOT56"/>
      <c r="FOU56"/>
      <c r="FOV56"/>
      <c r="FOW56"/>
      <c r="FOX56"/>
      <c r="FOY56"/>
      <c r="FOZ56"/>
      <c r="FPA56"/>
      <c r="FPB56"/>
      <c r="FPC56"/>
      <c r="FPD56"/>
      <c r="FPE56"/>
      <c r="FPF56"/>
      <c r="FPG56"/>
      <c r="FPH56"/>
      <c r="FPI56"/>
      <c r="FPJ56"/>
      <c r="FPK56"/>
      <c r="FPL56"/>
      <c r="FPM56"/>
      <c r="FPN56"/>
      <c r="FPO56"/>
      <c r="FPP56"/>
      <c r="FPQ56"/>
      <c r="FPR56"/>
      <c r="FPS56"/>
      <c r="FPT56"/>
      <c r="FPU56"/>
      <c r="FPV56"/>
      <c r="FPW56"/>
      <c r="FPX56"/>
      <c r="FPY56"/>
      <c r="FPZ56"/>
      <c r="FQA56"/>
      <c r="FQB56"/>
      <c r="FQC56"/>
      <c r="FQD56"/>
      <c r="FQE56"/>
      <c r="FQF56"/>
      <c r="FQG56"/>
      <c r="FQH56"/>
      <c r="FQI56"/>
      <c r="FQJ56"/>
      <c r="FQK56"/>
      <c r="FQL56"/>
      <c r="FQM56"/>
      <c r="FQN56"/>
      <c r="FQO56"/>
      <c r="FQP56"/>
      <c r="FQQ56"/>
      <c r="FQR56"/>
      <c r="FQS56"/>
      <c r="FQT56"/>
      <c r="FQU56"/>
      <c r="FQV56"/>
      <c r="FQW56"/>
      <c r="FQX56"/>
      <c r="FQY56"/>
      <c r="FQZ56"/>
      <c r="FRA56"/>
      <c r="FRB56"/>
      <c r="FRC56"/>
      <c r="FRD56"/>
      <c r="FRE56"/>
      <c r="FRF56"/>
      <c r="FRG56"/>
      <c r="FRH56"/>
      <c r="FRI56"/>
      <c r="FRJ56"/>
      <c r="FRK56"/>
      <c r="FRL56"/>
      <c r="FRM56"/>
      <c r="FRN56"/>
      <c r="FRO56"/>
      <c r="FRP56"/>
      <c r="FRQ56"/>
      <c r="FRR56"/>
      <c r="FRS56"/>
      <c r="FRT56"/>
      <c r="FRU56"/>
      <c r="FRV56"/>
      <c r="FRW56"/>
      <c r="FRX56"/>
      <c r="FRY56"/>
      <c r="FRZ56"/>
      <c r="FSA56"/>
      <c r="FSB56"/>
      <c r="FSC56"/>
      <c r="FSD56"/>
      <c r="FSE56"/>
      <c r="FSF56"/>
      <c r="FSG56"/>
      <c r="FSH56"/>
      <c r="FSI56"/>
      <c r="FSJ56"/>
      <c r="FSK56"/>
      <c r="FSL56"/>
      <c r="FSM56"/>
      <c r="FSN56"/>
      <c r="FSO56"/>
      <c r="FSP56"/>
      <c r="FSQ56"/>
      <c r="FSR56"/>
      <c r="FSS56"/>
      <c r="FST56"/>
      <c r="FSU56"/>
      <c r="FSV56"/>
      <c r="FSW56"/>
      <c r="FSX56"/>
      <c r="FSY56"/>
      <c r="FSZ56"/>
      <c r="FTA56"/>
      <c r="FTB56"/>
      <c r="FTC56"/>
      <c r="FTD56"/>
      <c r="FTE56"/>
      <c r="FTF56"/>
      <c r="FTG56"/>
      <c r="FTH56"/>
      <c r="FTI56"/>
      <c r="FTJ56"/>
      <c r="FTK56"/>
      <c r="FTL56"/>
      <c r="FTM56"/>
      <c r="FTN56"/>
      <c r="FTO56"/>
      <c r="FTP56"/>
      <c r="FTQ56"/>
      <c r="FTR56"/>
      <c r="FTS56"/>
      <c r="FTT56"/>
      <c r="FTU56"/>
      <c r="FTV56"/>
      <c r="FTW56"/>
      <c r="FTX56"/>
      <c r="FTY56"/>
      <c r="FTZ56"/>
      <c r="FUA56"/>
      <c r="FUB56"/>
      <c r="FUC56"/>
      <c r="FUD56"/>
      <c r="FUE56"/>
      <c r="FUF56"/>
      <c r="FUG56"/>
      <c r="FUH56"/>
      <c r="FUI56"/>
      <c r="FUJ56"/>
      <c r="FUK56"/>
      <c r="FUL56"/>
      <c r="FUM56"/>
      <c r="FUN56"/>
      <c r="FUO56"/>
      <c r="FUP56"/>
      <c r="FUQ56"/>
      <c r="FUR56"/>
      <c r="FUS56"/>
      <c r="FUT56"/>
      <c r="FUU56"/>
      <c r="FUV56"/>
      <c r="FUW56"/>
      <c r="FUX56"/>
      <c r="FUY56"/>
      <c r="FUZ56"/>
      <c r="FVA56"/>
      <c r="FVB56"/>
      <c r="FVC56"/>
      <c r="FVD56"/>
      <c r="FVE56"/>
      <c r="FVF56"/>
      <c r="FVG56"/>
      <c r="FVH56"/>
      <c r="FVI56"/>
      <c r="FVJ56"/>
      <c r="FVK56"/>
      <c r="FVL56"/>
      <c r="FVM56"/>
      <c r="FVN56"/>
      <c r="FVO56"/>
      <c r="FVP56"/>
      <c r="FVQ56"/>
      <c r="FVR56"/>
      <c r="FVS56"/>
      <c r="FVT56"/>
      <c r="FVU56"/>
      <c r="FVV56"/>
      <c r="FVW56"/>
      <c r="FVX56"/>
      <c r="FVY56"/>
      <c r="FVZ56"/>
      <c r="FWA56"/>
      <c r="FWB56"/>
      <c r="FWC56"/>
      <c r="FWD56"/>
      <c r="FWE56"/>
      <c r="FWF56"/>
      <c r="FWG56"/>
      <c r="FWH56"/>
      <c r="FWI56"/>
      <c r="FWJ56"/>
      <c r="FWK56"/>
      <c r="FWL56"/>
      <c r="FWM56"/>
      <c r="FWN56"/>
      <c r="FWO56"/>
      <c r="FWP56"/>
      <c r="FWQ56"/>
      <c r="FWR56"/>
      <c r="FWS56"/>
      <c r="FWT56"/>
      <c r="FWU56"/>
      <c r="FWV56"/>
      <c r="FWW56"/>
      <c r="FWX56"/>
      <c r="FWY56"/>
      <c r="FWZ56"/>
      <c r="FXA56"/>
      <c r="FXB56"/>
      <c r="FXC56"/>
      <c r="FXD56"/>
      <c r="FXE56"/>
      <c r="FXF56"/>
      <c r="FXG56"/>
      <c r="FXH56"/>
      <c r="FXI56"/>
      <c r="FXJ56"/>
      <c r="FXK56"/>
      <c r="FXL56"/>
      <c r="FXM56"/>
      <c r="FXN56"/>
      <c r="FXO56"/>
      <c r="FXP56"/>
      <c r="FXQ56"/>
      <c r="FXR56"/>
      <c r="FXS56"/>
      <c r="FXT56"/>
      <c r="FXU56"/>
      <c r="FXV56"/>
      <c r="FXW56"/>
      <c r="FXX56"/>
      <c r="FXY56"/>
      <c r="FXZ56"/>
      <c r="FYA56"/>
      <c r="FYB56"/>
      <c r="FYC56"/>
      <c r="FYD56"/>
      <c r="FYE56"/>
      <c r="FYF56"/>
      <c r="FYG56"/>
      <c r="FYH56"/>
      <c r="FYI56"/>
      <c r="FYJ56"/>
      <c r="FYK56"/>
      <c r="FYL56"/>
      <c r="FYM56"/>
      <c r="FYN56"/>
      <c r="FYO56"/>
      <c r="FYP56"/>
      <c r="FYQ56"/>
      <c r="FYR56"/>
      <c r="FYS56"/>
      <c r="FYT56"/>
      <c r="FYU56"/>
      <c r="FYV56"/>
      <c r="FYW56"/>
      <c r="FYX56"/>
      <c r="FYY56"/>
      <c r="FYZ56"/>
      <c r="FZA56"/>
      <c r="FZB56"/>
      <c r="FZC56"/>
      <c r="FZD56"/>
      <c r="FZE56"/>
      <c r="FZF56"/>
      <c r="FZG56"/>
      <c r="FZH56"/>
      <c r="FZI56"/>
      <c r="FZJ56"/>
      <c r="FZK56"/>
      <c r="FZL56"/>
      <c r="FZM56"/>
      <c r="FZN56"/>
      <c r="FZO56"/>
      <c r="FZP56"/>
      <c r="FZQ56"/>
      <c r="FZR56"/>
      <c r="FZS56"/>
      <c r="FZT56"/>
      <c r="FZU56"/>
      <c r="FZV56"/>
      <c r="FZW56"/>
      <c r="FZX56"/>
      <c r="FZY56"/>
      <c r="FZZ56"/>
      <c r="GAA56"/>
      <c r="GAB56"/>
      <c r="GAC56"/>
      <c r="GAD56"/>
      <c r="GAE56"/>
      <c r="GAF56"/>
      <c r="GAG56"/>
      <c r="GAH56"/>
      <c r="GAI56"/>
      <c r="GAJ56"/>
      <c r="GAK56"/>
      <c r="GAL56"/>
      <c r="GAM56"/>
      <c r="GAN56"/>
      <c r="GAO56"/>
      <c r="GAP56"/>
      <c r="GAQ56"/>
      <c r="GAR56"/>
      <c r="GAS56"/>
      <c r="GAT56"/>
      <c r="GAU56"/>
      <c r="GAV56"/>
      <c r="GAW56"/>
      <c r="GAX56"/>
      <c r="GAY56"/>
      <c r="GAZ56"/>
      <c r="GBA56"/>
      <c r="GBB56"/>
      <c r="GBC56"/>
      <c r="GBD56"/>
      <c r="GBE56"/>
      <c r="GBF56"/>
      <c r="GBG56"/>
      <c r="GBH56"/>
      <c r="GBI56"/>
      <c r="GBJ56"/>
      <c r="GBK56"/>
      <c r="GBL56"/>
      <c r="GBM56"/>
      <c r="GBN56"/>
      <c r="GBO56"/>
      <c r="GBP56"/>
      <c r="GBQ56"/>
      <c r="GBR56"/>
      <c r="GBS56"/>
      <c r="GBT56"/>
      <c r="GBU56"/>
      <c r="GBV56"/>
      <c r="GBW56"/>
      <c r="GBX56"/>
      <c r="GBY56"/>
      <c r="GBZ56"/>
      <c r="GCA56"/>
      <c r="GCB56"/>
      <c r="GCC56"/>
      <c r="GCD56"/>
      <c r="GCE56"/>
      <c r="GCF56"/>
      <c r="GCG56"/>
      <c r="GCH56"/>
      <c r="GCI56"/>
      <c r="GCJ56"/>
      <c r="GCK56"/>
      <c r="GCL56"/>
      <c r="GCM56"/>
      <c r="GCN56"/>
      <c r="GCO56"/>
      <c r="GCP56"/>
      <c r="GCQ56"/>
      <c r="GCR56"/>
      <c r="GCS56"/>
      <c r="GCT56"/>
      <c r="GCU56"/>
      <c r="GCV56"/>
      <c r="GCW56"/>
      <c r="GCX56"/>
      <c r="GCY56"/>
      <c r="GCZ56"/>
      <c r="GDA56"/>
      <c r="GDB56"/>
      <c r="GDC56"/>
      <c r="GDD56"/>
      <c r="GDE56"/>
      <c r="GDF56"/>
      <c r="GDG56"/>
      <c r="GDH56"/>
      <c r="GDI56"/>
      <c r="GDJ56"/>
      <c r="GDK56"/>
      <c r="GDL56"/>
      <c r="GDM56"/>
      <c r="GDN56"/>
      <c r="GDO56"/>
      <c r="GDP56"/>
      <c r="GDQ56"/>
      <c r="GDR56"/>
      <c r="GDS56"/>
      <c r="GDT56"/>
      <c r="GDU56"/>
      <c r="GDV56"/>
      <c r="GDW56"/>
      <c r="GDX56"/>
      <c r="GDY56"/>
      <c r="GDZ56"/>
      <c r="GEA56"/>
      <c r="GEB56"/>
      <c r="GEC56"/>
      <c r="GED56"/>
      <c r="GEE56"/>
      <c r="GEF56"/>
      <c r="GEG56"/>
      <c r="GEH56"/>
      <c r="GEI56"/>
      <c r="GEJ56"/>
      <c r="GEK56"/>
      <c r="GEL56"/>
      <c r="GEM56"/>
      <c r="GEN56"/>
      <c r="GEO56"/>
      <c r="GEP56"/>
      <c r="GEQ56"/>
      <c r="GER56"/>
      <c r="GES56"/>
      <c r="GET56"/>
      <c r="GEU56"/>
      <c r="GEV56"/>
      <c r="GEW56"/>
      <c r="GEX56"/>
      <c r="GEY56"/>
      <c r="GEZ56"/>
      <c r="GFA56"/>
      <c r="GFB56"/>
      <c r="GFC56"/>
      <c r="GFD56"/>
      <c r="GFE56"/>
      <c r="GFF56"/>
      <c r="GFG56"/>
      <c r="GFH56"/>
      <c r="GFI56"/>
      <c r="GFJ56"/>
      <c r="GFK56"/>
      <c r="GFL56"/>
      <c r="GFM56"/>
      <c r="GFN56"/>
      <c r="GFO56"/>
      <c r="GFP56"/>
      <c r="GFQ56"/>
      <c r="GFR56"/>
      <c r="GFS56"/>
      <c r="GFT56"/>
      <c r="GFU56"/>
      <c r="GFV56"/>
      <c r="GFW56"/>
      <c r="GFX56"/>
      <c r="GFY56"/>
      <c r="GFZ56"/>
      <c r="GGA56"/>
      <c r="GGB56"/>
      <c r="GGC56"/>
      <c r="GGD56"/>
      <c r="GGE56"/>
      <c r="GGF56"/>
      <c r="GGG56"/>
      <c r="GGH56"/>
      <c r="GGI56"/>
      <c r="GGJ56"/>
      <c r="GGK56"/>
      <c r="GGL56"/>
      <c r="GGM56"/>
      <c r="GGN56"/>
      <c r="GGO56"/>
      <c r="GGP56"/>
      <c r="GGQ56"/>
      <c r="GGR56"/>
      <c r="GGS56"/>
      <c r="GGT56"/>
      <c r="GGU56"/>
      <c r="GGV56"/>
      <c r="GGW56"/>
      <c r="GGX56"/>
      <c r="GGY56"/>
      <c r="GGZ56"/>
      <c r="GHA56"/>
      <c r="GHB56"/>
      <c r="GHC56"/>
      <c r="GHD56"/>
      <c r="GHE56"/>
      <c r="GHF56"/>
      <c r="GHG56"/>
      <c r="GHH56"/>
      <c r="GHI56"/>
      <c r="GHJ56"/>
      <c r="GHK56"/>
      <c r="GHL56"/>
      <c r="GHM56"/>
      <c r="GHN56"/>
      <c r="GHO56"/>
      <c r="GHP56"/>
      <c r="GHQ56"/>
      <c r="GHR56"/>
      <c r="GHS56"/>
      <c r="GHT56"/>
      <c r="GHU56"/>
      <c r="GHV56"/>
      <c r="GHW56"/>
      <c r="GHX56"/>
      <c r="GHY56"/>
      <c r="GHZ56"/>
      <c r="GIA56"/>
      <c r="GIB56"/>
      <c r="GIC56"/>
      <c r="GID56"/>
      <c r="GIE56"/>
      <c r="GIF56"/>
      <c r="GIG56"/>
      <c r="GIH56"/>
      <c r="GII56"/>
      <c r="GIJ56"/>
      <c r="GIK56"/>
      <c r="GIL56"/>
      <c r="GIM56"/>
      <c r="GIN56"/>
      <c r="GIO56"/>
      <c r="GIP56"/>
      <c r="GIQ56"/>
      <c r="GIR56"/>
      <c r="GIS56"/>
      <c r="GIT56"/>
      <c r="GIU56"/>
      <c r="GIV56"/>
      <c r="GIW56"/>
      <c r="GIX56"/>
      <c r="GIY56"/>
      <c r="GIZ56"/>
      <c r="GJA56"/>
      <c r="GJB56"/>
      <c r="GJC56"/>
      <c r="GJD56"/>
      <c r="GJE56"/>
      <c r="GJF56"/>
      <c r="GJG56"/>
      <c r="GJH56"/>
      <c r="GJI56"/>
      <c r="GJJ56"/>
      <c r="GJK56"/>
      <c r="GJL56"/>
      <c r="GJM56"/>
      <c r="GJN56"/>
      <c r="GJO56"/>
      <c r="GJP56"/>
      <c r="GJQ56"/>
      <c r="GJR56"/>
      <c r="GJS56"/>
      <c r="GJT56"/>
      <c r="GJU56"/>
      <c r="GJV56"/>
      <c r="GJW56"/>
      <c r="GJX56"/>
      <c r="GJY56"/>
      <c r="GJZ56"/>
      <c r="GKA56"/>
      <c r="GKB56"/>
      <c r="GKC56"/>
      <c r="GKD56"/>
      <c r="GKE56"/>
      <c r="GKF56"/>
      <c r="GKG56"/>
      <c r="GKH56"/>
      <c r="GKI56"/>
      <c r="GKJ56"/>
      <c r="GKK56"/>
      <c r="GKL56"/>
      <c r="GKM56"/>
      <c r="GKN56"/>
      <c r="GKO56"/>
      <c r="GKP56"/>
      <c r="GKQ56"/>
      <c r="GKR56"/>
      <c r="GKS56"/>
      <c r="GKT56"/>
      <c r="GKU56"/>
      <c r="GKV56"/>
      <c r="GKW56"/>
      <c r="GKX56"/>
      <c r="GKY56"/>
      <c r="GKZ56"/>
      <c r="GLA56"/>
      <c r="GLB56"/>
      <c r="GLC56"/>
      <c r="GLD56"/>
      <c r="GLE56"/>
      <c r="GLF56"/>
      <c r="GLG56"/>
      <c r="GLH56"/>
      <c r="GLI56"/>
      <c r="GLJ56"/>
      <c r="GLK56"/>
      <c r="GLL56"/>
      <c r="GLM56"/>
      <c r="GLN56"/>
      <c r="GLO56"/>
      <c r="GLP56"/>
      <c r="GLQ56"/>
      <c r="GLR56"/>
      <c r="GLS56"/>
      <c r="GLT56"/>
      <c r="GLU56"/>
      <c r="GLV56"/>
      <c r="GLW56"/>
      <c r="GLX56"/>
      <c r="GLY56"/>
      <c r="GLZ56"/>
      <c r="GMA56"/>
      <c r="GMB56"/>
      <c r="GMC56"/>
      <c r="GMD56"/>
      <c r="GME56"/>
      <c r="GMF56"/>
      <c r="GMG56"/>
      <c r="GMH56"/>
      <c r="GMI56"/>
      <c r="GMJ56"/>
      <c r="GMK56"/>
      <c r="GML56"/>
      <c r="GMM56"/>
      <c r="GMN56"/>
      <c r="GMO56"/>
      <c r="GMP56"/>
      <c r="GMQ56"/>
      <c r="GMR56"/>
      <c r="GMS56"/>
      <c r="GMT56"/>
      <c r="GMU56"/>
      <c r="GMV56"/>
      <c r="GMW56"/>
      <c r="GMX56"/>
      <c r="GMY56"/>
      <c r="GMZ56"/>
      <c r="GNA56"/>
      <c r="GNB56"/>
      <c r="GNC56"/>
      <c r="GND56"/>
      <c r="GNE56"/>
      <c r="GNF56"/>
      <c r="GNG56"/>
      <c r="GNH56"/>
      <c r="GNI56"/>
      <c r="GNJ56"/>
      <c r="GNK56"/>
      <c r="GNL56"/>
      <c r="GNM56"/>
      <c r="GNN56"/>
      <c r="GNO56"/>
      <c r="GNP56"/>
      <c r="GNQ56"/>
      <c r="GNR56"/>
      <c r="GNS56"/>
      <c r="GNT56"/>
      <c r="GNU56"/>
      <c r="GNV56"/>
      <c r="GNW56"/>
      <c r="GNX56"/>
      <c r="GNY56"/>
      <c r="GNZ56"/>
      <c r="GOA56"/>
      <c r="GOB56"/>
      <c r="GOC56"/>
      <c r="GOD56"/>
      <c r="GOE56"/>
      <c r="GOF56"/>
      <c r="GOG56"/>
      <c r="GOH56"/>
      <c r="GOI56"/>
      <c r="GOJ56"/>
      <c r="GOK56"/>
      <c r="GOL56"/>
      <c r="GOM56"/>
      <c r="GON56"/>
      <c r="GOO56"/>
      <c r="GOP56"/>
      <c r="GOQ56"/>
      <c r="GOR56"/>
      <c r="GOS56"/>
      <c r="GOT56"/>
      <c r="GOU56"/>
      <c r="GOV56"/>
      <c r="GOW56"/>
      <c r="GOX56"/>
      <c r="GOY56"/>
      <c r="GOZ56"/>
      <c r="GPA56"/>
      <c r="GPB56"/>
      <c r="GPC56"/>
      <c r="GPD56"/>
      <c r="GPE56"/>
      <c r="GPF56"/>
      <c r="GPG56"/>
      <c r="GPH56"/>
      <c r="GPI56"/>
      <c r="GPJ56"/>
      <c r="GPK56"/>
      <c r="GPL56"/>
      <c r="GPM56"/>
      <c r="GPN56"/>
      <c r="GPO56"/>
      <c r="GPP56"/>
      <c r="GPQ56"/>
      <c r="GPR56"/>
      <c r="GPS56"/>
      <c r="GPT56"/>
      <c r="GPU56"/>
      <c r="GPV56"/>
      <c r="GPW56"/>
      <c r="GPX56"/>
      <c r="GPY56"/>
      <c r="GPZ56"/>
      <c r="GQA56"/>
      <c r="GQB56"/>
      <c r="GQC56"/>
      <c r="GQD56"/>
      <c r="GQE56"/>
      <c r="GQF56"/>
      <c r="GQG56"/>
      <c r="GQH56"/>
      <c r="GQI56"/>
      <c r="GQJ56"/>
      <c r="GQK56"/>
      <c r="GQL56"/>
      <c r="GQM56"/>
      <c r="GQN56"/>
      <c r="GQO56"/>
      <c r="GQP56"/>
      <c r="GQQ56"/>
      <c r="GQR56"/>
      <c r="GQS56"/>
      <c r="GQT56"/>
      <c r="GQU56"/>
      <c r="GQV56"/>
      <c r="GQW56"/>
      <c r="GQX56"/>
      <c r="GQY56"/>
      <c r="GQZ56"/>
      <c r="GRA56"/>
      <c r="GRB56"/>
      <c r="GRC56"/>
      <c r="GRD56"/>
      <c r="GRE56"/>
      <c r="GRF56"/>
      <c r="GRG56"/>
      <c r="GRH56"/>
      <c r="GRI56"/>
      <c r="GRJ56"/>
      <c r="GRK56"/>
      <c r="GRL56"/>
      <c r="GRM56"/>
      <c r="GRN56"/>
      <c r="GRO56"/>
      <c r="GRP56"/>
      <c r="GRQ56"/>
      <c r="GRR56"/>
      <c r="GRS56"/>
      <c r="GRT56"/>
      <c r="GRU56"/>
      <c r="GRV56"/>
      <c r="GRW56"/>
      <c r="GRX56"/>
      <c r="GRY56"/>
      <c r="GRZ56"/>
      <c r="GSA56"/>
      <c r="GSB56"/>
      <c r="GSC56"/>
      <c r="GSD56"/>
      <c r="GSE56"/>
      <c r="GSF56"/>
      <c r="GSG56"/>
      <c r="GSH56"/>
      <c r="GSI56"/>
      <c r="GSJ56"/>
      <c r="GSK56"/>
      <c r="GSL56"/>
      <c r="GSM56"/>
      <c r="GSN56"/>
      <c r="GSO56"/>
      <c r="GSP56"/>
      <c r="GSQ56"/>
      <c r="GSR56"/>
      <c r="GSS56"/>
      <c r="GST56"/>
      <c r="GSU56"/>
      <c r="GSV56"/>
      <c r="GSW56"/>
      <c r="GSX56"/>
      <c r="GSY56"/>
      <c r="GSZ56"/>
      <c r="GTA56"/>
      <c r="GTB56"/>
      <c r="GTC56"/>
      <c r="GTD56"/>
      <c r="GTE56"/>
      <c r="GTF56"/>
      <c r="GTG56"/>
      <c r="GTH56"/>
      <c r="GTI56"/>
      <c r="GTJ56"/>
      <c r="GTK56"/>
      <c r="GTL56"/>
      <c r="GTM56"/>
      <c r="GTN56"/>
      <c r="GTO56"/>
      <c r="GTP56"/>
      <c r="GTQ56"/>
      <c r="GTR56"/>
      <c r="GTS56"/>
      <c r="GTT56"/>
      <c r="GTU56"/>
      <c r="GTV56"/>
      <c r="GTW56"/>
      <c r="GTX56"/>
      <c r="GTY56"/>
      <c r="GTZ56"/>
      <c r="GUA56"/>
      <c r="GUB56"/>
      <c r="GUC56"/>
      <c r="GUD56"/>
      <c r="GUE56"/>
      <c r="GUF56"/>
      <c r="GUG56"/>
      <c r="GUH56"/>
      <c r="GUI56"/>
      <c r="GUJ56"/>
      <c r="GUK56"/>
      <c r="GUL56"/>
      <c r="GUM56"/>
      <c r="GUN56"/>
      <c r="GUO56"/>
      <c r="GUP56"/>
      <c r="GUQ56"/>
      <c r="GUR56"/>
      <c r="GUS56"/>
      <c r="GUT56"/>
      <c r="GUU56"/>
      <c r="GUV56"/>
      <c r="GUW56"/>
      <c r="GUX56"/>
      <c r="GUY56"/>
      <c r="GUZ56"/>
      <c r="GVA56"/>
      <c r="GVB56"/>
      <c r="GVC56"/>
      <c r="GVD56"/>
      <c r="GVE56"/>
      <c r="GVF56"/>
      <c r="GVG56"/>
      <c r="GVH56"/>
      <c r="GVI56"/>
      <c r="GVJ56"/>
      <c r="GVK56"/>
      <c r="GVL56"/>
      <c r="GVM56"/>
      <c r="GVN56"/>
      <c r="GVO56"/>
      <c r="GVP56"/>
      <c r="GVQ56"/>
      <c r="GVR56"/>
      <c r="GVS56"/>
      <c r="GVT56"/>
      <c r="GVU56"/>
      <c r="GVV56"/>
      <c r="GVW56"/>
      <c r="GVX56"/>
      <c r="GVY56"/>
      <c r="GVZ56"/>
      <c r="GWA56"/>
      <c r="GWB56"/>
      <c r="GWC56"/>
      <c r="GWD56"/>
      <c r="GWE56"/>
      <c r="GWF56"/>
      <c r="GWG56"/>
      <c r="GWH56"/>
      <c r="GWI56"/>
      <c r="GWJ56"/>
      <c r="GWK56"/>
      <c r="GWL56"/>
      <c r="GWM56"/>
      <c r="GWN56"/>
      <c r="GWO56"/>
      <c r="GWP56"/>
      <c r="GWQ56"/>
      <c r="GWR56"/>
      <c r="GWS56"/>
      <c r="GWT56"/>
      <c r="GWU56"/>
      <c r="GWV56"/>
      <c r="GWW56"/>
      <c r="GWX56"/>
      <c r="GWY56"/>
      <c r="GWZ56"/>
      <c r="GXA56"/>
      <c r="GXB56"/>
      <c r="GXC56"/>
      <c r="GXD56"/>
      <c r="GXE56"/>
      <c r="GXF56"/>
      <c r="GXG56"/>
      <c r="GXH56"/>
      <c r="GXI56"/>
      <c r="GXJ56"/>
      <c r="GXK56"/>
      <c r="GXL56"/>
      <c r="GXM56"/>
      <c r="GXN56"/>
      <c r="GXO56"/>
      <c r="GXP56"/>
      <c r="GXQ56"/>
      <c r="GXR56"/>
      <c r="GXS56"/>
      <c r="GXT56"/>
      <c r="GXU56"/>
      <c r="GXV56"/>
      <c r="GXW56"/>
      <c r="GXX56"/>
      <c r="GXY56"/>
      <c r="GXZ56"/>
      <c r="GYA56"/>
      <c r="GYB56"/>
      <c r="GYC56"/>
      <c r="GYD56"/>
      <c r="GYE56"/>
      <c r="GYF56"/>
      <c r="GYG56"/>
      <c r="GYH56"/>
      <c r="GYI56"/>
      <c r="GYJ56"/>
      <c r="GYK56"/>
      <c r="GYL56"/>
      <c r="GYM56"/>
      <c r="GYN56"/>
      <c r="GYO56"/>
      <c r="GYP56"/>
      <c r="GYQ56"/>
      <c r="GYR56"/>
      <c r="GYS56"/>
      <c r="GYT56"/>
      <c r="GYU56"/>
      <c r="GYV56"/>
      <c r="GYW56"/>
      <c r="GYX56"/>
      <c r="GYY56"/>
      <c r="GYZ56"/>
      <c r="GZA56"/>
      <c r="GZB56"/>
      <c r="GZC56"/>
      <c r="GZD56"/>
      <c r="GZE56"/>
      <c r="GZF56"/>
      <c r="GZG56"/>
      <c r="GZH56"/>
      <c r="GZI56"/>
      <c r="GZJ56"/>
      <c r="GZK56"/>
      <c r="GZL56"/>
      <c r="GZM56"/>
      <c r="GZN56"/>
      <c r="GZO56"/>
      <c r="GZP56"/>
      <c r="GZQ56"/>
      <c r="GZR56"/>
      <c r="GZS56"/>
      <c r="GZT56"/>
      <c r="GZU56"/>
      <c r="GZV56"/>
      <c r="GZW56"/>
      <c r="GZX56"/>
      <c r="GZY56"/>
      <c r="GZZ56"/>
      <c r="HAA56"/>
      <c r="HAB56"/>
      <c r="HAC56"/>
      <c r="HAD56"/>
      <c r="HAE56"/>
      <c r="HAF56"/>
      <c r="HAG56"/>
      <c r="HAH56"/>
      <c r="HAI56"/>
      <c r="HAJ56"/>
      <c r="HAK56"/>
      <c r="HAL56"/>
      <c r="HAM56"/>
      <c r="HAN56"/>
      <c r="HAO56"/>
      <c r="HAP56"/>
      <c r="HAQ56"/>
      <c r="HAR56"/>
      <c r="HAS56"/>
      <c r="HAT56"/>
      <c r="HAU56"/>
      <c r="HAV56"/>
      <c r="HAW56"/>
      <c r="HAX56"/>
      <c r="HAY56"/>
      <c r="HAZ56"/>
      <c r="HBA56"/>
      <c r="HBB56"/>
      <c r="HBC56"/>
      <c r="HBD56"/>
      <c r="HBE56"/>
      <c r="HBF56"/>
      <c r="HBG56"/>
      <c r="HBH56"/>
      <c r="HBI56"/>
      <c r="HBJ56"/>
      <c r="HBK56"/>
      <c r="HBL56"/>
      <c r="HBM56"/>
      <c r="HBN56"/>
      <c r="HBO56"/>
      <c r="HBP56"/>
      <c r="HBQ56"/>
      <c r="HBR56"/>
      <c r="HBS56"/>
      <c r="HBT56"/>
      <c r="HBU56"/>
      <c r="HBV56"/>
      <c r="HBW56"/>
      <c r="HBX56"/>
      <c r="HBY56"/>
      <c r="HBZ56"/>
      <c r="HCA56"/>
      <c r="HCB56"/>
      <c r="HCC56"/>
      <c r="HCD56"/>
      <c r="HCE56"/>
      <c r="HCF56"/>
      <c r="HCG56"/>
      <c r="HCH56"/>
      <c r="HCI56"/>
      <c r="HCJ56"/>
      <c r="HCK56"/>
      <c r="HCL56"/>
      <c r="HCM56"/>
      <c r="HCN56"/>
      <c r="HCO56"/>
      <c r="HCP56"/>
      <c r="HCQ56"/>
      <c r="HCR56"/>
      <c r="HCS56"/>
      <c r="HCT56"/>
      <c r="HCU56"/>
      <c r="HCV56"/>
      <c r="HCW56"/>
      <c r="HCX56"/>
      <c r="HCY56"/>
      <c r="HCZ56"/>
      <c r="HDA56"/>
      <c r="HDB56"/>
      <c r="HDC56"/>
      <c r="HDD56"/>
      <c r="HDE56"/>
      <c r="HDF56"/>
      <c r="HDG56"/>
      <c r="HDH56"/>
      <c r="HDI56"/>
      <c r="HDJ56"/>
      <c r="HDK56"/>
      <c r="HDL56"/>
      <c r="HDM56"/>
      <c r="HDN56"/>
      <c r="HDO56"/>
      <c r="HDP56"/>
      <c r="HDQ56"/>
      <c r="HDR56"/>
      <c r="HDS56"/>
      <c r="HDT56"/>
      <c r="HDU56"/>
      <c r="HDV56"/>
      <c r="HDW56"/>
      <c r="HDX56"/>
      <c r="HDY56"/>
      <c r="HDZ56"/>
      <c r="HEA56"/>
      <c r="HEB56"/>
      <c r="HEC56"/>
      <c r="HED56"/>
      <c r="HEE56"/>
      <c r="HEF56"/>
      <c r="HEG56"/>
      <c r="HEH56"/>
      <c r="HEI56"/>
      <c r="HEJ56"/>
      <c r="HEK56"/>
      <c r="HEL56"/>
      <c r="HEM56"/>
      <c r="HEN56"/>
      <c r="HEO56"/>
      <c r="HEP56"/>
      <c r="HEQ56"/>
      <c r="HER56"/>
      <c r="HES56"/>
      <c r="HET56"/>
      <c r="HEU56"/>
      <c r="HEV56"/>
      <c r="HEW56"/>
      <c r="HEX56"/>
      <c r="HEY56"/>
      <c r="HEZ56"/>
      <c r="HFA56"/>
      <c r="HFB56"/>
      <c r="HFC56"/>
      <c r="HFD56"/>
      <c r="HFE56"/>
      <c r="HFF56"/>
      <c r="HFG56"/>
      <c r="HFH56"/>
      <c r="HFI56"/>
      <c r="HFJ56"/>
      <c r="HFK56"/>
      <c r="HFL56"/>
      <c r="HFM56"/>
      <c r="HFN56"/>
      <c r="HFO56"/>
      <c r="HFP56"/>
      <c r="HFQ56"/>
      <c r="HFR56"/>
      <c r="HFS56"/>
      <c r="HFT56"/>
      <c r="HFU56"/>
      <c r="HFV56"/>
      <c r="HFW56"/>
      <c r="HFX56"/>
      <c r="HFY56"/>
      <c r="HFZ56"/>
      <c r="HGA56"/>
      <c r="HGB56"/>
      <c r="HGC56"/>
      <c r="HGD56"/>
      <c r="HGE56"/>
      <c r="HGF56"/>
      <c r="HGG56"/>
      <c r="HGH56"/>
      <c r="HGI56"/>
      <c r="HGJ56"/>
      <c r="HGK56"/>
      <c r="HGL56"/>
      <c r="HGM56"/>
      <c r="HGN56"/>
      <c r="HGO56"/>
      <c r="HGP56"/>
      <c r="HGQ56"/>
      <c r="HGR56"/>
      <c r="HGS56"/>
      <c r="HGT56"/>
      <c r="HGU56"/>
      <c r="HGV56"/>
      <c r="HGW56"/>
      <c r="HGX56"/>
      <c r="HGY56"/>
      <c r="HGZ56"/>
      <c r="HHA56"/>
      <c r="HHB56"/>
      <c r="HHC56"/>
      <c r="HHD56"/>
      <c r="HHE56"/>
      <c r="HHF56"/>
      <c r="HHG56"/>
      <c r="HHH56"/>
      <c r="HHI56"/>
      <c r="HHJ56"/>
      <c r="HHK56"/>
      <c r="HHL56"/>
      <c r="HHM56"/>
      <c r="HHN56"/>
      <c r="HHO56"/>
      <c r="HHP56"/>
      <c r="HHQ56"/>
      <c r="HHR56"/>
      <c r="HHS56"/>
      <c r="HHT56"/>
      <c r="HHU56"/>
      <c r="HHV56"/>
      <c r="HHW56"/>
      <c r="HHX56"/>
      <c r="HHY56"/>
      <c r="HHZ56"/>
      <c r="HIA56"/>
      <c r="HIB56"/>
      <c r="HIC56"/>
      <c r="HID56"/>
      <c r="HIE56"/>
      <c r="HIF56"/>
      <c r="HIG56"/>
      <c r="HIH56"/>
      <c r="HII56"/>
      <c r="HIJ56"/>
      <c r="HIK56"/>
      <c r="HIL56"/>
      <c r="HIM56"/>
      <c r="HIN56"/>
      <c r="HIO56"/>
      <c r="HIP56"/>
      <c r="HIQ56"/>
      <c r="HIR56"/>
      <c r="HIS56"/>
      <c r="HIT56"/>
      <c r="HIU56"/>
      <c r="HIV56"/>
      <c r="HIW56"/>
      <c r="HIX56"/>
      <c r="HIY56"/>
      <c r="HIZ56"/>
      <c r="HJA56"/>
      <c r="HJB56"/>
      <c r="HJC56"/>
      <c r="HJD56"/>
      <c r="HJE56"/>
      <c r="HJF56"/>
      <c r="HJG56"/>
      <c r="HJH56"/>
      <c r="HJI56"/>
      <c r="HJJ56"/>
      <c r="HJK56"/>
      <c r="HJL56"/>
      <c r="HJM56"/>
      <c r="HJN56"/>
      <c r="HJO56"/>
      <c r="HJP56"/>
      <c r="HJQ56"/>
      <c r="HJR56"/>
      <c r="HJS56"/>
      <c r="HJT56"/>
      <c r="HJU56"/>
      <c r="HJV56"/>
      <c r="HJW56"/>
      <c r="HJX56"/>
      <c r="HJY56"/>
      <c r="HJZ56"/>
      <c r="HKA56"/>
      <c r="HKB56"/>
      <c r="HKC56"/>
      <c r="HKD56"/>
      <c r="HKE56"/>
      <c r="HKF56"/>
      <c r="HKG56"/>
      <c r="HKH56"/>
      <c r="HKI56"/>
      <c r="HKJ56"/>
      <c r="HKK56"/>
      <c r="HKL56"/>
      <c r="HKM56"/>
      <c r="HKN56"/>
      <c r="HKO56"/>
      <c r="HKP56"/>
      <c r="HKQ56"/>
      <c r="HKR56"/>
      <c r="HKS56"/>
      <c r="HKT56"/>
      <c r="HKU56"/>
      <c r="HKV56"/>
      <c r="HKW56"/>
      <c r="HKX56"/>
      <c r="HKY56"/>
      <c r="HKZ56"/>
      <c r="HLA56"/>
      <c r="HLB56"/>
      <c r="HLC56"/>
      <c r="HLD56"/>
      <c r="HLE56"/>
      <c r="HLF56"/>
      <c r="HLG56"/>
      <c r="HLH56"/>
      <c r="HLI56"/>
      <c r="HLJ56"/>
      <c r="HLK56"/>
      <c r="HLL56"/>
      <c r="HLM56"/>
      <c r="HLN56"/>
      <c r="HLO56"/>
      <c r="HLP56"/>
      <c r="HLQ56"/>
      <c r="HLR56"/>
      <c r="HLS56"/>
      <c r="HLT56"/>
      <c r="HLU56"/>
      <c r="HLV56"/>
      <c r="HLW56"/>
      <c r="HLX56"/>
      <c r="HLY56"/>
      <c r="HLZ56"/>
      <c r="HMA56"/>
      <c r="HMB56"/>
      <c r="HMC56"/>
      <c r="HMD56"/>
      <c r="HME56"/>
      <c r="HMF56"/>
      <c r="HMG56"/>
      <c r="HMH56"/>
      <c r="HMI56"/>
      <c r="HMJ56"/>
      <c r="HMK56"/>
      <c r="HML56"/>
      <c r="HMM56"/>
      <c r="HMN56"/>
      <c r="HMO56"/>
      <c r="HMP56"/>
      <c r="HMQ56"/>
      <c r="HMR56"/>
      <c r="HMS56"/>
      <c r="HMT56"/>
      <c r="HMU56"/>
      <c r="HMV56"/>
      <c r="HMW56"/>
      <c r="HMX56"/>
      <c r="HMY56"/>
      <c r="HMZ56"/>
      <c r="HNA56"/>
      <c r="HNB56"/>
      <c r="HNC56"/>
      <c r="HND56"/>
      <c r="HNE56"/>
      <c r="HNF56"/>
      <c r="HNG56"/>
      <c r="HNH56"/>
      <c r="HNI56"/>
      <c r="HNJ56"/>
      <c r="HNK56"/>
      <c r="HNL56"/>
      <c r="HNM56"/>
      <c r="HNN56"/>
      <c r="HNO56"/>
      <c r="HNP56"/>
      <c r="HNQ56"/>
      <c r="HNR56"/>
      <c r="HNS56"/>
      <c r="HNT56"/>
      <c r="HNU56"/>
      <c r="HNV56"/>
      <c r="HNW56"/>
      <c r="HNX56"/>
      <c r="HNY56"/>
      <c r="HNZ56"/>
      <c r="HOA56"/>
      <c r="HOB56"/>
      <c r="HOC56"/>
      <c r="HOD56"/>
      <c r="HOE56"/>
      <c r="HOF56"/>
      <c r="HOG56"/>
      <c r="HOH56"/>
      <c r="HOI56"/>
      <c r="HOJ56"/>
      <c r="HOK56"/>
      <c r="HOL56"/>
      <c r="HOM56"/>
      <c r="HON56"/>
      <c r="HOO56"/>
      <c r="HOP56"/>
      <c r="HOQ56"/>
      <c r="HOR56"/>
      <c r="HOS56"/>
      <c r="HOT56"/>
      <c r="HOU56"/>
      <c r="HOV56"/>
      <c r="HOW56"/>
      <c r="HOX56"/>
      <c r="HOY56"/>
      <c r="HOZ56"/>
      <c r="HPA56"/>
      <c r="HPB56"/>
      <c r="HPC56"/>
      <c r="HPD56"/>
      <c r="HPE56"/>
      <c r="HPF56"/>
      <c r="HPG56"/>
      <c r="HPH56"/>
      <c r="HPI56"/>
      <c r="HPJ56"/>
      <c r="HPK56"/>
      <c r="HPL56"/>
      <c r="HPM56"/>
      <c r="HPN56"/>
      <c r="HPO56"/>
      <c r="HPP56"/>
      <c r="HPQ56"/>
      <c r="HPR56"/>
      <c r="HPS56"/>
      <c r="HPT56"/>
      <c r="HPU56"/>
      <c r="HPV56"/>
      <c r="HPW56"/>
      <c r="HPX56"/>
      <c r="HPY56"/>
      <c r="HPZ56"/>
      <c r="HQA56"/>
      <c r="HQB56"/>
      <c r="HQC56"/>
      <c r="HQD56"/>
      <c r="HQE56"/>
      <c r="HQF56"/>
      <c r="HQG56"/>
      <c r="HQH56"/>
      <c r="HQI56"/>
      <c r="HQJ56"/>
      <c r="HQK56"/>
      <c r="HQL56"/>
      <c r="HQM56"/>
      <c r="HQN56"/>
      <c r="HQO56"/>
      <c r="HQP56"/>
      <c r="HQQ56"/>
      <c r="HQR56"/>
      <c r="HQS56"/>
      <c r="HQT56"/>
      <c r="HQU56"/>
      <c r="HQV56"/>
      <c r="HQW56"/>
      <c r="HQX56"/>
      <c r="HQY56"/>
      <c r="HQZ56"/>
      <c r="HRA56"/>
      <c r="HRB56"/>
      <c r="HRC56"/>
      <c r="HRD56"/>
      <c r="HRE56"/>
      <c r="HRF56"/>
      <c r="HRG56"/>
      <c r="HRH56"/>
      <c r="HRI56"/>
      <c r="HRJ56"/>
      <c r="HRK56"/>
      <c r="HRL56"/>
      <c r="HRM56"/>
      <c r="HRN56"/>
      <c r="HRO56"/>
      <c r="HRP56"/>
      <c r="HRQ56"/>
      <c r="HRR56"/>
      <c r="HRS56"/>
      <c r="HRT56"/>
      <c r="HRU56"/>
      <c r="HRV56"/>
      <c r="HRW56"/>
      <c r="HRX56"/>
      <c r="HRY56"/>
      <c r="HRZ56"/>
      <c r="HSA56"/>
      <c r="HSB56"/>
      <c r="HSC56"/>
      <c r="HSD56"/>
      <c r="HSE56"/>
      <c r="HSF56"/>
      <c r="HSG56"/>
      <c r="HSH56"/>
      <c r="HSI56"/>
      <c r="HSJ56"/>
      <c r="HSK56"/>
      <c r="HSL56"/>
      <c r="HSM56"/>
      <c r="HSN56"/>
      <c r="HSO56"/>
      <c r="HSP56"/>
      <c r="HSQ56"/>
      <c r="HSR56"/>
      <c r="HSS56"/>
      <c r="HST56"/>
      <c r="HSU56"/>
      <c r="HSV56"/>
      <c r="HSW56"/>
      <c r="HSX56"/>
      <c r="HSY56"/>
      <c r="HSZ56"/>
      <c r="HTA56"/>
      <c r="HTB56"/>
      <c r="HTC56"/>
      <c r="HTD56"/>
      <c r="HTE56"/>
      <c r="HTF56"/>
      <c r="HTG56"/>
      <c r="HTH56"/>
      <c r="HTI56"/>
      <c r="HTJ56"/>
      <c r="HTK56"/>
      <c r="HTL56"/>
      <c r="HTM56"/>
      <c r="HTN56"/>
      <c r="HTO56"/>
      <c r="HTP56"/>
      <c r="HTQ56"/>
      <c r="HTR56"/>
      <c r="HTS56"/>
      <c r="HTT56"/>
      <c r="HTU56"/>
      <c r="HTV56"/>
      <c r="HTW56"/>
      <c r="HTX56"/>
      <c r="HTY56"/>
      <c r="HTZ56"/>
      <c r="HUA56"/>
      <c r="HUB56"/>
      <c r="HUC56"/>
      <c r="HUD56"/>
      <c r="HUE56"/>
      <c r="HUF56"/>
      <c r="HUG56"/>
      <c r="HUH56"/>
      <c r="HUI56"/>
      <c r="HUJ56"/>
      <c r="HUK56"/>
      <c r="HUL56"/>
      <c r="HUM56"/>
      <c r="HUN56"/>
      <c r="HUO56"/>
      <c r="HUP56"/>
      <c r="HUQ56"/>
      <c r="HUR56"/>
      <c r="HUS56"/>
      <c r="HUT56"/>
      <c r="HUU56"/>
      <c r="HUV56"/>
      <c r="HUW56"/>
      <c r="HUX56"/>
      <c r="HUY56"/>
      <c r="HUZ56"/>
      <c r="HVA56"/>
      <c r="HVB56"/>
      <c r="HVC56"/>
      <c r="HVD56"/>
      <c r="HVE56"/>
      <c r="HVF56"/>
      <c r="HVG56"/>
      <c r="HVH56"/>
      <c r="HVI56"/>
      <c r="HVJ56"/>
      <c r="HVK56"/>
      <c r="HVL56"/>
      <c r="HVM56"/>
      <c r="HVN56"/>
      <c r="HVO56"/>
      <c r="HVP56"/>
      <c r="HVQ56"/>
      <c r="HVR56"/>
      <c r="HVS56"/>
      <c r="HVT56"/>
      <c r="HVU56"/>
      <c r="HVV56"/>
      <c r="HVW56"/>
      <c r="HVX56"/>
      <c r="HVY56"/>
      <c r="HVZ56"/>
      <c r="HWA56"/>
      <c r="HWB56"/>
      <c r="HWC56"/>
      <c r="HWD56"/>
      <c r="HWE56"/>
      <c r="HWF56"/>
      <c r="HWG56"/>
      <c r="HWH56"/>
      <c r="HWI56"/>
      <c r="HWJ56"/>
      <c r="HWK56"/>
      <c r="HWL56"/>
      <c r="HWM56"/>
      <c r="HWN56"/>
      <c r="HWO56"/>
      <c r="HWP56"/>
      <c r="HWQ56"/>
      <c r="HWR56"/>
      <c r="HWS56"/>
      <c r="HWT56"/>
      <c r="HWU56"/>
      <c r="HWV56"/>
      <c r="HWW56"/>
      <c r="HWX56"/>
      <c r="HWY56"/>
      <c r="HWZ56"/>
      <c r="HXA56"/>
      <c r="HXB56"/>
      <c r="HXC56"/>
      <c r="HXD56"/>
      <c r="HXE56"/>
      <c r="HXF56"/>
      <c r="HXG56"/>
      <c r="HXH56"/>
      <c r="HXI56"/>
      <c r="HXJ56"/>
      <c r="HXK56"/>
      <c r="HXL56"/>
      <c r="HXM56"/>
      <c r="HXN56"/>
      <c r="HXO56"/>
      <c r="HXP56"/>
      <c r="HXQ56"/>
      <c r="HXR56"/>
      <c r="HXS56"/>
      <c r="HXT56"/>
      <c r="HXU56"/>
      <c r="HXV56"/>
      <c r="HXW56"/>
      <c r="HXX56"/>
      <c r="HXY56"/>
      <c r="HXZ56"/>
      <c r="HYA56"/>
      <c r="HYB56"/>
      <c r="HYC56"/>
      <c r="HYD56"/>
      <c r="HYE56"/>
      <c r="HYF56"/>
      <c r="HYG56"/>
      <c r="HYH56"/>
      <c r="HYI56"/>
      <c r="HYJ56"/>
      <c r="HYK56"/>
      <c r="HYL56"/>
      <c r="HYM56"/>
      <c r="HYN56"/>
      <c r="HYO56"/>
      <c r="HYP56"/>
      <c r="HYQ56"/>
      <c r="HYR56"/>
      <c r="HYS56"/>
      <c r="HYT56"/>
      <c r="HYU56"/>
      <c r="HYV56"/>
      <c r="HYW56"/>
      <c r="HYX56"/>
      <c r="HYY56"/>
      <c r="HYZ56"/>
      <c r="HZA56"/>
      <c r="HZB56"/>
      <c r="HZC56"/>
      <c r="HZD56"/>
      <c r="HZE56"/>
      <c r="HZF56"/>
      <c r="HZG56"/>
      <c r="HZH56"/>
      <c r="HZI56"/>
      <c r="HZJ56"/>
      <c r="HZK56"/>
      <c r="HZL56"/>
      <c r="HZM56"/>
      <c r="HZN56"/>
      <c r="HZO56"/>
      <c r="HZP56"/>
      <c r="HZQ56"/>
      <c r="HZR56"/>
      <c r="HZS56"/>
      <c r="HZT56"/>
      <c r="HZU56"/>
      <c r="HZV56"/>
      <c r="HZW56"/>
      <c r="HZX56"/>
      <c r="HZY56"/>
      <c r="HZZ56"/>
      <c r="IAA56"/>
      <c r="IAB56"/>
      <c r="IAC56"/>
      <c r="IAD56"/>
      <c r="IAE56"/>
      <c r="IAF56"/>
      <c r="IAG56"/>
      <c r="IAH56"/>
      <c r="IAI56"/>
      <c r="IAJ56"/>
      <c r="IAK56"/>
      <c r="IAL56"/>
      <c r="IAM56"/>
      <c r="IAN56"/>
      <c r="IAO56"/>
      <c r="IAP56"/>
      <c r="IAQ56"/>
      <c r="IAR56"/>
      <c r="IAS56"/>
      <c r="IAT56"/>
      <c r="IAU56"/>
      <c r="IAV56"/>
      <c r="IAW56"/>
      <c r="IAX56"/>
      <c r="IAY56"/>
      <c r="IAZ56"/>
      <c r="IBA56"/>
      <c r="IBB56"/>
      <c r="IBC56"/>
      <c r="IBD56"/>
      <c r="IBE56"/>
      <c r="IBF56"/>
      <c r="IBG56"/>
      <c r="IBH56"/>
      <c r="IBI56"/>
      <c r="IBJ56"/>
      <c r="IBK56"/>
      <c r="IBL56"/>
      <c r="IBM56"/>
      <c r="IBN56"/>
      <c r="IBO56"/>
      <c r="IBP56"/>
      <c r="IBQ56"/>
      <c r="IBR56"/>
      <c r="IBS56"/>
      <c r="IBT56"/>
      <c r="IBU56"/>
      <c r="IBV56"/>
      <c r="IBW56"/>
      <c r="IBX56"/>
      <c r="IBY56"/>
      <c r="IBZ56"/>
      <c r="ICA56"/>
      <c r="ICB56"/>
      <c r="ICC56"/>
      <c r="ICD56"/>
      <c r="ICE56"/>
      <c r="ICF56"/>
      <c r="ICG56"/>
      <c r="ICH56"/>
      <c r="ICI56"/>
      <c r="ICJ56"/>
      <c r="ICK56"/>
      <c r="ICL56"/>
      <c r="ICM56"/>
      <c r="ICN56"/>
      <c r="ICO56"/>
      <c r="ICP56"/>
      <c r="ICQ56"/>
      <c r="ICR56"/>
      <c r="ICS56"/>
      <c r="ICT56"/>
      <c r="ICU56"/>
      <c r="ICV56"/>
      <c r="ICW56"/>
      <c r="ICX56"/>
      <c r="ICY56"/>
      <c r="ICZ56"/>
      <c r="IDA56"/>
      <c r="IDB56"/>
      <c r="IDC56"/>
      <c r="IDD56"/>
      <c r="IDE56"/>
      <c r="IDF56"/>
      <c r="IDG56"/>
      <c r="IDH56"/>
      <c r="IDI56"/>
      <c r="IDJ56"/>
      <c r="IDK56"/>
      <c r="IDL56"/>
      <c r="IDM56"/>
      <c r="IDN56"/>
      <c r="IDO56"/>
      <c r="IDP56"/>
      <c r="IDQ56"/>
      <c r="IDR56"/>
      <c r="IDS56"/>
      <c r="IDT56"/>
      <c r="IDU56"/>
      <c r="IDV56"/>
      <c r="IDW56"/>
      <c r="IDX56"/>
      <c r="IDY56"/>
      <c r="IDZ56"/>
      <c r="IEA56"/>
      <c r="IEB56"/>
      <c r="IEC56"/>
      <c r="IED56"/>
      <c r="IEE56"/>
      <c r="IEF56"/>
      <c r="IEG56"/>
      <c r="IEH56"/>
      <c r="IEI56"/>
      <c r="IEJ56"/>
      <c r="IEK56"/>
      <c r="IEL56"/>
      <c r="IEM56"/>
      <c r="IEN56"/>
      <c r="IEO56"/>
      <c r="IEP56"/>
      <c r="IEQ56"/>
      <c r="IER56"/>
      <c r="IES56"/>
      <c r="IET56"/>
      <c r="IEU56"/>
      <c r="IEV56"/>
      <c r="IEW56"/>
      <c r="IEX56"/>
      <c r="IEY56"/>
      <c r="IEZ56"/>
      <c r="IFA56"/>
      <c r="IFB56"/>
      <c r="IFC56"/>
      <c r="IFD56"/>
      <c r="IFE56"/>
      <c r="IFF56"/>
      <c r="IFG56"/>
      <c r="IFH56"/>
      <c r="IFI56"/>
      <c r="IFJ56"/>
      <c r="IFK56"/>
      <c r="IFL56"/>
      <c r="IFM56"/>
      <c r="IFN56"/>
      <c r="IFO56"/>
      <c r="IFP56"/>
      <c r="IFQ56"/>
      <c r="IFR56"/>
      <c r="IFS56"/>
      <c r="IFT56"/>
      <c r="IFU56"/>
      <c r="IFV56"/>
      <c r="IFW56"/>
      <c r="IFX56"/>
      <c r="IFY56"/>
      <c r="IFZ56"/>
      <c r="IGA56"/>
      <c r="IGB56"/>
      <c r="IGC56"/>
      <c r="IGD56"/>
      <c r="IGE56"/>
      <c r="IGF56"/>
      <c r="IGG56"/>
      <c r="IGH56"/>
      <c r="IGI56"/>
      <c r="IGJ56"/>
      <c r="IGK56"/>
      <c r="IGL56"/>
      <c r="IGM56"/>
      <c r="IGN56"/>
      <c r="IGO56"/>
      <c r="IGP56"/>
      <c r="IGQ56"/>
      <c r="IGR56"/>
      <c r="IGS56"/>
      <c r="IGT56"/>
      <c r="IGU56"/>
      <c r="IGV56"/>
      <c r="IGW56"/>
      <c r="IGX56"/>
      <c r="IGY56"/>
      <c r="IGZ56"/>
      <c r="IHA56"/>
      <c r="IHB56"/>
      <c r="IHC56"/>
      <c r="IHD56"/>
      <c r="IHE56"/>
      <c r="IHF56"/>
      <c r="IHG56"/>
      <c r="IHH56"/>
      <c r="IHI56"/>
      <c r="IHJ56"/>
      <c r="IHK56"/>
      <c r="IHL56"/>
      <c r="IHM56"/>
      <c r="IHN56"/>
      <c r="IHO56"/>
      <c r="IHP56"/>
      <c r="IHQ56"/>
      <c r="IHR56"/>
      <c r="IHS56"/>
      <c r="IHT56"/>
      <c r="IHU56"/>
      <c r="IHV56"/>
      <c r="IHW56"/>
      <c r="IHX56"/>
      <c r="IHY56"/>
      <c r="IHZ56"/>
      <c r="IIA56"/>
      <c r="IIB56"/>
      <c r="IIC56"/>
      <c r="IID56"/>
      <c r="IIE56"/>
      <c r="IIF56"/>
      <c r="IIG56"/>
      <c r="IIH56"/>
      <c r="III56"/>
      <c r="IIJ56"/>
      <c r="IIK56"/>
      <c r="IIL56"/>
      <c r="IIM56"/>
      <c r="IIN56"/>
      <c r="IIO56"/>
      <c r="IIP56"/>
      <c r="IIQ56"/>
      <c r="IIR56"/>
      <c r="IIS56"/>
      <c r="IIT56"/>
      <c r="IIU56"/>
      <c r="IIV56"/>
      <c r="IIW56"/>
      <c r="IIX56"/>
      <c r="IIY56"/>
      <c r="IIZ56"/>
      <c r="IJA56"/>
      <c r="IJB56"/>
      <c r="IJC56"/>
      <c r="IJD56"/>
      <c r="IJE56"/>
      <c r="IJF56"/>
      <c r="IJG56"/>
      <c r="IJH56"/>
      <c r="IJI56"/>
      <c r="IJJ56"/>
      <c r="IJK56"/>
      <c r="IJL56"/>
      <c r="IJM56"/>
      <c r="IJN56"/>
      <c r="IJO56"/>
      <c r="IJP56"/>
      <c r="IJQ56"/>
      <c r="IJR56"/>
      <c r="IJS56"/>
      <c r="IJT56"/>
      <c r="IJU56"/>
      <c r="IJV56"/>
      <c r="IJW56"/>
      <c r="IJX56"/>
      <c r="IJY56"/>
      <c r="IJZ56"/>
      <c r="IKA56"/>
      <c r="IKB56"/>
      <c r="IKC56"/>
      <c r="IKD56"/>
      <c r="IKE56"/>
      <c r="IKF56"/>
      <c r="IKG56"/>
      <c r="IKH56"/>
      <c r="IKI56"/>
      <c r="IKJ56"/>
      <c r="IKK56"/>
      <c r="IKL56"/>
      <c r="IKM56"/>
      <c r="IKN56"/>
      <c r="IKO56"/>
      <c r="IKP56"/>
      <c r="IKQ56"/>
      <c r="IKR56"/>
      <c r="IKS56"/>
      <c r="IKT56"/>
      <c r="IKU56"/>
      <c r="IKV56"/>
      <c r="IKW56"/>
      <c r="IKX56"/>
      <c r="IKY56"/>
      <c r="IKZ56"/>
      <c r="ILA56"/>
      <c r="ILB56"/>
      <c r="ILC56"/>
      <c r="ILD56"/>
      <c r="ILE56"/>
      <c r="ILF56"/>
      <c r="ILG56"/>
      <c r="ILH56"/>
      <c r="ILI56"/>
      <c r="ILJ56"/>
      <c r="ILK56"/>
      <c r="ILL56"/>
      <c r="ILM56"/>
      <c r="ILN56"/>
      <c r="ILO56"/>
      <c r="ILP56"/>
      <c r="ILQ56"/>
      <c r="ILR56"/>
      <c r="ILS56"/>
      <c r="ILT56"/>
      <c r="ILU56"/>
      <c r="ILV56"/>
      <c r="ILW56"/>
      <c r="ILX56"/>
      <c r="ILY56"/>
      <c r="ILZ56"/>
      <c r="IMA56"/>
      <c r="IMB56"/>
      <c r="IMC56"/>
      <c r="IMD56"/>
      <c r="IME56"/>
      <c r="IMF56"/>
      <c r="IMG56"/>
      <c r="IMH56"/>
      <c r="IMI56"/>
      <c r="IMJ56"/>
      <c r="IMK56"/>
      <c r="IML56"/>
      <c r="IMM56"/>
      <c r="IMN56"/>
      <c r="IMO56"/>
      <c r="IMP56"/>
      <c r="IMQ56"/>
      <c r="IMR56"/>
      <c r="IMS56"/>
      <c r="IMT56"/>
      <c r="IMU56"/>
      <c r="IMV56"/>
      <c r="IMW56"/>
      <c r="IMX56"/>
      <c r="IMY56"/>
      <c r="IMZ56"/>
      <c r="INA56"/>
      <c r="INB56"/>
      <c r="INC56"/>
      <c r="IND56"/>
      <c r="INE56"/>
      <c r="INF56"/>
      <c r="ING56"/>
      <c r="INH56"/>
      <c r="INI56"/>
      <c r="INJ56"/>
      <c r="INK56"/>
      <c r="INL56"/>
      <c r="INM56"/>
      <c r="INN56"/>
      <c r="INO56"/>
      <c r="INP56"/>
      <c r="INQ56"/>
      <c r="INR56"/>
      <c r="INS56"/>
      <c r="INT56"/>
      <c r="INU56"/>
      <c r="INV56"/>
      <c r="INW56"/>
      <c r="INX56"/>
      <c r="INY56"/>
      <c r="INZ56"/>
      <c r="IOA56"/>
      <c r="IOB56"/>
      <c r="IOC56"/>
      <c r="IOD56"/>
      <c r="IOE56"/>
      <c r="IOF56"/>
      <c r="IOG56"/>
      <c r="IOH56"/>
      <c r="IOI56"/>
      <c r="IOJ56"/>
      <c r="IOK56"/>
      <c r="IOL56"/>
      <c r="IOM56"/>
      <c r="ION56"/>
      <c r="IOO56"/>
      <c r="IOP56"/>
      <c r="IOQ56"/>
      <c r="IOR56"/>
      <c r="IOS56"/>
      <c r="IOT56"/>
      <c r="IOU56"/>
      <c r="IOV56"/>
      <c r="IOW56"/>
      <c r="IOX56"/>
      <c r="IOY56"/>
      <c r="IOZ56"/>
      <c r="IPA56"/>
      <c r="IPB56"/>
      <c r="IPC56"/>
      <c r="IPD56"/>
      <c r="IPE56"/>
      <c r="IPF56"/>
      <c r="IPG56"/>
      <c r="IPH56"/>
      <c r="IPI56"/>
      <c r="IPJ56"/>
      <c r="IPK56"/>
      <c r="IPL56"/>
      <c r="IPM56"/>
      <c r="IPN56"/>
      <c r="IPO56"/>
      <c r="IPP56"/>
      <c r="IPQ56"/>
      <c r="IPR56"/>
      <c r="IPS56"/>
      <c r="IPT56"/>
      <c r="IPU56"/>
      <c r="IPV56"/>
      <c r="IPW56"/>
      <c r="IPX56"/>
      <c r="IPY56"/>
      <c r="IPZ56"/>
      <c r="IQA56"/>
      <c r="IQB56"/>
      <c r="IQC56"/>
      <c r="IQD56"/>
      <c r="IQE56"/>
      <c r="IQF56"/>
      <c r="IQG56"/>
      <c r="IQH56"/>
      <c r="IQI56"/>
      <c r="IQJ56"/>
      <c r="IQK56"/>
      <c r="IQL56"/>
      <c r="IQM56"/>
      <c r="IQN56"/>
      <c r="IQO56"/>
      <c r="IQP56"/>
      <c r="IQQ56"/>
      <c r="IQR56"/>
      <c r="IQS56"/>
      <c r="IQT56"/>
      <c r="IQU56"/>
      <c r="IQV56"/>
      <c r="IQW56"/>
      <c r="IQX56"/>
      <c r="IQY56"/>
      <c r="IQZ56"/>
      <c r="IRA56"/>
      <c r="IRB56"/>
      <c r="IRC56"/>
      <c r="IRD56"/>
      <c r="IRE56"/>
      <c r="IRF56"/>
      <c r="IRG56"/>
      <c r="IRH56"/>
      <c r="IRI56"/>
      <c r="IRJ56"/>
      <c r="IRK56"/>
      <c r="IRL56"/>
      <c r="IRM56"/>
      <c r="IRN56"/>
      <c r="IRO56"/>
      <c r="IRP56"/>
      <c r="IRQ56"/>
      <c r="IRR56"/>
      <c r="IRS56"/>
      <c r="IRT56"/>
      <c r="IRU56"/>
      <c r="IRV56"/>
      <c r="IRW56"/>
      <c r="IRX56"/>
      <c r="IRY56"/>
      <c r="IRZ56"/>
      <c r="ISA56"/>
      <c r="ISB56"/>
      <c r="ISC56"/>
      <c r="ISD56"/>
      <c r="ISE56"/>
      <c r="ISF56"/>
      <c r="ISG56"/>
      <c r="ISH56"/>
      <c r="ISI56"/>
      <c r="ISJ56"/>
      <c r="ISK56"/>
      <c r="ISL56"/>
      <c r="ISM56"/>
      <c r="ISN56"/>
      <c r="ISO56"/>
      <c r="ISP56"/>
      <c r="ISQ56"/>
      <c r="ISR56"/>
      <c r="ISS56"/>
      <c r="IST56"/>
      <c r="ISU56"/>
      <c r="ISV56"/>
      <c r="ISW56"/>
      <c r="ISX56"/>
      <c r="ISY56"/>
      <c r="ISZ56"/>
      <c r="ITA56"/>
      <c r="ITB56"/>
      <c r="ITC56"/>
      <c r="ITD56"/>
      <c r="ITE56"/>
      <c r="ITF56"/>
      <c r="ITG56"/>
      <c r="ITH56"/>
      <c r="ITI56"/>
      <c r="ITJ56"/>
      <c r="ITK56"/>
      <c r="ITL56"/>
      <c r="ITM56"/>
      <c r="ITN56"/>
      <c r="ITO56"/>
      <c r="ITP56"/>
      <c r="ITQ56"/>
      <c r="ITR56"/>
      <c r="ITS56"/>
      <c r="ITT56"/>
      <c r="ITU56"/>
      <c r="ITV56"/>
      <c r="ITW56"/>
      <c r="ITX56"/>
      <c r="ITY56"/>
      <c r="ITZ56"/>
      <c r="IUA56"/>
      <c r="IUB56"/>
      <c r="IUC56"/>
      <c r="IUD56"/>
      <c r="IUE56"/>
      <c r="IUF56"/>
      <c r="IUG56"/>
      <c r="IUH56"/>
      <c r="IUI56"/>
      <c r="IUJ56"/>
      <c r="IUK56"/>
      <c r="IUL56"/>
      <c r="IUM56"/>
      <c r="IUN56"/>
      <c r="IUO56"/>
      <c r="IUP56"/>
      <c r="IUQ56"/>
      <c r="IUR56"/>
      <c r="IUS56"/>
      <c r="IUT56"/>
      <c r="IUU56"/>
      <c r="IUV56"/>
      <c r="IUW56"/>
      <c r="IUX56"/>
      <c r="IUY56"/>
      <c r="IUZ56"/>
      <c r="IVA56"/>
      <c r="IVB56"/>
      <c r="IVC56"/>
      <c r="IVD56"/>
      <c r="IVE56"/>
      <c r="IVF56"/>
      <c r="IVG56"/>
      <c r="IVH56"/>
      <c r="IVI56"/>
      <c r="IVJ56"/>
      <c r="IVK56"/>
      <c r="IVL56"/>
      <c r="IVM56"/>
      <c r="IVN56"/>
      <c r="IVO56"/>
      <c r="IVP56"/>
      <c r="IVQ56"/>
      <c r="IVR56"/>
      <c r="IVS56"/>
      <c r="IVT56"/>
      <c r="IVU56"/>
      <c r="IVV56"/>
      <c r="IVW56"/>
      <c r="IVX56"/>
      <c r="IVY56"/>
      <c r="IVZ56"/>
      <c r="IWA56"/>
      <c r="IWB56"/>
      <c r="IWC56"/>
      <c r="IWD56"/>
      <c r="IWE56"/>
      <c r="IWF56"/>
      <c r="IWG56"/>
      <c r="IWH56"/>
      <c r="IWI56"/>
      <c r="IWJ56"/>
      <c r="IWK56"/>
      <c r="IWL56"/>
      <c r="IWM56"/>
      <c r="IWN56"/>
      <c r="IWO56"/>
      <c r="IWP56"/>
      <c r="IWQ56"/>
      <c r="IWR56"/>
      <c r="IWS56"/>
      <c r="IWT56"/>
      <c r="IWU56"/>
      <c r="IWV56"/>
      <c r="IWW56"/>
      <c r="IWX56"/>
      <c r="IWY56"/>
      <c r="IWZ56"/>
      <c r="IXA56"/>
      <c r="IXB56"/>
      <c r="IXC56"/>
      <c r="IXD56"/>
      <c r="IXE56"/>
      <c r="IXF56"/>
      <c r="IXG56"/>
      <c r="IXH56"/>
      <c r="IXI56"/>
      <c r="IXJ56"/>
      <c r="IXK56"/>
      <c r="IXL56"/>
      <c r="IXM56"/>
      <c r="IXN56"/>
      <c r="IXO56"/>
      <c r="IXP56"/>
      <c r="IXQ56"/>
      <c r="IXR56"/>
      <c r="IXS56"/>
      <c r="IXT56"/>
      <c r="IXU56"/>
      <c r="IXV56"/>
      <c r="IXW56"/>
      <c r="IXX56"/>
      <c r="IXY56"/>
      <c r="IXZ56"/>
      <c r="IYA56"/>
      <c r="IYB56"/>
      <c r="IYC56"/>
      <c r="IYD56"/>
      <c r="IYE56"/>
      <c r="IYF56"/>
      <c r="IYG56"/>
      <c r="IYH56"/>
      <c r="IYI56"/>
      <c r="IYJ56"/>
      <c r="IYK56"/>
      <c r="IYL56"/>
      <c r="IYM56"/>
      <c r="IYN56"/>
      <c r="IYO56"/>
      <c r="IYP56"/>
      <c r="IYQ56"/>
      <c r="IYR56"/>
      <c r="IYS56"/>
      <c r="IYT56"/>
      <c r="IYU56"/>
      <c r="IYV56"/>
      <c r="IYW56"/>
      <c r="IYX56"/>
      <c r="IYY56"/>
      <c r="IYZ56"/>
      <c r="IZA56"/>
      <c r="IZB56"/>
      <c r="IZC56"/>
      <c r="IZD56"/>
      <c r="IZE56"/>
      <c r="IZF56"/>
      <c r="IZG56"/>
      <c r="IZH56"/>
      <c r="IZI56"/>
      <c r="IZJ56"/>
      <c r="IZK56"/>
      <c r="IZL56"/>
      <c r="IZM56"/>
      <c r="IZN56"/>
      <c r="IZO56"/>
      <c r="IZP56"/>
      <c r="IZQ56"/>
      <c r="IZR56"/>
      <c r="IZS56"/>
      <c r="IZT56"/>
      <c r="IZU56"/>
      <c r="IZV56"/>
      <c r="IZW56"/>
      <c r="IZX56"/>
      <c r="IZY56"/>
      <c r="IZZ56"/>
      <c r="JAA56"/>
      <c r="JAB56"/>
      <c r="JAC56"/>
      <c r="JAD56"/>
      <c r="JAE56"/>
      <c r="JAF56"/>
      <c r="JAG56"/>
      <c r="JAH56"/>
      <c r="JAI56"/>
      <c r="JAJ56"/>
      <c r="JAK56"/>
      <c r="JAL56"/>
      <c r="JAM56"/>
      <c r="JAN56"/>
      <c r="JAO56"/>
      <c r="JAP56"/>
      <c r="JAQ56"/>
      <c r="JAR56"/>
      <c r="JAS56"/>
      <c r="JAT56"/>
      <c r="JAU56"/>
      <c r="JAV56"/>
      <c r="JAW56"/>
      <c r="JAX56"/>
      <c r="JAY56"/>
      <c r="JAZ56"/>
      <c r="JBA56"/>
      <c r="JBB56"/>
      <c r="JBC56"/>
      <c r="JBD56"/>
      <c r="JBE56"/>
      <c r="JBF56"/>
      <c r="JBG56"/>
      <c r="JBH56"/>
      <c r="JBI56"/>
      <c r="JBJ56"/>
      <c r="JBK56"/>
      <c r="JBL56"/>
      <c r="JBM56"/>
      <c r="JBN56"/>
      <c r="JBO56"/>
      <c r="JBP56"/>
      <c r="JBQ56"/>
      <c r="JBR56"/>
      <c r="JBS56"/>
      <c r="JBT56"/>
      <c r="JBU56"/>
      <c r="JBV56"/>
      <c r="JBW56"/>
      <c r="JBX56"/>
      <c r="JBY56"/>
      <c r="JBZ56"/>
      <c r="JCA56"/>
      <c r="JCB56"/>
      <c r="JCC56"/>
      <c r="JCD56"/>
      <c r="JCE56"/>
      <c r="JCF56"/>
      <c r="JCG56"/>
      <c r="JCH56"/>
      <c r="JCI56"/>
      <c r="JCJ56"/>
      <c r="JCK56"/>
      <c r="JCL56"/>
      <c r="JCM56"/>
      <c r="JCN56"/>
      <c r="JCO56"/>
      <c r="JCP56"/>
      <c r="JCQ56"/>
      <c r="JCR56"/>
      <c r="JCS56"/>
      <c r="JCT56"/>
      <c r="JCU56"/>
      <c r="JCV56"/>
      <c r="JCW56"/>
      <c r="JCX56"/>
      <c r="JCY56"/>
      <c r="JCZ56"/>
      <c r="JDA56"/>
      <c r="JDB56"/>
      <c r="JDC56"/>
      <c r="JDD56"/>
      <c r="JDE56"/>
      <c r="JDF56"/>
      <c r="JDG56"/>
      <c r="JDH56"/>
      <c r="JDI56"/>
      <c r="JDJ56"/>
      <c r="JDK56"/>
      <c r="JDL56"/>
      <c r="JDM56"/>
      <c r="JDN56"/>
      <c r="JDO56"/>
      <c r="JDP56"/>
      <c r="JDQ56"/>
      <c r="JDR56"/>
      <c r="JDS56"/>
      <c r="JDT56"/>
      <c r="JDU56"/>
      <c r="JDV56"/>
      <c r="JDW56"/>
      <c r="JDX56"/>
      <c r="JDY56"/>
      <c r="JDZ56"/>
      <c r="JEA56"/>
      <c r="JEB56"/>
      <c r="JEC56"/>
      <c r="JED56"/>
      <c r="JEE56"/>
      <c r="JEF56"/>
      <c r="JEG56"/>
      <c r="JEH56"/>
      <c r="JEI56"/>
      <c r="JEJ56"/>
      <c r="JEK56"/>
      <c r="JEL56"/>
      <c r="JEM56"/>
      <c r="JEN56"/>
      <c r="JEO56"/>
      <c r="JEP56"/>
      <c r="JEQ56"/>
      <c r="JER56"/>
      <c r="JES56"/>
      <c r="JET56"/>
      <c r="JEU56"/>
      <c r="JEV56"/>
      <c r="JEW56"/>
      <c r="JEX56"/>
      <c r="JEY56"/>
      <c r="JEZ56"/>
      <c r="JFA56"/>
      <c r="JFB56"/>
      <c r="JFC56"/>
      <c r="JFD56"/>
      <c r="JFE56"/>
      <c r="JFF56"/>
      <c r="JFG56"/>
      <c r="JFH56"/>
      <c r="JFI56"/>
      <c r="JFJ56"/>
      <c r="JFK56"/>
      <c r="JFL56"/>
      <c r="JFM56"/>
      <c r="JFN56"/>
      <c r="JFO56"/>
      <c r="JFP56"/>
      <c r="JFQ56"/>
      <c r="JFR56"/>
      <c r="JFS56"/>
      <c r="JFT56"/>
      <c r="JFU56"/>
      <c r="JFV56"/>
      <c r="JFW56"/>
      <c r="JFX56"/>
      <c r="JFY56"/>
      <c r="JFZ56"/>
      <c r="JGA56"/>
      <c r="JGB56"/>
      <c r="JGC56"/>
      <c r="JGD56"/>
      <c r="JGE56"/>
      <c r="JGF56"/>
      <c r="JGG56"/>
      <c r="JGH56"/>
      <c r="JGI56"/>
      <c r="JGJ56"/>
      <c r="JGK56"/>
      <c r="JGL56"/>
      <c r="JGM56"/>
      <c r="JGN56"/>
      <c r="JGO56"/>
      <c r="JGP56"/>
      <c r="JGQ56"/>
      <c r="JGR56"/>
      <c r="JGS56"/>
      <c r="JGT56"/>
      <c r="JGU56"/>
      <c r="JGV56"/>
      <c r="JGW56"/>
      <c r="JGX56"/>
      <c r="JGY56"/>
      <c r="JGZ56"/>
      <c r="JHA56"/>
      <c r="JHB56"/>
      <c r="JHC56"/>
      <c r="JHD56"/>
      <c r="JHE56"/>
      <c r="JHF56"/>
      <c r="JHG56"/>
      <c r="JHH56"/>
      <c r="JHI56"/>
      <c r="JHJ56"/>
      <c r="JHK56"/>
      <c r="JHL56"/>
      <c r="JHM56"/>
      <c r="JHN56"/>
      <c r="JHO56"/>
      <c r="JHP56"/>
      <c r="JHQ56"/>
      <c r="JHR56"/>
      <c r="JHS56"/>
      <c r="JHT56"/>
      <c r="JHU56"/>
      <c r="JHV56"/>
      <c r="JHW56"/>
      <c r="JHX56"/>
      <c r="JHY56"/>
      <c r="JHZ56"/>
      <c r="JIA56"/>
      <c r="JIB56"/>
      <c r="JIC56"/>
      <c r="JID56"/>
      <c r="JIE56"/>
      <c r="JIF56"/>
      <c r="JIG56"/>
      <c r="JIH56"/>
      <c r="JII56"/>
      <c r="JIJ56"/>
      <c r="JIK56"/>
      <c r="JIL56"/>
      <c r="JIM56"/>
      <c r="JIN56"/>
      <c r="JIO56"/>
      <c r="JIP56"/>
      <c r="JIQ56"/>
      <c r="JIR56"/>
      <c r="JIS56"/>
      <c r="JIT56"/>
      <c r="JIU56"/>
      <c r="JIV56"/>
      <c r="JIW56"/>
      <c r="JIX56"/>
      <c r="JIY56"/>
      <c r="JIZ56"/>
      <c r="JJA56"/>
      <c r="JJB56"/>
      <c r="JJC56"/>
      <c r="JJD56"/>
      <c r="JJE56"/>
      <c r="JJF56"/>
      <c r="JJG56"/>
      <c r="JJH56"/>
      <c r="JJI56"/>
      <c r="JJJ56"/>
      <c r="JJK56"/>
      <c r="JJL56"/>
      <c r="JJM56"/>
      <c r="JJN56"/>
      <c r="JJO56"/>
      <c r="JJP56"/>
      <c r="JJQ56"/>
      <c r="JJR56"/>
      <c r="JJS56"/>
      <c r="JJT56"/>
      <c r="JJU56"/>
      <c r="JJV56"/>
      <c r="JJW56"/>
      <c r="JJX56"/>
      <c r="JJY56"/>
      <c r="JJZ56"/>
      <c r="JKA56"/>
      <c r="JKB56"/>
      <c r="JKC56"/>
      <c r="JKD56"/>
      <c r="JKE56"/>
      <c r="JKF56"/>
      <c r="JKG56"/>
      <c r="JKH56"/>
      <c r="JKI56"/>
      <c r="JKJ56"/>
      <c r="JKK56"/>
      <c r="JKL56"/>
      <c r="JKM56"/>
      <c r="JKN56"/>
      <c r="JKO56"/>
      <c r="JKP56"/>
      <c r="JKQ56"/>
      <c r="JKR56"/>
      <c r="JKS56"/>
      <c r="JKT56"/>
      <c r="JKU56"/>
      <c r="JKV56"/>
      <c r="JKW56"/>
      <c r="JKX56"/>
      <c r="JKY56"/>
      <c r="JKZ56"/>
      <c r="JLA56"/>
      <c r="JLB56"/>
      <c r="JLC56"/>
      <c r="JLD56"/>
      <c r="JLE56"/>
      <c r="JLF56"/>
      <c r="JLG56"/>
      <c r="JLH56"/>
      <c r="JLI56"/>
      <c r="JLJ56"/>
      <c r="JLK56"/>
      <c r="JLL56"/>
      <c r="JLM56"/>
      <c r="JLN56"/>
      <c r="JLO56"/>
      <c r="JLP56"/>
      <c r="JLQ56"/>
      <c r="JLR56"/>
      <c r="JLS56"/>
      <c r="JLT56"/>
      <c r="JLU56"/>
      <c r="JLV56"/>
      <c r="JLW56"/>
      <c r="JLX56"/>
      <c r="JLY56"/>
      <c r="JLZ56"/>
      <c r="JMA56"/>
      <c r="JMB56"/>
      <c r="JMC56"/>
      <c r="JMD56"/>
      <c r="JME56"/>
      <c r="JMF56"/>
      <c r="JMG56"/>
      <c r="JMH56"/>
      <c r="JMI56"/>
      <c r="JMJ56"/>
      <c r="JMK56"/>
      <c r="JML56"/>
      <c r="JMM56"/>
      <c r="JMN56"/>
      <c r="JMO56"/>
      <c r="JMP56"/>
      <c r="JMQ56"/>
      <c r="JMR56"/>
      <c r="JMS56"/>
      <c r="JMT56"/>
      <c r="JMU56"/>
      <c r="JMV56"/>
      <c r="JMW56"/>
      <c r="JMX56"/>
      <c r="JMY56"/>
      <c r="JMZ56"/>
      <c r="JNA56"/>
      <c r="JNB56"/>
      <c r="JNC56"/>
      <c r="JND56"/>
      <c r="JNE56"/>
      <c r="JNF56"/>
      <c r="JNG56"/>
      <c r="JNH56"/>
      <c r="JNI56"/>
      <c r="JNJ56"/>
      <c r="JNK56"/>
      <c r="JNL56"/>
      <c r="JNM56"/>
      <c r="JNN56"/>
      <c r="JNO56"/>
      <c r="JNP56"/>
      <c r="JNQ56"/>
      <c r="JNR56"/>
      <c r="JNS56"/>
      <c r="JNT56"/>
      <c r="JNU56"/>
      <c r="JNV56"/>
      <c r="JNW56"/>
      <c r="JNX56"/>
      <c r="JNY56"/>
      <c r="JNZ56"/>
      <c r="JOA56"/>
      <c r="JOB56"/>
      <c r="JOC56"/>
      <c r="JOD56"/>
      <c r="JOE56"/>
      <c r="JOF56"/>
      <c r="JOG56"/>
      <c r="JOH56"/>
      <c r="JOI56"/>
      <c r="JOJ56"/>
      <c r="JOK56"/>
      <c r="JOL56"/>
      <c r="JOM56"/>
      <c r="JON56"/>
      <c r="JOO56"/>
      <c r="JOP56"/>
      <c r="JOQ56"/>
      <c r="JOR56"/>
      <c r="JOS56"/>
      <c r="JOT56"/>
      <c r="JOU56"/>
      <c r="JOV56"/>
      <c r="JOW56"/>
      <c r="JOX56"/>
      <c r="JOY56"/>
      <c r="JOZ56"/>
      <c r="JPA56"/>
      <c r="JPB56"/>
      <c r="JPC56"/>
      <c r="JPD56"/>
      <c r="JPE56"/>
      <c r="JPF56"/>
      <c r="JPG56"/>
      <c r="JPH56"/>
      <c r="JPI56"/>
      <c r="JPJ56"/>
      <c r="JPK56"/>
      <c r="JPL56"/>
      <c r="JPM56"/>
      <c r="JPN56"/>
      <c r="JPO56"/>
      <c r="JPP56"/>
      <c r="JPQ56"/>
      <c r="JPR56"/>
      <c r="JPS56"/>
      <c r="JPT56"/>
      <c r="JPU56"/>
      <c r="JPV56"/>
      <c r="JPW56"/>
      <c r="JPX56"/>
      <c r="JPY56"/>
      <c r="JPZ56"/>
      <c r="JQA56"/>
      <c r="JQB56"/>
      <c r="JQC56"/>
      <c r="JQD56"/>
      <c r="JQE56"/>
      <c r="JQF56"/>
      <c r="JQG56"/>
      <c r="JQH56"/>
      <c r="JQI56"/>
      <c r="JQJ56"/>
      <c r="JQK56"/>
      <c r="JQL56"/>
      <c r="JQM56"/>
      <c r="JQN56"/>
      <c r="JQO56"/>
      <c r="JQP56"/>
      <c r="JQQ56"/>
      <c r="JQR56"/>
      <c r="JQS56"/>
      <c r="JQT56"/>
      <c r="JQU56"/>
      <c r="JQV56"/>
      <c r="JQW56"/>
      <c r="JQX56"/>
      <c r="JQY56"/>
      <c r="JQZ56"/>
      <c r="JRA56"/>
      <c r="JRB56"/>
      <c r="JRC56"/>
      <c r="JRD56"/>
      <c r="JRE56"/>
      <c r="JRF56"/>
      <c r="JRG56"/>
      <c r="JRH56"/>
      <c r="JRI56"/>
      <c r="JRJ56"/>
      <c r="JRK56"/>
      <c r="JRL56"/>
      <c r="JRM56"/>
      <c r="JRN56"/>
      <c r="JRO56"/>
      <c r="JRP56"/>
      <c r="JRQ56"/>
      <c r="JRR56"/>
      <c r="JRS56"/>
      <c r="JRT56"/>
      <c r="JRU56"/>
      <c r="JRV56"/>
      <c r="JRW56"/>
      <c r="JRX56"/>
      <c r="JRY56"/>
      <c r="JRZ56"/>
      <c r="JSA56"/>
      <c r="JSB56"/>
      <c r="JSC56"/>
      <c r="JSD56"/>
      <c r="JSE56"/>
      <c r="JSF56"/>
      <c r="JSG56"/>
      <c r="JSH56"/>
      <c r="JSI56"/>
      <c r="JSJ56"/>
      <c r="JSK56"/>
      <c r="JSL56"/>
      <c r="JSM56"/>
      <c r="JSN56"/>
      <c r="JSO56"/>
      <c r="JSP56"/>
      <c r="JSQ56"/>
      <c r="JSR56"/>
      <c r="JSS56"/>
      <c r="JST56"/>
      <c r="JSU56"/>
      <c r="JSV56"/>
      <c r="JSW56"/>
      <c r="JSX56"/>
      <c r="JSY56"/>
      <c r="JSZ56"/>
      <c r="JTA56"/>
      <c r="JTB56"/>
      <c r="JTC56"/>
      <c r="JTD56"/>
      <c r="JTE56"/>
      <c r="JTF56"/>
      <c r="JTG56"/>
      <c r="JTH56"/>
      <c r="JTI56"/>
      <c r="JTJ56"/>
      <c r="JTK56"/>
      <c r="JTL56"/>
      <c r="JTM56"/>
      <c r="JTN56"/>
      <c r="JTO56"/>
      <c r="JTP56"/>
      <c r="JTQ56"/>
      <c r="JTR56"/>
      <c r="JTS56"/>
      <c r="JTT56"/>
      <c r="JTU56"/>
      <c r="JTV56"/>
      <c r="JTW56"/>
      <c r="JTX56"/>
      <c r="JTY56"/>
      <c r="JTZ56"/>
      <c r="JUA56"/>
      <c r="JUB56"/>
      <c r="JUC56"/>
      <c r="JUD56"/>
      <c r="JUE56"/>
      <c r="JUF56"/>
      <c r="JUG56"/>
      <c r="JUH56"/>
      <c r="JUI56"/>
      <c r="JUJ56"/>
      <c r="JUK56"/>
      <c r="JUL56"/>
      <c r="JUM56"/>
      <c r="JUN56"/>
      <c r="JUO56"/>
      <c r="JUP56"/>
      <c r="JUQ56"/>
      <c r="JUR56"/>
      <c r="JUS56"/>
      <c r="JUT56"/>
      <c r="JUU56"/>
      <c r="JUV56"/>
      <c r="JUW56"/>
      <c r="JUX56"/>
      <c r="JUY56"/>
      <c r="JUZ56"/>
      <c r="JVA56"/>
      <c r="JVB56"/>
      <c r="JVC56"/>
      <c r="JVD56"/>
      <c r="JVE56"/>
      <c r="JVF56"/>
      <c r="JVG56"/>
      <c r="JVH56"/>
      <c r="JVI56"/>
      <c r="JVJ56"/>
      <c r="JVK56"/>
      <c r="JVL56"/>
      <c r="JVM56"/>
      <c r="JVN56"/>
      <c r="JVO56"/>
      <c r="JVP56"/>
      <c r="JVQ56"/>
      <c r="JVR56"/>
      <c r="JVS56"/>
      <c r="JVT56"/>
      <c r="JVU56"/>
      <c r="JVV56"/>
      <c r="JVW56"/>
      <c r="JVX56"/>
      <c r="JVY56"/>
      <c r="JVZ56"/>
      <c r="JWA56"/>
      <c r="JWB56"/>
      <c r="JWC56"/>
      <c r="JWD56"/>
      <c r="JWE56"/>
      <c r="JWF56"/>
      <c r="JWG56"/>
      <c r="JWH56"/>
      <c r="JWI56"/>
      <c r="JWJ56"/>
      <c r="JWK56"/>
      <c r="JWL56"/>
      <c r="JWM56"/>
      <c r="JWN56"/>
      <c r="JWO56"/>
      <c r="JWP56"/>
      <c r="JWQ56"/>
      <c r="JWR56"/>
      <c r="JWS56"/>
      <c r="JWT56"/>
      <c r="JWU56"/>
      <c r="JWV56"/>
      <c r="JWW56"/>
      <c r="JWX56"/>
      <c r="JWY56"/>
      <c r="JWZ56"/>
      <c r="JXA56"/>
      <c r="JXB56"/>
      <c r="JXC56"/>
      <c r="JXD56"/>
      <c r="JXE56"/>
      <c r="JXF56"/>
      <c r="JXG56"/>
      <c r="JXH56"/>
      <c r="JXI56"/>
      <c r="JXJ56"/>
      <c r="JXK56"/>
      <c r="JXL56"/>
      <c r="JXM56"/>
      <c r="JXN56"/>
      <c r="JXO56"/>
      <c r="JXP56"/>
      <c r="JXQ56"/>
      <c r="JXR56"/>
      <c r="JXS56"/>
      <c r="JXT56"/>
      <c r="JXU56"/>
      <c r="JXV56"/>
      <c r="JXW56"/>
      <c r="JXX56"/>
      <c r="JXY56"/>
      <c r="JXZ56"/>
      <c r="JYA56"/>
      <c r="JYB56"/>
      <c r="JYC56"/>
      <c r="JYD56"/>
      <c r="JYE56"/>
      <c r="JYF56"/>
      <c r="JYG56"/>
      <c r="JYH56"/>
      <c r="JYI56"/>
      <c r="JYJ56"/>
      <c r="JYK56"/>
      <c r="JYL56"/>
      <c r="JYM56"/>
      <c r="JYN56"/>
      <c r="JYO56"/>
      <c r="JYP56"/>
      <c r="JYQ56"/>
      <c r="JYR56"/>
      <c r="JYS56"/>
      <c r="JYT56"/>
      <c r="JYU56"/>
      <c r="JYV56"/>
      <c r="JYW56"/>
      <c r="JYX56"/>
      <c r="JYY56"/>
      <c r="JYZ56"/>
      <c r="JZA56"/>
      <c r="JZB56"/>
      <c r="JZC56"/>
      <c r="JZD56"/>
      <c r="JZE56"/>
      <c r="JZF56"/>
      <c r="JZG56"/>
      <c r="JZH56"/>
      <c r="JZI56"/>
      <c r="JZJ56"/>
      <c r="JZK56"/>
      <c r="JZL56"/>
      <c r="JZM56"/>
      <c r="JZN56"/>
      <c r="JZO56"/>
      <c r="JZP56"/>
      <c r="JZQ56"/>
      <c r="JZR56"/>
      <c r="JZS56"/>
      <c r="JZT56"/>
      <c r="JZU56"/>
      <c r="JZV56"/>
      <c r="JZW56"/>
      <c r="JZX56"/>
      <c r="JZY56"/>
      <c r="JZZ56"/>
      <c r="KAA56"/>
      <c r="KAB56"/>
      <c r="KAC56"/>
      <c r="KAD56"/>
      <c r="KAE56"/>
      <c r="KAF56"/>
      <c r="KAG56"/>
      <c r="KAH56"/>
      <c r="KAI56"/>
      <c r="KAJ56"/>
      <c r="KAK56"/>
      <c r="KAL56"/>
      <c r="KAM56"/>
      <c r="KAN56"/>
      <c r="KAO56"/>
      <c r="KAP56"/>
      <c r="KAQ56"/>
      <c r="KAR56"/>
      <c r="KAS56"/>
      <c r="KAT56"/>
      <c r="KAU56"/>
      <c r="KAV56"/>
      <c r="KAW56"/>
      <c r="KAX56"/>
      <c r="KAY56"/>
      <c r="KAZ56"/>
      <c r="KBA56"/>
      <c r="KBB56"/>
      <c r="KBC56"/>
      <c r="KBD56"/>
      <c r="KBE56"/>
      <c r="KBF56"/>
      <c r="KBG56"/>
      <c r="KBH56"/>
      <c r="KBI56"/>
      <c r="KBJ56"/>
      <c r="KBK56"/>
      <c r="KBL56"/>
      <c r="KBM56"/>
      <c r="KBN56"/>
      <c r="KBO56"/>
      <c r="KBP56"/>
      <c r="KBQ56"/>
      <c r="KBR56"/>
      <c r="KBS56"/>
      <c r="KBT56"/>
      <c r="KBU56"/>
      <c r="KBV56"/>
      <c r="KBW56"/>
      <c r="KBX56"/>
      <c r="KBY56"/>
      <c r="KBZ56"/>
      <c r="KCA56"/>
      <c r="KCB56"/>
      <c r="KCC56"/>
      <c r="KCD56"/>
      <c r="KCE56"/>
      <c r="KCF56"/>
      <c r="KCG56"/>
      <c r="KCH56"/>
      <c r="KCI56"/>
      <c r="KCJ56"/>
      <c r="KCK56"/>
      <c r="KCL56"/>
      <c r="KCM56"/>
      <c r="KCN56"/>
      <c r="KCO56"/>
      <c r="KCP56"/>
      <c r="KCQ56"/>
      <c r="KCR56"/>
      <c r="KCS56"/>
      <c r="KCT56"/>
      <c r="KCU56"/>
      <c r="KCV56"/>
      <c r="KCW56"/>
      <c r="KCX56"/>
      <c r="KCY56"/>
      <c r="KCZ56"/>
      <c r="KDA56"/>
      <c r="KDB56"/>
      <c r="KDC56"/>
      <c r="KDD56"/>
      <c r="KDE56"/>
      <c r="KDF56"/>
      <c r="KDG56"/>
      <c r="KDH56"/>
      <c r="KDI56"/>
      <c r="KDJ56"/>
      <c r="KDK56"/>
      <c r="KDL56"/>
      <c r="KDM56"/>
      <c r="KDN56"/>
      <c r="KDO56"/>
      <c r="KDP56"/>
      <c r="KDQ56"/>
      <c r="KDR56"/>
      <c r="KDS56"/>
      <c r="KDT56"/>
      <c r="KDU56"/>
      <c r="KDV56"/>
      <c r="KDW56"/>
      <c r="KDX56"/>
      <c r="KDY56"/>
      <c r="KDZ56"/>
      <c r="KEA56"/>
      <c r="KEB56"/>
      <c r="KEC56"/>
      <c r="KED56"/>
      <c r="KEE56"/>
      <c r="KEF56"/>
      <c r="KEG56"/>
      <c r="KEH56"/>
      <c r="KEI56"/>
      <c r="KEJ56"/>
      <c r="KEK56"/>
      <c r="KEL56"/>
      <c r="KEM56"/>
      <c r="KEN56"/>
      <c r="KEO56"/>
      <c r="KEP56"/>
      <c r="KEQ56"/>
      <c r="KER56"/>
      <c r="KES56"/>
      <c r="KET56"/>
      <c r="KEU56"/>
      <c r="KEV56"/>
      <c r="KEW56"/>
      <c r="KEX56"/>
      <c r="KEY56"/>
      <c r="KEZ56"/>
      <c r="KFA56"/>
      <c r="KFB56"/>
      <c r="KFC56"/>
      <c r="KFD56"/>
      <c r="KFE56"/>
      <c r="KFF56"/>
      <c r="KFG56"/>
      <c r="KFH56"/>
      <c r="KFI56"/>
      <c r="KFJ56"/>
      <c r="KFK56"/>
      <c r="KFL56"/>
      <c r="KFM56"/>
      <c r="KFN56"/>
      <c r="KFO56"/>
      <c r="KFP56"/>
      <c r="KFQ56"/>
      <c r="KFR56"/>
      <c r="KFS56"/>
      <c r="KFT56"/>
      <c r="KFU56"/>
      <c r="KFV56"/>
      <c r="KFW56"/>
      <c r="KFX56"/>
      <c r="KFY56"/>
      <c r="KFZ56"/>
      <c r="KGA56"/>
      <c r="KGB56"/>
      <c r="KGC56"/>
      <c r="KGD56"/>
      <c r="KGE56"/>
      <c r="KGF56"/>
      <c r="KGG56"/>
      <c r="KGH56"/>
      <c r="KGI56"/>
      <c r="KGJ56"/>
      <c r="KGK56"/>
      <c r="KGL56"/>
      <c r="KGM56"/>
      <c r="KGN56"/>
      <c r="KGO56"/>
      <c r="KGP56"/>
      <c r="KGQ56"/>
      <c r="KGR56"/>
      <c r="KGS56"/>
      <c r="KGT56"/>
      <c r="KGU56"/>
      <c r="KGV56"/>
      <c r="KGW56"/>
      <c r="KGX56"/>
      <c r="KGY56"/>
      <c r="KGZ56"/>
      <c r="KHA56"/>
      <c r="KHB56"/>
      <c r="KHC56"/>
      <c r="KHD56"/>
      <c r="KHE56"/>
      <c r="KHF56"/>
      <c r="KHG56"/>
      <c r="KHH56"/>
      <c r="KHI56"/>
      <c r="KHJ56"/>
      <c r="KHK56"/>
      <c r="KHL56"/>
      <c r="KHM56"/>
      <c r="KHN56"/>
      <c r="KHO56"/>
      <c r="KHP56"/>
      <c r="KHQ56"/>
      <c r="KHR56"/>
      <c r="KHS56"/>
      <c r="KHT56"/>
      <c r="KHU56"/>
      <c r="KHV56"/>
      <c r="KHW56"/>
      <c r="KHX56"/>
      <c r="KHY56"/>
      <c r="KHZ56"/>
      <c r="KIA56"/>
      <c r="KIB56"/>
      <c r="KIC56"/>
      <c r="KID56"/>
      <c r="KIE56"/>
      <c r="KIF56"/>
      <c r="KIG56"/>
      <c r="KIH56"/>
      <c r="KII56"/>
      <c r="KIJ56"/>
      <c r="KIK56"/>
      <c r="KIL56"/>
      <c r="KIM56"/>
      <c r="KIN56"/>
      <c r="KIO56"/>
      <c r="KIP56"/>
      <c r="KIQ56"/>
      <c r="KIR56"/>
      <c r="KIS56"/>
      <c r="KIT56"/>
      <c r="KIU56"/>
      <c r="KIV56"/>
      <c r="KIW56"/>
      <c r="KIX56"/>
      <c r="KIY56"/>
      <c r="KIZ56"/>
      <c r="KJA56"/>
      <c r="KJB56"/>
      <c r="KJC56"/>
      <c r="KJD56"/>
      <c r="KJE56"/>
      <c r="KJF56"/>
      <c r="KJG56"/>
      <c r="KJH56"/>
      <c r="KJI56"/>
      <c r="KJJ56"/>
      <c r="KJK56"/>
      <c r="KJL56"/>
      <c r="KJM56"/>
      <c r="KJN56"/>
      <c r="KJO56"/>
      <c r="KJP56"/>
      <c r="KJQ56"/>
      <c r="KJR56"/>
      <c r="KJS56"/>
      <c r="KJT56"/>
      <c r="KJU56"/>
      <c r="KJV56"/>
      <c r="KJW56"/>
      <c r="KJX56"/>
      <c r="KJY56"/>
      <c r="KJZ56"/>
      <c r="KKA56"/>
      <c r="KKB56"/>
      <c r="KKC56"/>
      <c r="KKD56"/>
      <c r="KKE56"/>
      <c r="KKF56"/>
      <c r="KKG56"/>
      <c r="KKH56"/>
      <c r="KKI56"/>
      <c r="KKJ56"/>
      <c r="KKK56"/>
      <c r="KKL56"/>
      <c r="KKM56"/>
      <c r="KKN56"/>
      <c r="KKO56"/>
      <c r="KKP56"/>
      <c r="KKQ56"/>
      <c r="KKR56"/>
      <c r="KKS56"/>
      <c r="KKT56"/>
      <c r="KKU56"/>
      <c r="KKV56"/>
      <c r="KKW56"/>
      <c r="KKX56"/>
      <c r="KKY56"/>
      <c r="KKZ56"/>
      <c r="KLA56"/>
      <c r="KLB56"/>
      <c r="KLC56"/>
      <c r="KLD56"/>
      <c r="KLE56"/>
      <c r="KLF56"/>
      <c r="KLG56"/>
      <c r="KLH56"/>
      <c r="KLI56"/>
      <c r="KLJ56"/>
      <c r="KLK56"/>
      <c r="KLL56"/>
      <c r="KLM56"/>
      <c r="KLN56"/>
      <c r="KLO56"/>
      <c r="KLP56"/>
      <c r="KLQ56"/>
      <c r="KLR56"/>
      <c r="KLS56"/>
      <c r="KLT56"/>
      <c r="KLU56"/>
      <c r="KLV56"/>
      <c r="KLW56"/>
      <c r="KLX56"/>
      <c r="KLY56"/>
      <c r="KLZ56"/>
      <c r="KMA56"/>
      <c r="KMB56"/>
      <c r="KMC56"/>
      <c r="KMD56"/>
      <c r="KME56"/>
      <c r="KMF56"/>
      <c r="KMG56"/>
      <c r="KMH56"/>
      <c r="KMI56"/>
      <c r="KMJ56"/>
      <c r="KMK56"/>
      <c r="KML56"/>
      <c r="KMM56"/>
      <c r="KMN56"/>
      <c r="KMO56"/>
      <c r="KMP56"/>
      <c r="KMQ56"/>
      <c r="KMR56"/>
      <c r="KMS56"/>
      <c r="KMT56"/>
      <c r="KMU56"/>
      <c r="KMV56"/>
      <c r="KMW56"/>
      <c r="KMX56"/>
      <c r="KMY56"/>
      <c r="KMZ56"/>
      <c r="KNA56"/>
      <c r="KNB56"/>
      <c r="KNC56"/>
      <c r="KND56"/>
      <c r="KNE56"/>
      <c r="KNF56"/>
      <c r="KNG56"/>
      <c r="KNH56"/>
      <c r="KNI56"/>
      <c r="KNJ56"/>
      <c r="KNK56"/>
      <c r="KNL56"/>
      <c r="KNM56"/>
      <c r="KNN56"/>
      <c r="KNO56"/>
      <c r="KNP56"/>
      <c r="KNQ56"/>
      <c r="KNR56"/>
      <c r="KNS56"/>
      <c r="KNT56"/>
      <c r="KNU56"/>
      <c r="KNV56"/>
      <c r="KNW56"/>
      <c r="KNX56"/>
      <c r="KNY56"/>
      <c r="KNZ56"/>
      <c r="KOA56"/>
      <c r="KOB56"/>
      <c r="KOC56"/>
      <c r="KOD56"/>
      <c r="KOE56"/>
      <c r="KOF56"/>
      <c r="KOG56"/>
      <c r="KOH56"/>
      <c r="KOI56"/>
      <c r="KOJ56"/>
      <c r="KOK56"/>
      <c r="KOL56"/>
      <c r="KOM56"/>
      <c r="KON56"/>
      <c r="KOO56"/>
      <c r="KOP56"/>
      <c r="KOQ56"/>
      <c r="KOR56"/>
      <c r="KOS56"/>
      <c r="KOT56"/>
      <c r="KOU56"/>
      <c r="KOV56"/>
      <c r="KOW56"/>
      <c r="KOX56"/>
      <c r="KOY56"/>
      <c r="KOZ56"/>
      <c r="KPA56"/>
      <c r="KPB56"/>
      <c r="KPC56"/>
      <c r="KPD56"/>
      <c r="KPE56"/>
      <c r="KPF56"/>
      <c r="KPG56"/>
      <c r="KPH56"/>
      <c r="KPI56"/>
      <c r="KPJ56"/>
      <c r="KPK56"/>
      <c r="KPL56"/>
      <c r="KPM56"/>
      <c r="KPN56"/>
      <c r="KPO56"/>
      <c r="KPP56"/>
      <c r="KPQ56"/>
      <c r="KPR56"/>
      <c r="KPS56"/>
      <c r="KPT56"/>
      <c r="KPU56"/>
      <c r="KPV56"/>
      <c r="KPW56"/>
      <c r="KPX56"/>
      <c r="KPY56"/>
      <c r="KPZ56"/>
      <c r="KQA56"/>
      <c r="KQB56"/>
      <c r="KQC56"/>
      <c r="KQD56"/>
      <c r="KQE56"/>
      <c r="KQF56"/>
      <c r="KQG56"/>
      <c r="KQH56"/>
      <c r="KQI56"/>
      <c r="KQJ56"/>
      <c r="KQK56"/>
      <c r="KQL56"/>
      <c r="KQM56"/>
      <c r="KQN56"/>
      <c r="KQO56"/>
      <c r="KQP56"/>
      <c r="KQQ56"/>
      <c r="KQR56"/>
      <c r="KQS56"/>
      <c r="KQT56"/>
      <c r="KQU56"/>
      <c r="KQV56"/>
      <c r="KQW56"/>
      <c r="KQX56"/>
      <c r="KQY56"/>
      <c r="KQZ56"/>
      <c r="KRA56"/>
      <c r="KRB56"/>
      <c r="KRC56"/>
      <c r="KRD56"/>
      <c r="KRE56"/>
      <c r="KRF56"/>
      <c r="KRG56"/>
      <c r="KRH56"/>
      <c r="KRI56"/>
      <c r="KRJ56"/>
      <c r="KRK56"/>
      <c r="KRL56"/>
      <c r="KRM56"/>
      <c r="KRN56"/>
      <c r="KRO56"/>
      <c r="KRP56"/>
      <c r="KRQ56"/>
      <c r="KRR56"/>
      <c r="KRS56"/>
      <c r="KRT56"/>
      <c r="KRU56"/>
      <c r="KRV56"/>
      <c r="KRW56"/>
      <c r="KRX56"/>
      <c r="KRY56"/>
      <c r="KRZ56"/>
      <c r="KSA56"/>
      <c r="KSB56"/>
      <c r="KSC56"/>
      <c r="KSD56"/>
      <c r="KSE56"/>
      <c r="KSF56"/>
      <c r="KSG56"/>
      <c r="KSH56"/>
      <c r="KSI56"/>
      <c r="KSJ56"/>
      <c r="KSK56"/>
      <c r="KSL56"/>
      <c r="KSM56"/>
      <c r="KSN56"/>
      <c r="KSO56"/>
      <c r="KSP56"/>
      <c r="KSQ56"/>
      <c r="KSR56"/>
      <c r="KSS56"/>
      <c r="KST56"/>
      <c r="KSU56"/>
      <c r="KSV56"/>
      <c r="KSW56"/>
      <c r="KSX56"/>
      <c r="KSY56"/>
      <c r="KSZ56"/>
      <c r="KTA56"/>
      <c r="KTB56"/>
      <c r="KTC56"/>
      <c r="KTD56"/>
      <c r="KTE56"/>
      <c r="KTF56"/>
      <c r="KTG56"/>
      <c r="KTH56"/>
      <c r="KTI56"/>
      <c r="KTJ56"/>
      <c r="KTK56"/>
      <c r="KTL56"/>
      <c r="KTM56"/>
      <c r="KTN56"/>
      <c r="KTO56"/>
      <c r="KTP56"/>
      <c r="KTQ56"/>
      <c r="KTR56"/>
      <c r="KTS56"/>
      <c r="KTT56"/>
      <c r="KTU56"/>
      <c r="KTV56"/>
      <c r="KTW56"/>
      <c r="KTX56"/>
      <c r="KTY56"/>
      <c r="KTZ56"/>
      <c r="KUA56"/>
      <c r="KUB56"/>
      <c r="KUC56"/>
      <c r="KUD56"/>
      <c r="KUE56"/>
      <c r="KUF56"/>
      <c r="KUG56"/>
      <c r="KUH56"/>
      <c r="KUI56"/>
      <c r="KUJ56"/>
      <c r="KUK56"/>
      <c r="KUL56"/>
      <c r="KUM56"/>
      <c r="KUN56"/>
      <c r="KUO56"/>
      <c r="KUP56"/>
      <c r="KUQ56"/>
      <c r="KUR56"/>
      <c r="KUS56"/>
      <c r="KUT56"/>
      <c r="KUU56"/>
      <c r="KUV56"/>
      <c r="KUW56"/>
      <c r="KUX56"/>
      <c r="KUY56"/>
      <c r="KUZ56"/>
      <c r="KVA56"/>
      <c r="KVB56"/>
      <c r="KVC56"/>
      <c r="KVD56"/>
      <c r="KVE56"/>
      <c r="KVF56"/>
      <c r="KVG56"/>
      <c r="KVH56"/>
      <c r="KVI56"/>
      <c r="KVJ56"/>
      <c r="KVK56"/>
      <c r="KVL56"/>
      <c r="KVM56"/>
      <c r="KVN56"/>
      <c r="KVO56"/>
      <c r="KVP56"/>
      <c r="KVQ56"/>
      <c r="KVR56"/>
      <c r="KVS56"/>
      <c r="KVT56"/>
      <c r="KVU56"/>
      <c r="KVV56"/>
      <c r="KVW56"/>
      <c r="KVX56"/>
      <c r="KVY56"/>
      <c r="KVZ56"/>
      <c r="KWA56"/>
      <c r="KWB56"/>
      <c r="KWC56"/>
      <c r="KWD56"/>
      <c r="KWE56"/>
      <c r="KWF56"/>
      <c r="KWG56"/>
      <c r="KWH56"/>
      <c r="KWI56"/>
      <c r="KWJ56"/>
      <c r="KWK56"/>
      <c r="KWL56"/>
      <c r="KWM56"/>
      <c r="KWN56"/>
      <c r="KWO56"/>
      <c r="KWP56"/>
      <c r="KWQ56"/>
      <c r="KWR56"/>
      <c r="KWS56"/>
      <c r="KWT56"/>
      <c r="KWU56"/>
      <c r="KWV56"/>
      <c r="KWW56"/>
      <c r="KWX56"/>
      <c r="KWY56"/>
      <c r="KWZ56"/>
      <c r="KXA56"/>
      <c r="KXB56"/>
      <c r="KXC56"/>
      <c r="KXD56"/>
      <c r="KXE56"/>
      <c r="KXF56"/>
      <c r="KXG56"/>
      <c r="KXH56"/>
      <c r="KXI56"/>
      <c r="KXJ56"/>
      <c r="KXK56"/>
      <c r="KXL56"/>
      <c r="KXM56"/>
      <c r="KXN56"/>
      <c r="KXO56"/>
      <c r="KXP56"/>
      <c r="KXQ56"/>
      <c r="KXR56"/>
      <c r="KXS56"/>
      <c r="KXT56"/>
      <c r="KXU56"/>
      <c r="KXV56"/>
      <c r="KXW56"/>
      <c r="KXX56"/>
      <c r="KXY56"/>
      <c r="KXZ56"/>
      <c r="KYA56"/>
      <c r="KYB56"/>
      <c r="KYC56"/>
      <c r="KYD56"/>
      <c r="KYE56"/>
      <c r="KYF56"/>
      <c r="KYG56"/>
      <c r="KYH56"/>
      <c r="KYI56"/>
      <c r="KYJ56"/>
      <c r="KYK56"/>
      <c r="KYL56"/>
      <c r="KYM56"/>
      <c r="KYN56"/>
      <c r="KYO56"/>
      <c r="KYP56"/>
      <c r="KYQ56"/>
      <c r="KYR56"/>
      <c r="KYS56"/>
      <c r="KYT56"/>
      <c r="KYU56"/>
      <c r="KYV56"/>
      <c r="KYW56"/>
      <c r="KYX56"/>
      <c r="KYY56"/>
      <c r="KYZ56"/>
      <c r="KZA56"/>
      <c r="KZB56"/>
      <c r="KZC56"/>
      <c r="KZD56"/>
      <c r="KZE56"/>
      <c r="KZF56"/>
      <c r="KZG56"/>
      <c r="KZH56"/>
      <c r="KZI56"/>
      <c r="KZJ56"/>
      <c r="KZK56"/>
      <c r="KZL56"/>
      <c r="KZM56"/>
      <c r="KZN56"/>
      <c r="KZO56"/>
      <c r="KZP56"/>
      <c r="KZQ56"/>
      <c r="KZR56"/>
      <c r="KZS56"/>
      <c r="KZT56"/>
      <c r="KZU56"/>
      <c r="KZV56"/>
      <c r="KZW56"/>
      <c r="KZX56"/>
      <c r="KZY56"/>
      <c r="KZZ56"/>
      <c r="LAA56"/>
      <c r="LAB56"/>
      <c r="LAC56"/>
      <c r="LAD56"/>
      <c r="LAE56"/>
      <c r="LAF56"/>
      <c r="LAG56"/>
      <c r="LAH56"/>
      <c r="LAI56"/>
      <c r="LAJ56"/>
      <c r="LAK56"/>
      <c r="LAL56"/>
      <c r="LAM56"/>
      <c r="LAN56"/>
      <c r="LAO56"/>
      <c r="LAP56"/>
      <c r="LAQ56"/>
      <c r="LAR56"/>
      <c r="LAS56"/>
      <c r="LAT56"/>
      <c r="LAU56"/>
      <c r="LAV56"/>
      <c r="LAW56"/>
      <c r="LAX56"/>
      <c r="LAY56"/>
      <c r="LAZ56"/>
      <c r="LBA56"/>
      <c r="LBB56"/>
      <c r="LBC56"/>
      <c r="LBD56"/>
      <c r="LBE56"/>
      <c r="LBF56"/>
      <c r="LBG56"/>
      <c r="LBH56"/>
      <c r="LBI56"/>
      <c r="LBJ56"/>
      <c r="LBK56"/>
      <c r="LBL56"/>
      <c r="LBM56"/>
      <c r="LBN56"/>
      <c r="LBO56"/>
      <c r="LBP56"/>
      <c r="LBQ56"/>
      <c r="LBR56"/>
      <c r="LBS56"/>
      <c r="LBT56"/>
      <c r="LBU56"/>
      <c r="LBV56"/>
      <c r="LBW56"/>
      <c r="LBX56"/>
      <c r="LBY56"/>
      <c r="LBZ56"/>
      <c r="LCA56"/>
      <c r="LCB56"/>
      <c r="LCC56"/>
      <c r="LCD56"/>
      <c r="LCE56"/>
      <c r="LCF56"/>
      <c r="LCG56"/>
      <c r="LCH56"/>
      <c r="LCI56"/>
      <c r="LCJ56"/>
      <c r="LCK56"/>
      <c r="LCL56"/>
      <c r="LCM56"/>
      <c r="LCN56"/>
      <c r="LCO56"/>
      <c r="LCP56"/>
      <c r="LCQ56"/>
      <c r="LCR56"/>
      <c r="LCS56"/>
      <c r="LCT56"/>
      <c r="LCU56"/>
      <c r="LCV56"/>
      <c r="LCW56"/>
      <c r="LCX56"/>
      <c r="LCY56"/>
      <c r="LCZ56"/>
      <c r="LDA56"/>
      <c r="LDB56"/>
      <c r="LDC56"/>
      <c r="LDD56"/>
      <c r="LDE56"/>
      <c r="LDF56"/>
      <c r="LDG56"/>
      <c r="LDH56"/>
      <c r="LDI56"/>
      <c r="LDJ56"/>
      <c r="LDK56"/>
      <c r="LDL56"/>
      <c r="LDM56"/>
      <c r="LDN56"/>
      <c r="LDO56"/>
      <c r="LDP56"/>
      <c r="LDQ56"/>
      <c r="LDR56"/>
      <c r="LDS56"/>
      <c r="LDT56"/>
      <c r="LDU56"/>
      <c r="LDV56"/>
      <c r="LDW56"/>
      <c r="LDX56"/>
      <c r="LDY56"/>
      <c r="LDZ56"/>
      <c r="LEA56"/>
      <c r="LEB56"/>
      <c r="LEC56"/>
      <c r="LED56"/>
      <c r="LEE56"/>
      <c r="LEF56"/>
      <c r="LEG56"/>
      <c r="LEH56"/>
      <c r="LEI56"/>
      <c r="LEJ56"/>
      <c r="LEK56"/>
      <c r="LEL56"/>
      <c r="LEM56"/>
      <c r="LEN56"/>
      <c r="LEO56"/>
      <c r="LEP56"/>
      <c r="LEQ56"/>
      <c r="LER56"/>
      <c r="LES56"/>
      <c r="LET56"/>
      <c r="LEU56"/>
      <c r="LEV56"/>
      <c r="LEW56"/>
      <c r="LEX56"/>
      <c r="LEY56"/>
      <c r="LEZ56"/>
      <c r="LFA56"/>
      <c r="LFB56"/>
      <c r="LFC56"/>
      <c r="LFD56"/>
      <c r="LFE56"/>
      <c r="LFF56"/>
      <c r="LFG56"/>
      <c r="LFH56"/>
      <c r="LFI56"/>
      <c r="LFJ56"/>
      <c r="LFK56"/>
      <c r="LFL56"/>
      <c r="LFM56"/>
      <c r="LFN56"/>
      <c r="LFO56"/>
      <c r="LFP56"/>
      <c r="LFQ56"/>
      <c r="LFR56"/>
      <c r="LFS56"/>
      <c r="LFT56"/>
      <c r="LFU56"/>
      <c r="LFV56"/>
      <c r="LFW56"/>
      <c r="LFX56"/>
      <c r="LFY56"/>
      <c r="LFZ56"/>
      <c r="LGA56"/>
      <c r="LGB56"/>
      <c r="LGC56"/>
      <c r="LGD56"/>
      <c r="LGE56"/>
      <c r="LGF56"/>
      <c r="LGG56"/>
      <c r="LGH56"/>
      <c r="LGI56"/>
      <c r="LGJ56"/>
      <c r="LGK56"/>
      <c r="LGL56"/>
      <c r="LGM56"/>
      <c r="LGN56"/>
      <c r="LGO56"/>
      <c r="LGP56"/>
      <c r="LGQ56"/>
      <c r="LGR56"/>
      <c r="LGS56"/>
      <c r="LGT56"/>
      <c r="LGU56"/>
      <c r="LGV56"/>
      <c r="LGW56"/>
      <c r="LGX56"/>
      <c r="LGY56"/>
      <c r="LGZ56"/>
      <c r="LHA56"/>
      <c r="LHB56"/>
      <c r="LHC56"/>
      <c r="LHD56"/>
      <c r="LHE56"/>
      <c r="LHF56"/>
      <c r="LHG56"/>
      <c r="LHH56"/>
      <c r="LHI56"/>
      <c r="LHJ56"/>
      <c r="LHK56"/>
      <c r="LHL56"/>
      <c r="LHM56"/>
      <c r="LHN56"/>
      <c r="LHO56"/>
      <c r="LHP56"/>
      <c r="LHQ56"/>
      <c r="LHR56"/>
      <c r="LHS56"/>
      <c r="LHT56"/>
      <c r="LHU56"/>
      <c r="LHV56"/>
      <c r="LHW56"/>
      <c r="LHX56"/>
      <c r="LHY56"/>
      <c r="LHZ56"/>
      <c r="LIA56"/>
      <c r="LIB56"/>
      <c r="LIC56"/>
      <c r="LID56"/>
      <c r="LIE56"/>
      <c r="LIF56"/>
      <c r="LIG56"/>
      <c r="LIH56"/>
      <c r="LII56"/>
      <c r="LIJ56"/>
      <c r="LIK56"/>
      <c r="LIL56"/>
      <c r="LIM56"/>
      <c r="LIN56"/>
      <c r="LIO56"/>
      <c r="LIP56"/>
      <c r="LIQ56"/>
      <c r="LIR56"/>
      <c r="LIS56"/>
      <c r="LIT56"/>
      <c r="LIU56"/>
      <c r="LIV56"/>
      <c r="LIW56"/>
      <c r="LIX56"/>
      <c r="LIY56"/>
      <c r="LIZ56"/>
      <c r="LJA56"/>
      <c r="LJB56"/>
      <c r="LJC56"/>
      <c r="LJD56"/>
      <c r="LJE56"/>
      <c r="LJF56"/>
      <c r="LJG56"/>
      <c r="LJH56"/>
      <c r="LJI56"/>
      <c r="LJJ56"/>
      <c r="LJK56"/>
      <c r="LJL56"/>
      <c r="LJM56"/>
      <c r="LJN56"/>
      <c r="LJO56"/>
      <c r="LJP56"/>
      <c r="LJQ56"/>
      <c r="LJR56"/>
      <c r="LJS56"/>
      <c r="LJT56"/>
      <c r="LJU56"/>
      <c r="LJV56"/>
      <c r="LJW56"/>
      <c r="LJX56"/>
      <c r="LJY56"/>
      <c r="LJZ56"/>
      <c r="LKA56"/>
      <c r="LKB56"/>
      <c r="LKC56"/>
      <c r="LKD56"/>
      <c r="LKE56"/>
      <c r="LKF56"/>
      <c r="LKG56"/>
      <c r="LKH56"/>
      <c r="LKI56"/>
      <c r="LKJ56"/>
      <c r="LKK56"/>
      <c r="LKL56"/>
      <c r="LKM56"/>
      <c r="LKN56"/>
      <c r="LKO56"/>
      <c r="LKP56"/>
      <c r="LKQ56"/>
      <c r="LKR56"/>
      <c r="LKS56"/>
      <c r="LKT56"/>
      <c r="LKU56"/>
      <c r="LKV56"/>
      <c r="LKW56"/>
      <c r="LKX56"/>
      <c r="LKY56"/>
      <c r="LKZ56"/>
      <c r="LLA56"/>
      <c r="LLB56"/>
      <c r="LLC56"/>
      <c r="LLD56"/>
      <c r="LLE56"/>
      <c r="LLF56"/>
      <c r="LLG56"/>
      <c r="LLH56"/>
      <c r="LLI56"/>
      <c r="LLJ56"/>
      <c r="LLK56"/>
      <c r="LLL56"/>
      <c r="LLM56"/>
      <c r="LLN56"/>
      <c r="LLO56"/>
      <c r="LLP56"/>
      <c r="LLQ56"/>
      <c r="LLR56"/>
      <c r="LLS56"/>
      <c r="LLT56"/>
      <c r="LLU56"/>
      <c r="LLV56"/>
      <c r="LLW56"/>
      <c r="LLX56"/>
      <c r="LLY56"/>
      <c r="LLZ56"/>
      <c r="LMA56"/>
      <c r="LMB56"/>
      <c r="LMC56"/>
      <c r="LMD56"/>
      <c r="LME56"/>
      <c r="LMF56"/>
      <c r="LMG56"/>
      <c r="LMH56"/>
      <c r="LMI56"/>
      <c r="LMJ56"/>
      <c r="LMK56"/>
      <c r="LML56"/>
      <c r="LMM56"/>
      <c r="LMN56"/>
      <c r="LMO56"/>
      <c r="LMP56"/>
      <c r="LMQ56"/>
      <c r="LMR56"/>
      <c r="LMS56"/>
      <c r="LMT56"/>
      <c r="LMU56"/>
      <c r="LMV56"/>
      <c r="LMW56"/>
      <c r="LMX56"/>
      <c r="LMY56"/>
      <c r="LMZ56"/>
      <c r="LNA56"/>
      <c r="LNB56"/>
      <c r="LNC56"/>
      <c r="LND56"/>
      <c r="LNE56"/>
      <c r="LNF56"/>
      <c r="LNG56"/>
      <c r="LNH56"/>
      <c r="LNI56"/>
      <c r="LNJ56"/>
      <c r="LNK56"/>
      <c r="LNL56"/>
      <c r="LNM56"/>
      <c r="LNN56"/>
      <c r="LNO56"/>
      <c r="LNP56"/>
      <c r="LNQ56"/>
      <c r="LNR56"/>
      <c r="LNS56"/>
      <c r="LNT56"/>
      <c r="LNU56"/>
      <c r="LNV56"/>
      <c r="LNW56"/>
      <c r="LNX56"/>
      <c r="LNY56"/>
      <c r="LNZ56"/>
      <c r="LOA56"/>
      <c r="LOB56"/>
      <c r="LOC56"/>
      <c r="LOD56"/>
      <c r="LOE56"/>
      <c r="LOF56"/>
      <c r="LOG56"/>
      <c r="LOH56"/>
      <c r="LOI56"/>
      <c r="LOJ56"/>
      <c r="LOK56"/>
      <c r="LOL56"/>
      <c r="LOM56"/>
      <c r="LON56"/>
      <c r="LOO56"/>
      <c r="LOP56"/>
      <c r="LOQ56"/>
      <c r="LOR56"/>
      <c r="LOS56"/>
      <c r="LOT56"/>
      <c r="LOU56"/>
      <c r="LOV56"/>
      <c r="LOW56"/>
      <c r="LOX56"/>
      <c r="LOY56"/>
      <c r="LOZ56"/>
      <c r="LPA56"/>
      <c r="LPB56"/>
      <c r="LPC56"/>
      <c r="LPD56"/>
      <c r="LPE56"/>
      <c r="LPF56"/>
      <c r="LPG56"/>
      <c r="LPH56"/>
      <c r="LPI56"/>
      <c r="LPJ56"/>
      <c r="LPK56"/>
      <c r="LPL56"/>
      <c r="LPM56"/>
      <c r="LPN56"/>
      <c r="LPO56"/>
      <c r="LPP56"/>
      <c r="LPQ56"/>
      <c r="LPR56"/>
      <c r="LPS56"/>
      <c r="LPT56"/>
      <c r="LPU56"/>
      <c r="LPV56"/>
      <c r="LPW56"/>
      <c r="LPX56"/>
      <c r="LPY56"/>
      <c r="LPZ56"/>
      <c r="LQA56"/>
      <c r="LQB56"/>
      <c r="LQC56"/>
      <c r="LQD56"/>
      <c r="LQE56"/>
      <c r="LQF56"/>
      <c r="LQG56"/>
      <c r="LQH56"/>
      <c r="LQI56"/>
      <c r="LQJ56"/>
      <c r="LQK56"/>
      <c r="LQL56"/>
      <c r="LQM56"/>
      <c r="LQN56"/>
      <c r="LQO56"/>
      <c r="LQP56"/>
      <c r="LQQ56"/>
      <c r="LQR56"/>
      <c r="LQS56"/>
      <c r="LQT56"/>
      <c r="LQU56"/>
      <c r="LQV56"/>
      <c r="LQW56"/>
      <c r="LQX56"/>
      <c r="LQY56"/>
      <c r="LQZ56"/>
      <c r="LRA56"/>
      <c r="LRB56"/>
      <c r="LRC56"/>
      <c r="LRD56"/>
      <c r="LRE56"/>
      <c r="LRF56"/>
      <c r="LRG56"/>
      <c r="LRH56"/>
      <c r="LRI56"/>
      <c r="LRJ56"/>
      <c r="LRK56"/>
      <c r="LRL56"/>
      <c r="LRM56"/>
      <c r="LRN56"/>
      <c r="LRO56"/>
      <c r="LRP56"/>
      <c r="LRQ56"/>
      <c r="LRR56"/>
      <c r="LRS56"/>
      <c r="LRT56"/>
      <c r="LRU56"/>
      <c r="LRV56"/>
      <c r="LRW56"/>
      <c r="LRX56"/>
      <c r="LRY56"/>
      <c r="LRZ56"/>
      <c r="LSA56"/>
      <c r="LSB56"/>
      <c r="LSC56"/>
      <c r="LSD56"/>
      <c r="LSE56"/>
      <c r="LSF56"/>
      <c r="LSG56"/>
      <c r="LSH56"/>
      <c r="LSI56"/>
      <c r="LSJ56"/>
      <c r="LSK56"/>
      <c r="LSL56"/>
      <c r="LSM56"/>
      <c r="LSN56"/>
      <c r="LSO56"/>
      <c r="LSP56"/>
      <c r="LSQ56"/>
      <c r="LSR56"/>
      <c r="LSS56"/>
      <c r="LST56"/>
      <c r="LSU56"/>
      <c r="LSV56"/>
      <c r="LSW56"/>
      <c r="LSX56"/>
      <c r="LSY56"/>
      <c r="LSZ56"/>
      <c r="LTA56"/>
      <c r="LTB56"/>
      <c r="LTC56"/>
      <c r="LTD56"/>
      <c r="LTE56"/>
      <c r="LTF56"/>
      <c r="LTG56"/>
      <c r="LTH56"/>
      <c r="LTI56"/>
      <c r="LTJ56"/>
      <c r="LTK56"/>
      <c r="LTL56"/>
      <c r="LTM56"/>
      <c r="LTN56"/>
      <c r="LTO56"/>
      <c r="LTP56"/>
      <c r="LTQ56"/>
      <c r="LTR56"/>
      <c r="LTS56"/>
      <c r="LTT56"/>
      <c r="LTU56"/>
      <c r="LTV56"/>
      <c r="LTW56"/>
      <c r="LTX56"/>
      <c r="LTY56"/>
      <c r="LTZ56"/>
      <c r="LUA56"/>
      <c r="LUB56"/>
      <c r="LUC56"/>
      <c r="LUD56"/>
      <c r="LUE56"/>
      <c r="LUF56"/>
      <c r="LUG56"/>
      <c r="LUH56"/>
      <c r="LUI56"/>
      <c r="LUJ56"/>
      <c r="LUK56"/>
      <c r="LUL56"/>
      <c r="LUM56"/>
      <c r="LUN56"/>
      <c r="LUO56"/>
      <c r="LUP56"/>
      <c r="LUQ56"/>
      <c r="LUR56"/>
      <c r="LUS56"/>
      <c r="LUT56"/>
      <c r="LUU56"/>
      <c r="LUV56"/>
      <c r="LUW56"/>
      <c r="LUX56"/>
      <c r="LUY56"/>
      <c r="LUZ56"/>
      <c r="LVA56"/>
      <c r="LVB56"/>
      <c r="LVC56"/>
      <c r="LVD56"/>
      <c r="LVE56"/>
      <c r="LVF56"/>
      <c r="LVG56"/>
      <c r="LVH56"/>
      <c r="LVI56"/>
      <c r="LVJ56"/>
      <c r="LVK56"/>
      <c r="LVL56"/>
      <c r="LVM56"/>
      <c r="LVN56"/>
      <c r="LVO56"/>
      <c r="LVP56"/>
      <c r="LVQ56"/>
      <c r="LVR56"/>
      <c r="LVS56"/>
      <c r="LVT56"/>
      <c r="LVU56"/>
      <c r="LVV56"/>
      <c r="LVW56"/>
      <c r="LVX56"/>
      <c r="LVY56"/>
      <c r="LVZ56"/>
      <c r="LWA56"/>
      <c r="LWB56"/>
      <c r="LWC56"/>
      <c r="LWD56"/>
      <c r="LWE56"/>
      <c r="LWF56"/>
      <c r="LWG56"/>
      <c r="LWH56"/>
      <c r="LWI56"/>
      <c r="LWJ56"/>
      <c r="LWK56"/>
      <c r="LWL56"/>
      <c r="LWM56"/>
      <c r="LWN56"/>
      <c r="LWO56"/>
      <c r="LWP56"/>
      <c r="LWQ56"/>
      <c r="LWR56"/>
      <c r="LWS56"/>
      <c r="LWT56"/>
      <c r="LWU56"/>
      <c r="LWV56"/>
      <c r="LWW56"/>
      <c r="LWX56"/>
      <c r="LWY56"/>
      <c r="LWZ56"/>
      <c r="LXA56"/>
      <c r="LXB56"/>
      <c r="LXC56"/>
      <c r="LXD56"/>
      <c r="LXE56"/>
      <c r="LXF56"/>
      <c r="LXG56"/>
      <c r="LXH56"/>
      <c r="LXI56"/>
      <c r="LXJ56"/>
      <c r="LXK56"/>
      <c r="LXL56"/>
      <c r="LXM56"/>
      <c r="LXN56"/>
      <c r="LXO56"/>
      <c r="LXP56"/>
      <c r="LXQ56"/>
      <c r="LXR56"/>
      <c r="LXS56"/>
      <c r="LXT56"/>
      <c r="LXU56"/>
      <c r="LXV56"/>
      <c r="LXW56"/>
      <c r="LXX56"/>
      <c r="LXY56"/>
      <c r="LXZ56"/>
      <c r="LYA56"/>
      <c r="LYB56"/>
      <c r="LYC56"/>
      <c r="LYD56"/>
      <c r="LYE56"/>
      <c r="LYF56"/>
      <c r="LYG56"/>
      <c r="LYH56"/>
      <c r="LYI56"/>
      <c r="LYJ56"/>
      <c r="LYK56"/>
      <c r="LYL56"/>
      <c r="LYM56"/>
      <c r="LYN56"/>
      <c r="LYO56"/>
      <c r="LYP56"/>
      <c r="LYQ56"/>
      <c r="LYR56"/>
      <c r="LYS56"/>
      <c r="LYT56"/>
      <c r="LYU56"/>
      <c r="LYV56"/>
      <c r="LYW56"/>
      <c r="LYX56"/>
      <c r="LYY56"/>
      <c r="LYZ56"/>
      <c r="LZA56"/>
      <c r="LZB56"/>
      <c r="LZC56"/>
      <c r="LZD56"/>
      <c r="LZE56"/>
      <c r="LZF56"/>
      <c r="LZG56"/>
      <c r="LZH56"/>
      <c r="LZI56"/>
      <c r="LZJ56"/>
      <c r="LZK56"/>
      <c r="LZL56"/>
      <c r="LZM56"/>
      <c r="LZN56"/>
      <c r="LZO56"/>
      <c r="LZP56"/>
      <c r="LZQ56"/>
      <c r="LZR56"/>
      <c r="LZS56"/>
      <c r="LZT56"/>
      <c r="LZU56"/>
      <c r="LZV56"/>
      <c r="LZW56"/>
      <c r="LZX56"/>
      <c r="LZY56"/>
      <c r="LZZ56"/>
      <c r="MAA56"/>
      <c r="MAB56"/>
      <c r="MAC56"/>
      <c r="MAD56"/>
      <c r="MAE56"/>
      <c r="MAF56"/>
      <c r="MAG56"/>
      <c r="MAH56"/>
      <c r="MAI56"/>
      <c r="MAJ56"/>
      <c r="MAK56"/>
      <c r="MAL56"/>
      <c r="MAM56"/>
      <c r="MAN56"/>
      <c r="MAO56"/>
      <c r="MAP56"/>
      <c r="MAQ56"/>
      <c r="MAR56"/>
      <c r="MAS56"/>
      <c r="MAT56"/>
      <c r="MAU56"/>
      <c r="MAV56"/>
      <c r="MAW56"/>
      <c r="MAX56"/>
      <c r="MAY56"/>
      <c r="MAZ56"/>
      <c r="MBA56"/>
      <c r="MBB56"/>
      <c r="MBC56"/>
      <c r="MBD56"/>
      <c r="MBE56"/>
      <c r="MBF56"/>
      <c r="MBG56"/>
      <c r="MBH56"/>
      <c r="MBI56"/>
      <c r="MBJ56"/>
      <c r="MBK56"/>
      <c r="MBL56"/>
      <c r="MBM56"/>
      <c r="MBN56"/>
      <c r="MBO56"/>
      <c r="MBP56"/>
      <c r="MBQ56"/>
      <c r="MBR56"/>
      <c r="MBS56"/>
      <c r="MBT56"/>
      <c r="MBU56"/>
      <c r="MBV56"/>
      <c r="MBW56"/>
      <c r="MBX56"/>
      <c r="MBY56"/>
      <c r="MBZ56"/>
      <c r="MCA56"/>
      <c r="MCB56"/>
      <c r="MCC56"/>
      <c r="MCD56"/>
      <c r="MCE56"/>
      <c r="MCF56"/>
      <c r="MCG56"/>
      <c r="MCH56"/>
      <c r="MCI56"/>
      <c r="MCJ56"/>
      <c r="MCK56"/>
      <c r="MCL56"/>
      <c r="MCM56"/>
      <c r="MCN56"/>
      <c r="MCO56"/>
      <c r="MCP56"/>
      <c r="MCQ56"/>
      <c r="MCR56"/>
      <c r="MCS56"/>
      <c r="MCT56"/>
      <c r="MCU56"/>
      <c r="MCV56"/>
      <c r="MCW56"/>
      <c r="MCX56"/>
      <c r="MCY56"/>
      <c r="MCZ56"/>
      <c r="MDA56"/>
      <c r="MDB56"/>
      <c r="MDC56"/>
      <c r="MDD56"/>
      <c r="MDE56"/>
      <c r="MDF56"/>
      <c r="MDG56"/>
      <c r="MDH56"/>
      <c r="MDI56"/>
      <c r="MDJ56"/>
      <c r="MDK56"/>
      <c r="MDL56"/>
      <c r="MDM56"/>
      <c r="MDN56"/>
      <c r="MDO56"/>
      <c r="MDP56"/>
      <c r="MDQ56"/>
      <c r="MDR56"/>
      <c r="MDS56"/>
      <c r="MDT56"/>
      <c r="MDU56"/>
      <c r="MDV56"/>
      <c r="MDW56"/>
      <c r="MDX56"/>
      <c r="MDY56"/>
      <c r="MDZ56"/>
      <c r="MEA56"/>
      <c r="MEB56"/>
      <c r="MEC56"/>
      <c r="MED56"/>
      <c r="MEE56"/>
      <c r="MEF56"/>
      <c r="MEG56"/>
      <c r="MEH56"/>
      <c r="MEI56"/>
      <c r="MEJ56"/>
      <c r="MEK56"/>
      <c r="MEL56"/>
      <c r="MEM56"/>
      <c r="MEN56"/>
      <c r="MEO56"/>
      <c r="MEP56"/>
      <c r="MEQ56"/>
      <c r="MER56"/>
      <c r="MES56"/>
      <c r="MET56"/>
      <c r="MEU56"/>
      <c r="MEV56"/>
      <c r="MEW56"/>
      <c r="MEX56"/>
      <c r="MEY56"/>
      <c r="MEZ56"/>
      <c r="MFA56"/>
      <c r="MFB56"/>
      <c r="MFC56"/>
      <c r="MFD56"/>
      <c r="MFE56"/>
      <c r="MFF56"/>
      <c r="MFG56"/>
      <c r="MFH56"/>
      <c r="MFI56"/>
      <c r="MFJ56"/>
      <c r="MFK56"/>
      <c r="MFL56"/>
      <c r="MFM56"/>
      <c r="MFN56"/>
      <c r="MFO56"/>
      <c r="MFP56"/>
      <c r="MFQ56"/>
      <c r="MFR56"/>
      <c r="MFS56"/>
      <c r="MFT56"/>
      <c r="MFU56"/>
      <c r="MFV56"/>
      <c r="MFW56"/>
      <c r="MFX56"/>
      <c r="MFY56"/>
      <c r="MFZ56"/>
      <c r="MGA56"/>
      <c r="MGB56"/>
      <c r="MGC56"/>
      <c r="MGD56"/>
      <c r="MGE56"/>
      <c r="MGF56"/>
      <c r="MGG56"/>
      <c r="MGH56"/>
      <c r="MGI56"/>
      <c r="MGJ56"/>
      <c r="MGK56"/>
      <c r="MGL56"/>
      <c r="MGM56"/>
      <c r="MGN56"/>
      <c r="MGO56"/>
      <c r="MGP56"/>
      <c r="MGQ56"/>
      <c r="MGR56"/>
      <c r="MGS56"/>
      <c r="MGT56"/>
      <c r="MGU56"/>
      <c r="MGV56"/>
      <c r="MGW56"/>
      <c r="MGX56"/>
      <c r="MGY56"/>
      <c r="MGZ56"/>
      <c r="MHA56"/>
      <c r="MHB56"/>
      <c r="MHC56"/>
      <c r="MHD56"/>
      <c r="MHE56"/>
      <c r="MHF56"/>
      <c r="MHG56"/>
      <c r="MHH56"/>
      <c r="MHI56"/>
      <c r="MHJ56"/>
      <c r="MHK56"/>
      <c r="MHL56"/>
      <c r="MHM56"/>
      <c r="MHN56"/>
      <c r="MHO56"/>
      <c r="MHP56"/>
      <c r="MHQ56"/>
      <c r="MHR56"/>
      <c r="MHS56"/>
      <c r="MHT56"/>
      <c r="MHU56"/>
      <c r="MHV56"/>
      <c r="MHW56"/>
      <c r="MHX56"/>
      <c r="MHY56"/>
      <c r="MHZ56"/>
      <c r="MIA56"/>
      <c r="MIB56"/>
      <c r="MIC56"/>
      <c r="MID56"/>
      <c r="MIE56"/>
      <c r="MIF56"/>
      <c r="MIG56"/>
      <c r="MIH56"/>
      <c r="MII56"/>
      <c r="MIJ56"/>
      <c r="MIK56"/>
      <c r="MIL56"/>
      <c r="MIM56"/>
      <c r="MIN56"/>
      <c r="MIO56"/>
      <c r="MIP56"/>
      <c r="MIQ56"/>
      <c r="MIR56"/>
      <c r="MIS56"/>
      <c r="MIT56"/>
      <c r="MIU56"/>
      <c r="MIV56"/>
      <c r="MIW56"/>
      <c r="MIX56"/>
      <c r="MIY56"/>
      <c r="MIZ56"/>
      <c r="MJA56"/>
      <c r="MJB56"/>
      <c r="MJC56"/>
      <c r="MJD56"/>
      <c r="MJE56"/>
      <c r="MJF56"/>
      <c r="MJG56"/>
      <c r="MJH56"/>
      <c r="MJI56"/>
      <c r="MJJ56"/>
      <c r="MJK56"/>
      <c r="MJL56"/>
      <c r="MJM56"/>
      <c r="MJN56"/>
      <c r="MJO56"/>
      <c r="MJP56"/>
      <c r="MJQ56"/>
      <c r="MJR56"/>
      <c r="MJS56"/>
      <c r="MJT56"/>
      <c r="MJU56"/>
      <c r="MJV56"/>
      <c r="MJW56"/>
      <c r="MJX56"/>
      <c r="MJY56"/>
      <c r="MJZ56"/>
      <c r="MKA56"/>
      <c r="MKB56"/>
      <c r="MKC56"/>
      <c r="MKD56"/>
      <c r="MKE56"/>
      <c r="MKF56"/>
      <c r="MKG56"/>
      <c r="MKH56"/>
      <c r="MKI56"/>
      <c r="MKJ56"/>
      <c r="MKK56"/>
      <c r="MKL56"/>
      <c r="MKM56"/>
      <c r="MKN56"/>
      <c r="MKO56"/>
      <c r="MKP56"/>
      <c r="MKQ56"/>
      <c r="MKR56"/>
      <c r="MKS56"/>
      <c r="MKT56"/>
      <c r="MKU56"/>
      <c r="MKV56"/>
      <c r="MKW56"/>
      <c r="MKX56"/>
      <c r="MKY56"/>
      <c r="MKZ56"/>
      <c r="MLA56"/>
      <c r="MLB56"/>
      <c r="MLC56"/>
      <c r="MLD56"/>
      <c r="MLE56"/>
      <c r="MLF56"/>
      <c r="MLG56"/>
      <c r="MLH56"/>
      <c r="MLI56"/>
      <c r="MLJ56"/>
      <c r="MLK56"/>
      <c r="MLL56"/>
      <c r="MLM56"/>
      <c r="MLN56"/>
      <c r="MLO56"/>
      <c r="MLP56"/>
      <c r="MLQ56"/>
      <c r="MLR56"/>
      <c r="MLS56"/>
      <c r="MLT56"/>
      <c r="MLU56"/>
      <c r="MLV56"/>
      <c r="MLW56"/>
      <c r="MLX56"/>
      <c r="MLY56"/>
      <c r="MLZ56"/>
      <c r="MMA56"/>
      <c r="MMB56"/>
      <c r="MMC56"/>
      <c r="MMD56"/>
      <c r="MME56"/>
      <c r="MMF56"/>
      <c r="MMG56"/>
      <c r="MMH56"/>
      <c r="MMI56"/>
      <c r="MMJ56"/>
      <c r="MMK56"/>
      <c r="MML56"/>
      <c r="MMM56"/>
      <c r="MMN56"/>
      <c r="MMO56"/>
      <c r="MMP56"/>
      <c r="MMQ56"/>
      <c r="MMR56"/>
      <c r="MMS56"/>
      <c r="MMT56"/>
      <c r="MMU56"/>
      <c r="MMV56"/>
      <c r="MMW56"/>
      <c r="MMX56"/>
      <c r="MMY56"/>
      <c r="MMZ56"/>
      <c r="MNA56"/>
      <c r="MNB56"/>
      <c r="MNC56"/>
      <c r="MND56"/>
      <c r="MNE56"/>
      <c r="MNF56"/>
      <c r="MNG56"/>
      <c r="MNH56"/>
      <c r="MNI56"/>
      <c r="MNJ56"/>
      <c r="MNK56"/>
      <c r="MNL56"/>
      <c r="MNM56"/>
      <c r="MNN56"/>
      <c r="MNO56"/>
      <c r="MNP56"/>
      <c r="MNQ56"/>
      <c r="MNR56"/>
      <c r="MNS56"/>
      <c r="MNT56"/>
      <c r="MNU56"/>
      <c r="MNV56"/>
      <c r="MNW56"/>
      <c r="MNX56"/>
      <c r="MNY56"/>
      <c r="MNZ56"/>
      <c r="MOA56"/>
      <c r="MOB56"/>
      <c r="MOC56"/>
      <c r="MOD56"/>
      <c r="MOE56"/>
      <c r="MOF56"/>
      <c r="MOG56"/>
      <c r="MOH56"/>
      <c r="MOI56"/>
      <c r="MOJ56"/>
      <c r="MOK56"/>
      <c r="MOL56"/>
      <c r="MOM56"/>
      <c r="MON56"/>
      <c r="MOO56"/>
      <c r="MOP56"/>
      <c r="MOQ56"/>
      <c r="MOR56"/>
      <c r="MOS56"/>
      <c r="MOT56"/>
      <c r="MOU56"/>
      <c r="MOV56"/>
      <c r="MOW56"/>
      <c r="MOX56"/>
      <c r="MOY56"/>
      <c r="MOZ56"/>
      <c r="MPA56"/>
      <c r="MPB56"/>
      <c r="MPC56"/>
      <c r="MPD56"/>
      <c r="MPE56"/>
      <c r="MPF56"/>
      <c r="MPG56"/>
      <c r="MPH56"/>
      <c r="MPI56"/>
      <c r="MPJ56"/>
      <c r="MPK56"/>
      <c r="MPL56"/>
      <c r="MPM56"/>
      <c r="MPN56"/>
      <c r="MPO56"/>
      <c r="MPP56"/>
      <c r="MPQ56"/>
      <c r="MPR56"/>
      <c r="MPS56"/>
      <c r="MPT56"/>
      <c r="MPU56"/>
      <c r="MPV56"/>
      <c r="MPW56"/>
      <c r="MPX56"/>
      <c r="MPY56"/>
      <c r="MPZ56"/>
      <c r="MQA56"/>
      <c r="MQB56"/>
      <c r="MQC56"/>
      <c r="MQD56"/>
      <c r="MQE56"/>
      <c r="MQF56"/>
      <c r="MQG56"/>
      <c r="MQH56"/>
      <c r="MQI56"/>
      <c r="MQJ56"/>
      <c r="MQK56"/>
      <c r="MQL56"/>
      <c r="MQM56"/>
      <c r="MQN56"/>
      <c r="MQO56"/>
      <c r="MQP56"/>
      <c r="MQQ56"/>
      <c r="MQR56"/>
      <c r="MQS56"/>
      <c r="MQT56"/>
      <c r="MQU56"/>
      <c r="MQV56"/>
      <c r="MQW56"/>
      <c r="MQX56"/>
      <c r="MQY56"/>
      <c r="MQZ56"/>
      <c r="MRA56"/>
      <c r="MRB56"/>
      <c r="MRC56"/>
      <c r="MRD56"/>
      <c r="MRE56"/>
      <c r="MRF56"/>
      <c r="MRG56"/>
      <c r="MRH56"/>
      <c r="MRI56"/>
      <c r="MRJ56"/>
      <c r="MRK56"/>
      <c r="MRL56"/>
      <c r="MRM56"/>
      <c r="MRN56"/>
      <c r="MRO56"/>
      <c r="MRP56"/>
      <c r="MRQ56"/>
      <c r="MRR56"/>
      <c r="MRS56"/>
      <c r="MRT56"/>
      <c r="MRU56"/>
      <c r="MRV56"/>
      <c r="MRW56"/>
      <c r="MRX56"/>
      <c r="MRY56"/>
      <c r="MRZ56"/>
      <c r="MSA56"/>
      <c r="MSB56"/>
      <c r="MSC56"/>
      <c r="MSD56"/>
      <c r="MSE56"/>
      <c r="MSF56"/>
      <c r="MSG56"/>
      <c r="MSH56"/>
      <c r="MSI56"/>
      <c r="MSJ56"/>
      <c r="MSK56"/>
      <c r="MSL56"/>
      <c r="MSM56"/>
      <c r="MSN56"/>
      <c r="MSO56"/>
      <c r="MSP56"/>
      <c r="MSQ56"/>
      <c r="MSR56"/>
      <c r="MSS56"/>
      <c r="MST56"/>
      <c r="MSU56"/>
      <c r="MSV56"/>
      <c r="MSW56"/>
      <c r="MSX56"/>
      <c r="MSY56"/>
      <c r="MSZ56"/>
      <c r="MTA56"/>
      <c r="MTB56"/>
      <c r="MTC56"/>
      <c r="MTD56"/>
      <c r="MTE56"/>
      <c r="MTF56"/>
      <c r="MTG56"/>
      <c r="MTH56"/>
      <c r="MTI56"/>
      <c r="MTJ56"/>
      <c r="MTK56"/>
      <c r="MTL56"/>
      <c r="MTM56"/>
      <c r="MTN56"/>
      <c r="MTO56"/>
      <c r="MTP56"/>
      <c r="MTQ56"/>
      <c r="MTR56"/>
      <c r="MTS56"/>
      <c r="MTT56"/>
      <c r="MTU56"/>
      <c r="MTV56"/>
      <c r="MTW56"/>
      <c r="MTX56"/>
      <c r="MTY56"/>
      <c r="MTZ56"/>
      <c r="MUA56"/>
      <c r="MUB56"/>
      <c r="MUC56"/>
      <c r="MUD56"/>
      <c r="MUE56"/>
      <c r="MUF56"/>
      <c r="MUG56"/>
      <c r="MUH56"/>
      <c r="MUI56"/>
      <c r="MUJ56"/>
      <c r="MUK56"/>
      <c r="MUL56"/>
      <c r="MUM56"/>
      <c r="MUN56"/>
      <c r="MUO56"/>
      <c r="MUP56"/>
      <c r="MUQ56"/>
      <c r="MUR56"/>
      <c r="MUS56"/>
      <c r="MUT56"/>
      <c r="MUU56"/>
      <c r="MUV56"/>
      <c r="MUW56"/>
      <c r="MUX56"/>
      <c r="MUY56"/>
      <c r="MUZ56"/>
      <c r="MVA56"/>
      <c r="MVB56"/>
      <c r="MVC56"/>
      <c r="MVD56"/>
      <c r="MVE56"/>
      <c r="MVF56"/>
      <c r="MVG56"/>
      <c r="MVH56"/>
      <c r="MVI56"/>
      <c r="MVJ56"/>
      <c r="MVK56"/>
      <c r="MVL56"/>
      <c r="MVM56"/>
      <c r="MVN56"/>
      <c r="MVO56"/>
      <c r="MVP56"/>
      <c r="MVQ56"/>
      <c r="MVR56"/>
      <c r="MVS56"/>
      <c r="MVT56"/>
      <c r="MVU56"/>
      <c r="MVV56"/>
      <c r="MVW56"/>
      <c r="MVX56"/>
      <c r="MVY56"/>
      <c r="MVZ56"/>
      <c r="MWA56"/>
      <c r="MWB56"/>
      <c r="MWC56"/>
      <c r="MWD56"/>
      <c r="MWE56"/>
      <c r="MWF56"/>
      <c r="MWG56"/>
      <c r="MWH56"/>
      <c r="MWI56"/>
      <c r="MWJ56"/>
      <c r="MWK56"/>
      <c r="MWL56"/>
      <c r="MWM56"/>
      <c r="MWN56"/>
      <c r="MWO56"/>
      <c r="MWP56"/>
      <c r="MWQ56"/>
      <c r="MWR56"/>
      <c r="MWS56"/>
      <c r="MWT56"/>
      <c r="MWU56"/>
      <c r="MWV56"/>
      <c r="MWW56"/>
      <c r="MWX56"/>
      <c r="MWY56"/>
      <c r="MWZ56"/>
      <c r="MXA56"/>
      <c r="MXB56"/>
      <c r="MXC56"/>
      <c r="MXD56"/>
      <c r="MXE56"/>
      <c r="MXF56"/>
      <c r="MXG56"/>
      <c r="MXH56"/>
      <c r="MXI56"/>
      <c r="MXJ56"/>
      <c r="MXK56"/>
      <c r="MXL56"/>
      <c r="MXM56"/>
      <c r="MXN56"/>
      <c r="MXO56"/>
      <c r="MXP56"/>
      <c r="MXQ56"/>
      <c r="MXR56"/>
      <c r="MXS56"/>
      <c r="MXT56"/>
      <c r="MXU56"/>
      <c r="MXV56"/>
      <c r="MXW56"/>
      <c r="MXX56"/>
      <c r="MXY56"/>
      <c r="MXZ56"/>
      <c r="MYA56"/>
      <c r="MYB56"/>
      <c r="MYC56"/>
      <c r="MYD56"/>
      <c r="MYE56"/>
      <c r="MYF56"/>
      <c r="MYG56"/>
      <c r="MYH56"/>
      <c r="MYI56"/>
      <c r="MYJ56"/>
      <c r="MYK56"/>
      <c r="MYL56"/>
      <c r="MYM56"/>
      <c r="MYN56"/>
      <c r="MYO56"/>
      <c r="MYP56"/>
      <c r="MYQ56"/>
      <c r="MYR56"/>
      <c r="MYS56"/>
      <c r="MYT56"/>
      <c r="MYU56"/>
      <c r="MYV56"/>
      <c r="MYW56"/>
      <c r="MYX56"/>
      <c r="MYY56"/>
      <c r="MYZ56"/>
      <c r="MZA56"/>
      <c r="MZB56"/>
      <c r="MZC56"/>
      <c r="MZD56"/>
      <c r="MZE56"/>
      <c r="MZF56"/>
      <c r="MZG56"/>
      <c r="MZH56"/>
      <c r="MZI56"/>
      <c r="MZJ56"/>
      <c r="MZK56"/>
      <c r="MZL56"/>
      <c r="MZM56"/>
      <c r="MZN56"/>
      <c r="MZO56"/>
      <c r="MZP56"/>
      <c r="MZQ56"/>
      <c r="MZR56"/>
      <c r="MZS56"/>
      <c r="MZT56"/>
      <c r="MZU56"/>
      <c r="MZV56"/>
      <c r="MZW56"/>
      <c r="MZX56"/>
      <c r="MZY56"/>
      <c r="MZZ56"/>
      <c r="NAA56"/>
      <c r="NAB56"/>
      <c r="NAC56"/>
      <c r="NAD56"/>
      <c r="NAE56"/>
      <c r="NAF56"/>
      <c r="NAG56"/>
      <c r="NAH56"/>
      <c r="NAI56"/>
      <c r="NAJ56"/>
      <c r="NAK56"/>
      <c r="NAL56"/>
      <c r="NAM56"/>
      <c r="NAN56"/>
      <c r="NAO56"/>
      <c r="NAP56"/>
      <c r="NAQ56"/>
      <c r="NAR56"/>
      <c r="NAS56"/>
      <c r="NAT56"/>
      <c r="NAU56"/>
      <c r="NAV56"/>
      <c r="NAW56"/>
      <c r="NAX56"/>
      <c r="NAY56"/>
      <c r="NAZ56"/>
      <c r="NBA56"/>
      <c r="NBB56"/>
      <c r="NBC56"/>
      <c r="NBD56"/>
      <c r="NBE56"/>
      <c r="NBF56"/>
      <c r="NBG56"/>
      <c r="NBH56"/>
      <c r="NBI56"/>
      <c r="NBJ56"/>
      <c r="NBK56"/>
      <c r="NBL56"/>
      <c r="NBM56"/>
      <c r="NBN56"/>
      <c r="NBO56"/>
      <c r="NBP56"/>
      <c r="NBQ56"/>
      <c r="NBR56"/>
      <c r="NBS56"/>
      <c r="NBT56"/>
      <c r="NBU56"/>
      <c r="NBV56"/>
      <c r="NBW56"/>
      <c r="NBX56"/>
      <c r="NBY56"/>
      <c r="NBZ56"/>
      <c r="NCA56"/>
      <c r="NCB56"/>
      <c r="NCC56"/>
      <c r="NCD56"/>
      <c r="NCE56"/>
      <c r="NCF56"/>
      <c r="NCG56"/>
      <c r="NCH56"/>
      <c r="NCI56"/>
      <c r="NCJ56"/>
      <c r="NCK56"/>
      <c r="NCL56"/>
      <c r="NCM56"/>
      <c r="NCN56"/>
      <c r="NCO56"/>
      <c r="NCP56"/>
      <c r="NCQ56"/>
      <c r="NCR56"/>
      <c r="NCS56"/>
      <c r="NCT56"/>
      <c r="NCU56"/>
      <c r="NCV56"/>
      <c r="NCW56"/>
      <c r="NCX56"/>
      <c r="NCY56"/>
      <c r="NCZ56"/>
      <c r="NDA56"/>
      <c r="NDB56"/>
      <c r="NDC56"/>
      <c r="NDD56"/>
      <c r="NDE56"/>
      <c r="NDF56"/>
      <c r="NDG56"/>
      <c r="NDH56"/>
      <c r="NDI56"/>
      <c r="NDJ56"/>
      <c r="NDK56"/>
      <c r="NDL56"/>
      <c r="NDM56"/>
      <c r="NDN56"/>
      <c r="NDO56"/>
      <c r="NDP56"/>
      <c r="NDQ56"/>
      <c r="NDR56"/>
      <c r="NDS56"/>
      <c r="NDT56"/>
      <c r="NDU56"/>
      <c r="NDV56"/>
      <c r="NDW56"/>
      <c r="NDX56"/>
      <c r="NDY56"/>
      <c r="NDZ56"/>
      <c r="NEA56"/>
      <c r="NEB56"/>
      <c r="NEC56"/>
      <c r="NED56"/>
      <c r="NEE56"/>
      <c r="NEF56"/>
      <c r="NEG56"/>
      <c r="NEH56"/>
      <c r="NEI56"/>
      <c r="NEJ56"/>
      <c r="NEK56"/>
      <c r="NEL56"/>
      <c r="NEM56"/>
      <c r="NEN56"/>
      <c r="NEO56"/>
      <c r="NEP56"/>
      <c r="NEQ56"/>
      <c r="NER56"/>
      <c r="NES56"/>
      <c r="NET56"/>
      <c r="NEU56"/>
      <c r="NEV56"/>
      <c r="NEW56"/>
      <c r="NEX56"/>
      <c r="NEY56"/>
      <c r="NEZ56"/>
      <c r="NFA56"/>
      <c r="NFB56"/>
      <c r="NFC56"/>
      <c r="NFD56"/>
      <c r="NFE56"/>
      <c r="NFF56"/>
      <c r="NFG56"/>
      <c r="NFH56"/>
      <c r="NFI56"/>
      <c r="NFJ56"/>
      <c r="NFK56"/>
      <c r="NFL56"/>
      <c r="NFM56"/>
      <c r="NFN56"/>
      <c r="NFO56"/>
      <c r="NFP56"/>
      <c r="NFQ56"/>
      <c r="NFR56"/>
      <c r="NFS56"/>
      <c r="NFT56"/>
      <c r="NFU56"/>
      <c r="NFV56"/>
      <c r="NFW56"/>
      <c r="NFX56"/>
      <c r="NFY56"/>
      <c r="NFZ56"/>
      <c r="NGA56"/>
      <c r="NGB56"/>
      <c r="NGC56"/>
      <c r="NGD56"/>
      <c r="NGE56"/>
      <c r="NGF56"/>
      <c r="NGG56"/>
      <c r="NGH56"/>
      <c r="NGI56"/>
      <c r="NGJ56"/>
      <c r="NGK56"/>
      <c r="NGL56"/>
      <c r="NGM56"/>
      <c r="NGN56"/>
      <c r="NGO56"/>
      <c r="NGP56"/>
      <c r="NGQ56"/>
      <c r="NGR56"/>
      <c r="NGS56"/>
      <c r="NGT56"/>
      <c r="NGU56"/>
      <c r="NGV56"/>
      <c r="NGW56"/>
      <c r="NGX56"/>
      <c r="NGY56"/>
      <c r="NGZ56"/>
      <c r="NHA56"/>
      <c r="NHB56"/>
      <c r="NHC56"/>
      <c r="NHD56"/>
      <c r="NHE56"/>
      <c r="NHF56"/>
      <c r="NHG56"/>
      <c r="NHH56"/>
      <c r="NHI56"/>
      <c r="NHJ56"/>
      <c r="NHK56"/>
      <c r="NHL56"/>
      <c r="NHM56"/>
      <c r="NHN56"/>
      <c r="NHO56"/>
      <c r="NHP56"/>
      <c r="NHQ56"/>
      <c r="NHR56"/>
      <c r="NHS56"/>
      <c r="NHT56"/>
      <c r="NHU56"/>
      <c r="NHV56"/>
      <c r="NHW56"/>
      <c r="NHX56"/>
      <c r="NHY56"/>
      <c r="NHZ56"/>
      <c r="NIA56"/>
      <c r="NIB56"/>
      <c r="NIC56"/>
      <c r="NID56"/>
      <c r="NIE56"/>
      <c r="NIF56"/>
      <c r="NIG56"/>
      <c r="NIH56"/>
      <c r="NII56"/>
      <c r="NIJ56"/>
      <c r="NIK56"/>
      <c r="NIL56"/>
      <c r="NIM56"/>
      <c r="NIN56"/>
      <c r="NIO56"/>
      <c r="NIP56"/>
      <c r="NIQ56"/>
      <c r="NIR56"/>
      <c r="NIS56"/>
      <c r="NIT56"/>
      <c r="NIU56"/>
      <c r="NIV56"/>
      <c r="NIW56"/>
      <c r="NIX56"/>
      <c r="NIY56"/>
      <c r="NIZ56"/>
      <c r="NJA56"/>
      <c r="NJB56"/>
      <c r="NJC56"/>
      <c r="NJD56"/>
      <c r="NJE56"/>
      <c r="NJF56"/>
      <c r="NJG56"/>
      <c r="NJH56"/>
      <c r="NJI56"/>
      <c r="NJJ56"/>
      <c r="NJK56"/>
      <c r="NJL56"/>
      <c r="NJM56"/>
      <c r="NJN56"/>
      <c r="NJO56"/>
      <c r="NJP56"/>
      <c r="NJQ56"/>
      <c r="NJR56"/>
      <c r="NJS56"/>
      <c r="NJT56"/>
      <c r="NJU56"/>
      <c r="NJV56"/>
      <c r="NJW56"/>
      <c r="NJX56"/>
      <c r="NJY56"/>
      <c r="NJZ56"/>
      <c r="NKA56"/>
      <c r="NKB56"/>
      <c r="NKC56"/>
      <c r="NKD56"/>
      <c r="NKE56"/>
      <c r="NKF56"/>
      <c r="NKG56"/>
      <c r="NKH56"/>
      <c r="NKI56"/>
      <c r="NKJ56"/>
      <c r="NKK56"/>
      <c r="NKL56"/>
      <c r="NKM56"/>
      <c r="NKN56"/>
      <c r="NKO56"/>
      <c r="NKP56"/>
      <c r="NKQ56"/>
      <c r="NKR56"/>
      <c r="NKS56"/>
      <c r="NKT56"/>
      <c r="NKU56"/>
      <c r="NKV56"/>
      <c r="NKW56"/>
      <c r="NKX56"/>
      <c r="NKY56"/>
      <c r="NKZ56"/>
      <c r="NLA56"/>
      <c r="NLB56"/>
      <c r="NLC56"/>
      <c r="NLD56"/>
      <c r="NLE56"/>
      <c r="NLF56"/>
      <c r="NLG56"/>
      <c r="NLH56"/>
      <c r="NLI56"/>
      <c r="NLJ56"/>
      <c r="NLK56"/>
      <c r="NLL56"/>
      <c r="NLM56"/>
      <c r="NLN56"/>
      <c r="NLO56"/>
      <c r="NLP56"/>
      <c r="NLQ56"/>
      <c r="NLR56"/>
      <c r="NLS56"/>
      <c r="NLT56"/>
      <c r="NLU56"/>
      <c r="NLV56"/>
      <c r="NLW56"/>
      <c r="NLX56"/>
      <c r="NLY56"/>
      <c r="NLZ56"/>
      <c r="NMA56"/>
      <c r="NMB56"/>
      <c r="NMC56"/>
      <c r="NMD56"/>
      <c r="NME56"/>
      <c r="NMF56"/>
      <c r="NMG56"/>
      <c r="NMH56"/>
      <c r="NMI56"/>
      <c r="NMJ56"/>
      <c r="NMK56"/>
      <c r="NML56"/>
      <c r="NMM56"/>
      <c r="NMN56"/>
      <c r="NMO56"/>
      <c r="NMP56"/>
      <c r="NMQ56"/>
      <c r="NMR56"/>
      <c r="NMS56"/>
      <c r="NMT56"/>
      <c r="NMU56"/>
      <c r="NMV56"/>
      <c r="NMW56"/>
      <c r="NMX56"/>
      <c r="NMY56"/>
      <c r="NMZ56"/>
      <c r="NNA56"/>
      <c r="NNB56"/>
      <c r="NNC56"/>
      <c r="NND56"/>
      <c r="NNE56"/>
      <c r="NNF56"/>
      <c r="NNG56"/>
      <c r="NNH56"/>
      <c r="NNI56"/>
      <c r="NNJ56"/>
      <c r="NNK56"/>
      <c r="NNL56"/>
      <c r="NNM56"/>
      <c r="NNN56"/>
      <c r="NNO56"/>
      <c r="NNP56"/>
      <c r="NNQ56"/>
      <c r="NNR56"/>
      <c r="NNS56"/>
      <c r="NNT56"/>
      <c r="NNU56"/>
      <c r="NNV56"/>
      <c r="NNW56"/>
      <c r="NNX56"/>
      <c r="NNY56"/>
      <c r="NNZ56"/>
      <c r="NOA56"/>
      <c r="NOB56"/>
      <c r="NOC56"/>
      <c r="NOD56"/>
      <c r="NOE56"/>
      <c r="NOF56"/>
      <c r="NOG56"/>
      <c r="NOH56"/>
      <c r="NOI56"/>
      <c r="NOJ56"/>
      <c r="NOK56"/>
      <c r="NOL56"/>
      <c r="NOM56"/>
      <c r="NON56"/>
      <c r="NOO56"/>
      <c r="NOP56"/>
      <c r="NOQ56"/>
      <c r="NOR56"/>
      <c r="NOS56"/>
      <c r="NOT56"/>
      <c r="NOU56"/>
      <c r="NOV56"/>
      <c r="NOW56"/>
      <c r="NOX56"/>
      <c r="NOY56"/>
      <c r="NOZ56"/>
      <c r="NPA56"/>
      <c r="NPB56"/>
      <c r="NPC56"/>
      <c r="NPD56"/>
      <c r="NPE56"/>
      <c r="NPF56"/>
      <c r="NPG56"/>
      <c r="NPH56"/>
      <c r="NPI56"/>
      <c r="NPJ56"/>
      <c r="NPK56"/>
      <c r="NPL56"/>
      <c r="NPM56"/>
      <c r="NPN56"/>
      <c r="NPO56"/>
      <c r="NPP56"/>
      <c r="NPQ56"/>
      <c r="NPR56"/>
      <c r="NPS56"/>
      <c r="NPT56"/>
      <c r="NPU56"/>
      <c r="NPV56"/>
      <c r="NPW56"/>
      <c r="NPX56"/>
      <c r="NPY56"/>
      <c r="NPZ56"/>
      <c r="NQA56"/>
      <c r="NQB56"/>
      <c r="NQC56"/>
      <c r="NQD56"/>
      <c r="NQE56"/>
      <c r="NQF56"/>
      <c r="NQG56"/>
      <c r="NQH56"/>
      <c r="NQI56"/>
      <c r="NQJ56"/>
      <c r="NQK56"/>
      <c r="NQL56"/>
      <c r="NQM56"/>
      <c r="NQN56"/>
      <c r="NQO56"/>
      <c r="NQP56"/>
      <c r="NQQ56"/>
      <c r="NQR56"/>
      <c r="NQS56"/>
      <c r="NQT56"/>
      <c r="NQU56"/>
      <c r="NQV56"/>
      <c r="NQW56"/>
      <c r="NQX56"/>
      <c r="NQY56"/>
      <c r="NQZ56"/>
      <c r="NRA56"/>
      <c r="NRB56"/>
      <c r="NRC56"/>
      <c r="NRD56"/>
      <c r="NRE56"/>
      <c r="NRF56"/>
      <c r="NRG56"/>
      <c r="NRH56"/>
      <c r="NRI56"/>
      <c r="NRJ56"/>
      <c r="NRK56"/>
      <c r="NRL56"/>
      <c r="NRM56"/>
      <c r="NRN56"/>
      <c r="NRO56"/>
      <c r="NRP56"/>
      <c r="NRQ56"/>
      <c r="NRR56"/>
      <c r="NRS56"/>
      <c r="NRT56"/>
      <c r="NRU56"/>
      <c r="NRV56"/>
      <c r="NRW56"/>
      <c r="NRX56"/>
      <c r="NRY56"/>
      <c r="NRZ56"/>
      <c r="NSA56"/>
      <c r="NSB56"/>
      <c r="NSC56"/>
      <c r="NSD56"/>
      <c r="NSE56"/>
      <c r="NSF56"/>
      <c r="NSG56"/>
      <c r="NSH56"/>
      <c r="NSI56"/>
      <c r="NSJ56"/>
      <c r="NSK56"/>
      <c r="NSL56"/>
      <c r="NSM56"/>
      <c r="NSN56"/>
      <c r="NSO56"/>
      <c r="NSP56"/>
      <c r="NSQ56"/>
      <c r="NSR56"/>
      <c r="NSS56"/>
      <c r="NST56"/>
      <c r="NSU56"/>
      <c r="NSV56"/>
      <c r="NSW56"/>
      <c r="NSX56"/>
      <c r="NSY56"/>
      <c r="NSZ56"/>
      <c r="NTA56"/>
      <c r="NTB56"/>
      <c r="NTC56"/>
      <c r="NTD56"/>
      <c r="NTE56"/>
      <c r="NTF56"/>
      <c r="NTG56"/>
      <c r="NTH56"/>
      <c r="NTI56"/>
      <c r="NTJ56"/>
      <c r="NTK56"/>
      <c r="NTL56"/>
      <c r="NTM56"/>
      <c r="NTN56"/>
      <c r="NTO56"/>
      <c r="NTP56"/>
      <c r="NTQ56"/>
      <c r="NTR56"/>
      <c r="NTS56"/>
      <c r="NTT56"/>
      <c r="NTU56"/>
      <c r="NTV56"/>
      <c r="NTW56"/>
      <c r="NTX56"/>
      <c r="NTY56"/>
      <c r="NTZ56"/>
      <c r="NUA56"/>
      <c r="NUB56"/>
      <c r="NUC56"/>
      <c r="NUD56"/>
      <c r="NUE56"/>
      <c r="NUF56"/>
      <c r="NUG56"/>
      <c r="NUH56"/>
      <c r="NUI56"/>
      <c r="NUJ56"/>
      <c r="NUK56"/>
      <c r="NUL56"/>
      <c r="NUM56"/>
      <c r="NUN56"/>
      <c r="NUO56"/>
      <c r="NUP56"/>
      <c r="NUQ56"/>
      <c r="NUR56"/>
      <c r="NUS56"/>
      <c r="NUT56"/>
      <c r="NUU56"/>
      <c r="NUV56"/>
      <c r="NUW56"/>
      <c r="NUX56"/>
      <c r="NUY56"/>
      <c r="NUZ56"/>
      <c r="NVA56"/>
      <c r="NVB56"/>
      <c r="NVC56"/>
      <c r="NVD56"/>
      <c r="NVE56"/>
      <c r="NVF56"/>
      <c r="NVG56"/>
      <c r="NVH56"/>
      <c r="NVI56"/>
      <c r="NVJ56"/>
      <c r="NVK56"/>
      <c r="NVL56"/>
      <c r="NVM56"/>
      <c r="NVN56"/>
      <c r="NVO56"/>
      <c r="NVP56"/>
      <c r="NVQ56"/>
      <c r="NVR56"/>
      <c r="NVS56"/>
      <c r="NVT56"/>
      <c r="NVU56"/>
      <c r="NVV56"/>
      <c r="NVW56"/>
      <c r="NVX56"/>
      <c r="NVY56"/>
      <c r="NVZ56"/>
      <c r="NWA56"/>
      <c r="NWB56"/>
      <c r="NWC56"/>
      <c r="NWD56"/>
      <c r="NWE56"/>
      <c r="NWF56"/>
      <c r="NWG56"/>
      <c r="NWH56"/>
      <c r="NWI56"/>
      <c r="NWJ56"/>
      <c r="NWK56"/>
      <c r="NWL56"/>
      <c r="NWM56"/>
      <c r="NWN56"/>
      <c r="NWO56"/>
      <c r="NWP56"/>
      <c r="NWQ56"/>
      <c r="NWR56"/>
      <c r="NWS56"/>
      <c r="NWT56"/>
      <c r="NWU56"/>
      <c r="NWV56"/>
      <c r="NWW56"/>
      <c r="NWX56"/>
      <c r="NWY56"/>
      <c r="NWZ56"/>
      <c r="NXA56"/>
      <c r="NXB56"/>
      <c r="NXC56"/>
      <c r="NXD56"/>
      <c r="NXE56"/>
      <c r="NXF56"/>
      <c r="NXG56"/>
      <c r="NXH56"/>
      <c r="NXI56"/>
      <c r="NXJ56"/>
      <c r="NXK56"/>
      <c r="NXL56"/>
      <c r="NXM56"/>
      <c r="NXN56"/>
      <c r="NXO56"/>
      <c r="NXP56"/>
      <c r="NXQ56"/>
      <c r="NXR56"/>
      <c r="NXS56"/>
      <c r="NXT56"/>
      <c r="NXU56"/>
      <c r="NXV56"/>
      <c r="NXW56"/>
      <c r="NXX56"/>
      <c r="NXY56"/>
      <c r="NXZ56"/>
      <c r="NYA56"/>
      <c r="NYB56"/>
      <c r="NYC56"/>
      <c r="NYD56"/>
      <c r="NYE56"/>
      <c r="NYF56"/>
      <c r="NYG56"/>
      <c r="NYH56"/>
      <c r="NYI56"/>
      <c r="NYJ56"/>
      <c r="NYK56"/>
      <c r="NYL56"/>
      <c r="NYM56"/>
      <c r="NYN56"/>
      <c r="NYO56"/>
      <c r="NYP56"/>
      <c r="NYQ56"/>
      <c r="NYR56"/>
      <c r="NYS56"/>
      <c r="NYT56"/>
      <c r="NYU56"/>
      <c r="NYV56"/>
      <c r="NYW56"/>
      <c r="NYX56"/>
      <c r="NYY56"/>
      <c r="NYZ56"/>
      <c r="NZA56"/>
      <c r="NZB56"/>
      <c r="NZC56"/>
      <c r="NZD56"/>
      <c r="NZE56"/>
      <c r="NZF56"/>
      <c r="NZG56"/>
      <c r="NZH56"/>
      <c r="NZI56"/>
      <c r="NZJ56"/>
      <c r="NZK56"/>
      <c r="NZL56"/>
      <c r="NZM56"/>
      <c r="NZN56"/>
      <c r="NZO56"/>
      <c r="NZP56"/>
      <c r="NZQ56"/>
      <c r="NZR56"/>
      <c r="NZS56"/>
      <c r="NZT56"/>
      <c r="NZU56"/>
      <c r="NZV56"/>
      <c r="NZW56"/>
      <c r="NZX56"/>
      <c r="NZY56"/>
      <c r="NZZ56"/>
      <c r="OAA56"/>
      <c r="OAB56"/>
      <c r="OAC56"/>
      <c r="OAD56"/>
      <c r="OAE56"/>
      <c r="OAF56"/>
      <c r="OAG56"/>
      <c r="OAH56"/>
      <c r="OAI56"/>
      <c r="OAJ56"/>
      <c r="OAK56"/>
      <c r="OAL56"/>
      <c r="OAM56"/>
      <c r="OAN56"/>
      <c r="OAO56"/>
      <c r="OAP56"/>
      <c r="OAQ56"/>
      <c r="OAR56"/>
      <c r="OAS56"/>
      <c r="OAT56"/>
      <c r="OAU56"/>
      <c r="OAV56"/>
      <c r="OAW56"/>
      <c r="OAX56"/>
      <c r="OAY56"/>
      <c r="OAZ56"/>
      <c r="OBA56"/>
      <c r="OBB56"/>
      <c r="OBC56"/>
      <c r="OBD56"/>
      <c r="OBE56"/>
      <c r="OBF56"/>
      <c r="OBG56"/>
      <c r="OBH56"/>
      <c r="OBI56"/>
      <c r="OBJ56"/>
      <c r="OBK56"/>
      <c r="OBL56"/>
      <c r="OBM56"/>
      <c r="OBN56"/>
      <c r="OBO56"/>
      <c r="OBP56"/>
      <c r="OBQ56"/>
      <c r="OBR56"/>
      <c r="OBS56"/>
      <c r="OBT56"/>
      <c r="OBU56"/>
      <c r="OBV56"/>
      <c r="OBW56"/>
      <c r="OBX56"/>
      <c r="OBY56"/>
      <c r="OBZ56"/>
      <c r="OCA56"/>
      <c r="OCB56"/>
      <c r="OCC56"/>
      <c r="OCD56"/>
      <c r="OCE56"/>
      <c r="OCF56"/>
      <c r="OCG56"/>
      <c r="OCH56"/>
      <c r="OCI56"/>
      <c r="OCJ56"/>
      <c r="OCK56"/>
      <c r="OCL56"/>
      <c r="OCM56"/>
      <c r="OCN56"/>
      <c r="OCO56"/>
      <c r="OCP56"/>
      <c r="OCQ56"/>
      <c r="OCR56"/>
      <c r="OCS56"/>
      <c r="OCT56"/>
      <c r="OCU56"/>
      <c r="OCV56"/>
      <c r="OCW56"/>
      <c r="OCX56"/>
      <c r="OCY56"/>
      <c r="OCZ56"/>
      <c r="ODA56"/>
      <c r="ODB56"/>
      <c r="ODC56"/>
      <c r="ODD56"/>
      <c r="ODE56"/>
      <c r="ODF56"/>
      <c r="ODG56"/>
      <c r="ODH56"/>
      <c r="ODI56"/>
      <c r="ODJ56"/>
      <c r="ODK56"/>
      <c r="ODL56"/>
      <c r="ODM56"/>
      <c r="ODN56"/>
      <c r="ODO56"/>
      <c r="ODP56"/>
      <c r="ODQ56"/>
      <c r="ODR56"/>
      <c r="ODS56"/>
      <c r="ODT56"/>
      <c r="ODU56"/>
      <c r="ODV56"/>
      <c r="ODW56"/>
      <c r="ODX56"/>
      <c r="ODY56"/>
      <c r="ODZ56"/>
      <c r="OEA56"/>
      <c r="OEB56"/>
      <c r="OEC56"/>
      <c r="OED56"/>
      <c r="OEE56"/>
      <c r="OEF56"/>
      <c r="OEG56"/>
      <c r="OEH56"/>
      <c r="OEI56"/>
      <c r="OEJ56"/>
      <c r="OEK56"/>
      <c r="OEL56"/>
      <c r="OEM56"/>
      <c r="OEN56"/>
      <c r="OEO56"/>
      <c r="OEP56"/>
      <c r="OEQ56"/>
      <c r="OER56"/>
      <c r="OES56"/>
      <c r="OET56"/>
      <c r="OEU56"/>
      <c r="OEV56"/>
      <c r="OEW56"/>
      <c r="OEX56"/>
      <c r="OEY56"/>
      <c r="OEZ56"/>
      <c r="OFA56"/>
      <c r="OFB56"/>
      <c r="OFC56"/>
      <c r="OFD56"/>
      <c r="OFE56"/>
      <c r="OFF56"/>
      <c r="OFG56"/>
      <c r="OFH56"/>
      <c r="OFI56"/>
      <c r="OFJ56"/>
      <c r="OFK56"/>
      <c r="OFL56"/>
      <c r="OFM56"/>
      <c r="OFN56"/>
      <c r="OFO56"/>
      <c r="OFP56"/>
      <c r="OFQ56"/>
      <c r="OFR56"/>
      <c r="OFS56"/>
      <c r="OFT56"/>
      <c r="OFU56"/>
      <c r="OFV56"/>
      <c r="OFW56"/>
      <c r="OFX56"/>
      <c r="OFY56"/>
      <c r="OFZ56"/>
      <c r="OGA56"/>
      <c r="OGB56"/>
      <c r="OGC56"/>
      <c r="OGD56"/>
      <c r="OGE56"/>
      <c r="OGF56"/>
      <c r="OGG56"/>
      <c r="OGH56"/>
      <c r="OGI56"/>
      <c r="OGJ56"/>
      <c r="OGK56"/>
      <c r="OGL56"/>
      <c r="OGM56"/>
      <c r="OGN56"/>
      <c r="OGO56"/>
      <c r="OGP56"/>
      <c r="OGQ56"/>
      <c r="OGR56"/>
      <c r="OGS56"/>
      <c r="OGT56"/>
      <c r="OGU56"/>
      <c r="OGV56"/>
      <c r="OGW56"/>
      <c r="OGX56"/>
      <c r="OGY56"/>
      <c r="OGZ56"/>
      <c r="OHA56"/>
      <c r="OHB56"/>
      <c r="OHC56"/>
      <c r="OHD56"/>
      <c r="OHE56"/>
      <c r="OHF56"/>
      <c r="OHG56"/>
      <c r="OHH56"/>
      <c r="OHI56"/>
      <c r="OHJ56"/>
      <c r="OHK56"/>
      <c r="OHL56"/>
      <c r="OHM56"/>
      <c r="OHN56"/>
      <c r="OHO56"/>
      <c r="OHP56"/>
      <c r="OHQ56"/>
      <c r="OHR56"/>
      <c r="OHS56"/>
      <c r="OHT56"/>
      <c r="OHU56"/>
      <c r="OHV56"/>
      <c r="OHW56"/>
      <c r="OHX56"/>
      <c r="OHY56"/>
      <c r="OHZ56"/>
      <c r="OIA56"/>
      <c r="OIB56"/>
      <c r="OIC56"/>
      <c r="OID56"/>
      <c r="OIE56"/>
      <c r="OIF56"/>
      <c r="OIG56"/>
      <c r="OIH56"/>
      <c r="OII56"/>
      <c r="OIJ56"/>
      <c r="OIK56"/>
      <c r="OIL56"/>
      <c r="OIM56"/>
      <c r="OIN56"/>
      <c r="OIO56"/>
      <c r="OIP56"/>
      <c r="OIQ56"/>
      <c r="OIR56"/>
      <c r="OIS56"/>
      <c r="OIT56"/>
      <c r="OIU56"/>
      <c r="OIV56"/>
      <c r="OIW56"/>
      <c r="OIX56"/>
      <c r="OIY56"/>
      <c r="OIZ56"/>
      <c r="OJA56"/>
      <c r="OJB56"/>
      <c r="OJC56"/>
      <c r="OJD56"/>
      <c r="OJE56"/>
      <c r="OJF56"/>
      <c r="OJG56"/>
      <c r="OJH56"/>
      <c r="OJI56"/>
      <c r="OJJ56"/>
      <c r="OJK56"/>
      <c r="OJL56"/>
      <c r="OJM56"/>
      <c r="OJN56"/>
      <c r="OJO56"/>
      <c r="OJP56"/>
      <c r="OJQ56"/>
      <c r="OJR56"/>
      <c r="OJS56"/>
      <c r="OJT56"/>
      <c r="OJU56"/>
      <c r="OJV56"/>
      <c r="OJW56"/>
      <c r="OJX56"/>
      <c r="OJY56"/>
      <c r="OJZ56"/>
      <c r="OKA56"/>
      <c r="OKB56"/>
      <c r="OKC56"/>
      <c r="OKD56"/>
      <c r="OKE56"/>
      <c r="OKF56"/>
      <c r="OKG56"/>
      <c r="OKH56"/>
      <c r="OKI56"/>
      <c r="OKJ56"/>
      <c r="OKK56"/>
      <c r="OKL56"/>
      <c r="OKM56"/>
      <c r="OKN56"/>
      <c r="OKO56"/>
      <c r="OKP56"/>
      <c r="OKQ56"/>
      <c r="OKR56"/>
      <c r="OKS56"/>
      <c r="OKT56"/>
      <c r="OKU56"/>
      <c r="OKV56"/>
      <c r="OKW56"/>
      <c r="OKX56"/>
      <c r="OKY56"/>
      <c r="OKZ56"/>
      <c r="OLA56"/>
      <c r="OLB56"/>
      <c r="OLC56"/>
      <c r="OLD56"/>
      <c r="OLE56"/>
      <c r="OLF56"/>
      <c r="OLG56"/>
      <c r="OLH56"/>
      <c r="OLI56"/>
      <c r="OLJ56"/>
      <c r="OLK56"/>
      <c r="OLL56"/>
      <c r="OLM56"/>
      <c r="OLN56"/>
      <c r="OLO56"/>
      <c r="OLP56"/>
      <c r="OLQ56"/>
      <c r="OLR56"/>
      <c r="OLS56"/>
      <c r="OLT56"/>
      <c r="OLU56"/>
      <c r="OLV56"/>
      <c r="OLW56"/>
      <c r="OLX56"/>
      <c r="OLY56"/>
      <c r="OLZ56"/>
      <c r="OMA56"/>
      <c r="OMB56"/>
      <c r="OMC56"/>
      <c r="OMD56"/>
      <c r="OME56"/>
      <c r="OMF56"/>
      <c r="OMG56"/>
      <c r="OMH56"/>
      <c r="OMI56"/>
      <c r="OMJ56"/>
      <c r="OMK56"/>
      <c r="OML56"/>
      <c r="OMM56"/>
      <c r="OMN56"/>
      <c r="OMO56"/>
      <c r="OMP56"/>
      <c r="OMQ56"/>
      <c r="OMR56"/>
      <c r="OMS56"/>
      <c r="OMT56"/>
      <c r="OMU56"/>
      <c r="OMV56"/>
      <c r="OMW56"/>
      <c r="OMX56"/>
      <c r="OMY56"/>
      <c r="OMZ56"/>
      <c r="ONA56"/>
      <c r="ONB56"/>
      <c r="ONC56"/>
      <c r="OND56"/>
      <c r="ONE56"/>
      <c r="ONF56"/>
      <c r="ONG56"/>
      <c r="ONH56"/>
      <c r="ONI56"/>
      <c r="ONJ56"/>
      <c r="ONK56"/>
      <c r="ONL56"/>
      <c r="ONM56"/>
      <c r="ONN56"/>
      <c r="ONO56"/>
      <c r="ONP56"/>
      <c r="ONQ56"/>
      <c r="ONR56"/>
      <c r="ONS56"/>
      <c r="ONT56"/>
      <c r="ONU56"/>
      <c r="ONV56"/>
      <c r="ONW56"/>
      <c r="ONX56"/>
      <c r="ONY56"/>
      <c r="ONZ56"/>
      <c r="OOA56"/>
      <c r="OOB56"/>
      <c r="OOC56"/>
      <c r="OOD56"/>
      <c r="OOE56"/>
      <c r="OOF56"/>
      <c r="OOG56"/>
      <c r="OOH56"/>
      <c r="OOI56"/>
      <c r="OOJ56"/>
      <c r="OOK56"/>
      <c r="OOL56"/>
      <c r="OOM56"/>
      <c r="OON56"/>
      <c r="OOO56"/>
      <c r="OOP56"/>
      <c r="OOQ56"/>
      <c r="OOR56"/>
      <c r="OOS56"/>
      <c r="OOT56"/>
      <c r="OOU56"/>
      <c r="OOV56"/>
      <c r="OOW56"/>
      <c r="OOX56"/>
      <c r="OOY56"/>
      <c r="OOZ56"/>
      <c r="OPA56"/>
      <c r="OPB56"/>
      <c r="OPC56"/>
      <c r="OPD56"/>
      <c r="OPE56"/>
      <c r="OPF56"/>
      <c r="OPG56"/>
      <c r="OPH56"/>
      <c r="OPI56"/>
      <c r="OPJ56"/>
      <c r="OPK56"/>
      <c r="OPL56"/>
      <c r="OPM56"/>
      <c r="OPN56"/>
      <c r="OPO56"/>
      <c r="OPP56"/>
      <c r="OPQ56"/>
      <c r="OPR56"/>
      <c r="OPS56"/>
      <c r="OPT56"/>
      <c r="OPU56"/>
      <c r="OPV56"/>
      <c r="OPW56"/>
      <c r="OPX56"/>
      <c r="OPY56"/>
      <c r="OPZ56"/>
      <c r="OQA56"/>
      <c r="OQB56"/>
      <c r="OQC56"/>
      <c r="OQD56"/>
      <c r="OQE56"/>
      <c r="OQF56"/>
      <c r="OQG56"/>
      <c r="OQH56"/>
      <c r="OQI56"/>
      <c r="OQJ56"/>
      <c r="OQK56"/>
      <c r="OQL56"/>
      <c r="OQM56"/>
      <c r="OQN56"/>
      <c r="OQO56"/>
      <c r="OQP56"/>
      <c r="OQQ56"/>
      <c r="OQR56"/>
      <c r="OQS56"/>
      <c r="OQT56"/>
      <c r="OQU56"/>
      <c r="OQV56"/>
      <c r="OQW56"/>
      <c r="OQX56"/>
      <c r="OQY56"/>
      <c r="OQZ56"/>
      <c r="ORA56"/>
      <c r="ORB56"/>
      <c r="ORC56"/>
      <c r="ORD56"/>
      <c r="ORE56"/>
      <c r="ORF56"/>
      <c r="ORG56"/>
      <c r="ORH56"/>
      <c r="ORI56"/>
      <c r="ORJ56"/>
      <c r="ORK56"/>
      <c r="ORL56"/>
      <c r="ORM56"/>
      <c r="ORN56"/>
      <c r="ORO56"/>
      <c r="ORP56"/>
      <c r="ORQ56"/>
      <c r="ORR56"/>
      <c r="ORS56"/>
      <c r="ORT56"/>
      <c r="ORU56"/>
      <c r="ORV56"/>
      <c r="ORW56"/>
      <c r="ORX56"/>
      <c r="ORY56"/>
      <c r="ORZ56"/>
      <c r="OSA56"/>
      <c r="OSB56"/>
      <c r="OSC56"/>
      <c r="OSD56"/>
      <c r="OSE56"/>
      <c r="OSF56"/>
      <c r="OSG56"/>
      <c r="OSH56"/>
      <c r="OSI56"/>
      <c r="OSJ56"/>
      <c r="OSK56"/>
      <c r="OSL56"/>
      <c r="OSM56"/>
      <c r="OSN56"/>
      <c r="OSO56"/>
      <c r="OSP56"/>
      <c r="OSQ56"/>
      <c r="OSR56"/>
      <c r="OSS56"/>
      <c r="OST56"/>
      <c r="OSU56"/>
      <c r="OSV56"/>
      <c r="OSW56"/>
      <c r="OSX56"/>
      <c r="OSY56"/>
      <c r="OSZ56"/>
      <c r="OTA56"/>
      <c r="OTB56"/>
      <c r="OTC56"/>
      <c r="OTD56"/>
      <c r="OTE56"/>
      <c r="OTF56"/>
      <c r="OTG56"/>
      <c r="OTH56"/>
      <c r="OTI56"/>
      <c r="OTJ56"/>
      <c r="OTK56"/>
      <c r="OTL56"/>
      <c r="OTM56"/>
      <c r="OTN56"/>
      <c r="OTO56"/>
      <c r="OTP56"/>
      <c r="OTQ56"/>
      <c r="OTR56"/>
      <c r="OTS56"/>
      <c r="OTT56"/>
      <c r="OTU56"/>
      <c r="OTV56"/>
      <c r="OTW56"/>
      <c r="OTX56"/>
      <c r="OTY56"/>
      <c r="OTZ56"/>
      <c r="OUA56"/>
      <c r="OUB56"/>
      <c r="OUC56"/>
      <c r="OUD56"/>
      <c r="OUE56"/>
      <c r="OUF56"/>
      <c r="OUG56"/>
      <c r="OUH56"/>
      <c r="OUI56"/>
      <c r="OUJ56"/>
      <c r="OUK56"/>
      <c r="OUL56"/>
      <c r="OUM56"/>
      <c r="OUN56"/>
      <c r="OUO56"/>
      <c r="OUP56"/>
      <c r="OUQ56"/>
      <c r="OUR56"/>
      <c r="OUS56"/>
      <c r="OUT56"/>
      <c r="OUU56"/>
      <c r="OUV56"/>
      <c r="OUW56"/>
      <c r="OUX56"/>
      <c r="OUY56"/>
      <c r="OUZ56"/>
      <c r="OVA56"/>
      <c r="OVB56"/>
      <c r="OVC56"/>
      <c r="OVD56"/>
      <c r="OVE56"/>
      <c r="OVF56"/>
      <c r="OVG56"/>
      <c r="OVH56"/>
      <c r="OVI56"/>
      <c r="OVJ56"/>
      <c r="OVK56"/>
      <c r="OVL56"/>
      <c r="OVM56"/>
      <c r="OVN56"/>
      <c r="OVO56"/>
      <c r="OVP56"/>
      <c r="OVQ56"/>
      <c r="OVR56"/>
      <c r="OVS56"/>
      <c r="OVT56"/>
      <c r="OVU56"/>
      <c r="OVV56"/>
      <c r="OVW56"/>
      <c r="OVX56"/>
      <c r="OVY56"/>
      <c r="OVZ56"/>
      <c r="OWA56"/>
      <c r="OWB56"/>
      <c r="OWC56"/>
      <c r="OWD56"/>
      <c r="OWE56"/>
      <c r="OWF56"/>
      <c r="OWG56"/>
      <c r="OWH56"/>
      <c r="OWI56"/>
      <c r="OWJ56"/>
      <c r="OWK56"/>
      <c r="OWL56"/>
      <c r="OWM56"/>
      <c r="OWN56"/>
      <c r="OWO56"/>
      <c r="OWP56"/>
      <c r="OWQ56"/>
      <c r="OWR56"/>
      <c r="OWS56"/>
      <c r="OWT56"/>
      <c r="OWU56"/>
      <c r="OWV56"/>
      <c r="OWW56"/>
      <c r="OWX56"/>
      <c r="OWY56"/>
      <c r="OWZ56"/>
      <c r="OXA56"/>
      <c r="OXB56"/>
      <c r="OXC56"/>
      <c r="OXD56"/>
      <c r="OXE56"/>
      <c r="OXF56"/>
      <c r="OXG56"/>
      <c r="OXH56"/>
      <c r="OXI56"/>
      <c r="OXJ56"/>
      <c r="OXK56"/>
      <c r="OXL56"/>
      <c r="OXM56"/>
      <c r="OXN56"/>
      <c r="OXO56"/>
      <c r="OXP56"/>
      <c r="OXQ56"/>
      <c r="OXR56"/>
      <c r="OXS56"/>
      <c r="OXT56"/>
      <c r="OXU56"/>
      <c r="OXV56"/>
      <c r="OXW56"/>
      <c r="OXX56"/>
      <c r="OXY56"/>
      <c r="OXZ56"/>
      <c r="OYA56"/>
      <c r="OYB56"/>
      <c r="OYC56"/>
      <c r="OYD56"/>
      <c r="OYE56"/>
      <c r="OYF56"/>
      <c r="OYG56"/>
      <c r="OYH56"/>
      <c r="OYI56"/>
      <c r="OYJ56"/>
      <c r="OYK56"/>
      <c r="OYL56"/>
      <c r="OYM56"/>
      <c r="OYN56"/>
      <c r="OYO56"/>
      <c r="OYP56"/>
      <c r="OYQ56"/>
      <c r="OYR56"/>
      <c r="OYS56"/>
      <c r="OYT56"/>
      <c r="OYU56"/>
      <c r="OYV56"/>
      <c r="OYW56"/>
      <c r="OYX56"/>
      <c r="OYY56"/>
      <c r="OYZ56"/>
      <c r="OZA56"/>
      <c r="OZB56"/>
      <c r="OZC56"/>
      <c r="OZD56"/>
      <c r="OZE56"/>
      <c r="OZF56"/>
      <c r="OZG56"/>
      <c r="OZH56"/>
      <c r="OZI56"/>
      <c r="OZJ56"/>
      <c r="OZK56"/>
      <c r="OZL56"/>
      <c r="OZM56"/>
      <c r="OZN56"/>
      <c r="OZO56"/>
      <c r="OZP56"/>
      <c r="OZQ56"/>
      <c r="OZR56"/>
      <c r="OZS56"/>
      <c r="OZT56"/>
      <c r="OZU56"/>
      <c r="OZV56"/>
      <c r="OZW56"/>
      <c r="OZX56"/>
      <c r="OZY56"/>
      <c r="OZZ56"/>
      <c r="PAA56"/>
      <c r="PAB56"/>
      <c r="PAC56"/>
      <c r="PAD56"/>
      <c r="PAE56"/>
      <c r="PAF56"/>
      <c r="PAG56"/>
      <c r="PAH56"/>
      <c r="PAI56"/>
      <c r="PAJ56"/>
      <c r="PAK56"/>
      <c r="PAL56"/>
      <c r="PAM56"/>
      <c r="PAN56"/>
      <c r="PAO56"/>
      <c r="PAP56"/>
      <c r="PAQ56"/>
      <c r="PAR56"/>
      <c r="PAS56"/>
      <c r="PAT56"/>
      <c r="PAU56"/>
      <c r="PAV56"/>
      <c r="PAW56"/>
      <c r="PAX56"/>
      <c r="PAY56"/>
      <c r="PAZ56"/>
      <c r="PBA56"/>
      <c r="PBB56"/>
      <c r="PBC56"/>
      <c r="PBD56"/>
      <c r="PBE56"/>
      <c r="PBF56"/>
      <c r="PBG56"/>
      <c r="PBH56"/>
      <c r="PBI56"/>
      <c r="PBJ56"/>
      <c r="PBK56"/>
      <c r="PBL56"/>
      <c r="PBM56"/>
      <c r="PBN56"/>
      <c r="PBO56"/>
      <c r="PBP56"/>
      <c r="PBQ56"/>
      <c r="PBR56"/>
      <c r="PBS56"/>
      <c r="PBT56"/>
      <c r="PBU56"/>
      <c r="PBV56"/>
      <c r="PBW56"/>
      <c r="PBX56"/>
      <c r="PBY56"/>
      <c r="PBZ56"/>
      <c r="PCA56"/>
      <c r="PCB56"/>
      <c r="PCC56"/>
      <c r="PCD56"/>
      <c r="PCE56"/>
      <c r="PCF56"/>
      <c r="PCG56"/>
      <c r="PCH56"/>
      <c r="PCI56"/>
      <c r="PCJ56"/>
      <c r="PCK56"/>
      <c r="PCL56"/>
      <c r="PCM56"/>
      <c r="PCN56"/>
      <c r="PCO56"/>
      <c r="PCP56"/>
      <c r="PCQ56"/>
      <c r="PCR56"/>
      <c r="PCS56"/>
      <c r="PCT56"/>
      <c r="PCU56"/>
      <c r="PCV56"/>
      <c r="PCW56"/>
      <c r="PCX56"/>
      <c r="PCY56"/>
      <c r="PCZ56"/>
      <c r="PDA56"/>
      <c r="PDB56"/>
      <c r="PDC56"/>
      <c r="PDD56"/>
      <c r="PDE56"/>
      <c r="PDF56"/>
      <c r="PDG56"/>
      <c r="PDH56"/>
      <c r="PDI56"/>
      <c r="PDJ56"/>
      <c r="PDK56"/>
      <c r="PDL56"/>
      <c r="PDM56"/>
      <c r="PDN56"/>
      <c r="PDO56"/>
      <c r="PDP56"/>
      <c r="PDQ56"/>
      <c r="PDR56"/>
      <c r="PDS56"/>
      <c r="PDT56"/>
      <c r="PDU56"/>
      <c r="PDV56"/>
      <c r="PDW56"/>
      <c r="PDX56"/>
      <c r="PDY56"/>
      <c r="PDZ56"/>
      <c r="PEA56"/>
      <c r="PEB56"/>
      <c r="PEC56"/>
      <c r="PED56"/>
      <c r="PEE56"/>
      <c r="PEF56"/>
      <c r="PEG56"/>
      <c r="PEH56"/>
      <c r="PEI56"/>
      <c r="PEJ56"/>
      <c r="PEK56"/>
      <c r="PEL56"/>
      <c r="PEM56"/>
      <c r="PEN56"/>
      <c r="PEO56"/>
      <c r="PEP56"/>
      <c r="PEQ56"/>
      <c r="PER56"/>
      <c r="PES56"/>
      <c r="PET56"/>
      <c r="PEU56"/>
      <c r="PEV56"/>
      <c r="PEW56"/>
      <c r="PEX56"/>
      <c r="PEY56"/>
      <c r="PEZ56"/>
      <c r="PFA56"/>
      <c r="PFB56"/>
      <c r="PFC56"/>
      <c r="PFD56"/>
      <c r="PFE56"/>
      <c r="PFF56"/>
      <c r="PFG56"/>
      <c r="PFH56"/>
      <c r="PFI56"/>
      <c r="PFJ56"/>
      <c r="PFK56"/>
      <c r="PFL56"/>
      <c r="PFM56"/>
      <c r="PFN56"/>
      <c r="PFO56"/>
      <c r="PFP56"/>
      <c r="PFQ56"/>
      <c r="PFR56"/>
      <c r="PFS56"/>
      <c r="PFT56"/>
      <c r="PFU56"/>
      <c r="PFV56"/>
      <c r="PFW56"/>
      <c r="PFX56"/>
      <c r="PFY56"/>
      <c r="PFZ56"/>
      <c r="PGA56"/>
      <c r="PGB56"/>
      <c r="PGC56"/>
      <c r="PGD56"/>
      <c r="PGE56"/>
      <c r="PGF56"/>
      <c r="PGG56"/>
      <c r="PGH56"/>
      <c r="PGI56"/>
      <c r="PGJ56"/>
      <c r="PGK56"/>
      <c r="PGL56"/>
      <c r="PGM56"/>
      <c r="PGN56"/>
      <c r="PGO56"/>
      <c r="PGP56"/>
      <c r="PGQ56"/>
      <c r="PGR56"/>
      <c r="PGS56"/>
      <c r="PGT56"/>
      <c r="PGU56"/>
      <c r="PGV56"/>
      <c r="PGW56"/>
      <c r="PGX56"/>
      <c r="PGY56"/>
      <c r="PGZ56"/>
      <c r="PHA56"/>
      <c r="PHB56"/>
      <c r="PHC56"/>
      <c r="PHD56"/>
      <c r="PHE56"/>
      <c r="PHF56"/>
      <c r="PHG56"/>
      <c r="PHH56"/>
      <c r="PHI56"/>
      <c r="PHJ56"/>
      <c r="PHK56"/>
      <c r="PHL56"/>
      <c r="PHM56"/>
      <c r="PHN56"/>
      <c r="PHO56"/>
      <c r="PHP56"/>
      <c r="PHQ56"/>
      <c r="PHR56"/>
      <c r="PHS56"/>
      <c r="PHT56"/>
      <c r="PHU56"/>
      <c r="PHV56"/>
      <c r="PHW56"/>
      <c r="PHX56"/>
      <c r="PHY56"/>
      <c r="PHZ56"/>
      <c r="PIA56"/>
      <c r="PIB56"/>
      <c r="PIC56"/>
      <c r="PID56"/>
      <c r="PIE56"/>
      <c r="PIF56"/>
      <c r="PIG56"/>
      <c r="PIH56"/>
      <c r="PII56"/>
      <c r="PIJ56"/>
      <c r="PIK56"/>
      <c r="PIL56"/>
      <c r="PIM56"/>
      <c r="PIN56"/>
      <c r="PIO56"/>
      <c r="PIP56"/>
      <c r="PIQ56"/>
      <c r="PIR56"/>
      <c r="PIS56"/>
      <c r="PIT56"/>
      <c r="PIU56"/>
      <c r="PIV56"/>
      <c r="PIW56"/>
      <c r="PIX56"/>
      <c r="PIY56"/>
      <c r="PIZ56"/>
      <c r="PJA56"/>
      <c r="PJB56"/>
      <c r="PJC56"/>
      <c r="PJD56"/>
      <c r="PJE56"/>
      <c r="PJF56"/>
      <c r="PJG56"/>
      <c r="PJH56"/>
      <c r="PJI56"/>
      <c r="PJJ56"/>
      <c r="PJK56"/>
      <c r="PJL56"/>
      <c r="PJM56"/>
      <c r="PJN56"/>
      <c r="PJO56"/>
      <c r="PJP56"/>
      <c r="PJQ56"/>
      <c r="PJR56"/>
      <c r="PJS56"/>
      <c r="PJT56"/>
      <c r="PJU56"/>
      <c r="PJV56"/>
      <c r="PJW56"/>
      <c r="PJX56"/>
      <c r="PJY56"/>
      <c r="PJZ56"/>
      <c r="PKA56"/>
      <c r="PKB56"/>
      <c r="PKC56"/>
      <c r="PKD56"/>
      <c r="PKE56"/>
      <c r="PKF56"/>
      <c r="PKG56"/>
      <c r="PKH56"/>
      <c r="PKI56"/>
      <c r="PKJ56"/>
      <c r="PKK56"/>
      <c r="PKL56"/>
      <c r="PKM56"/>
      <c r="PKN56"/>
      <c r="PKO56"/>
      <c r="PKP56"/>
      <c r="PKQ56"/>
      <c r="PKR56"/>
      <c r="PKS56"/>
      <c r="PKT56"/>
      <c r="PKU56"/>
      <c r="PKV56"/>
      <c r="PKW56"/>
      <c r="PKX56"/>
      <c r="PKY56"/>
      <c r="PKZ56"/>
      <c r="PLA56"/>
      <c r="PLB56"/>
      <c r="PLC56"/>
      <c r="PLD56"/>
      <c r="PLE56"/>
      <c r="PLF56"/>
      <c r="PLG56"/>
      <c r="PLH56"/>
      <c r="PLI56"/>
      <c r="PLJ56"/>
      <c r="PLK56"/>
      <c r="PLL56"/>
      <c r="PLM56"/>
      <c r="PLN56"/>
      <c r="PLO56"/>
      <c r="PLP56"/>
      <c r="PLQ56"/>
      <c r="PLR56"/>
      <c r="PLS56"/>
      <c r="PLT56"/>
      <c r="PLU56"/>
      <c r="PLV56"/>
      <c r="PLW56"/>
      <c r="PLX56"/>
      <c r="PLY56"/>
      <c r="PLZ56"/>
      <c r="PMA56"/>
      <c r="PMB56"/>
      <c r="PMC56"/>
      <c r="PMD56"/>
      <c r="PME56"/>
      <c r="PMF56"/>
      <c r="PMG56"/>
      <c r="PMH56"/>
      <c r="PMI56"/>
      <c r="PMJ56"/>
      <c r="PMK56"/>
      <c r="PML56"/>
      <c r="PMM56"/>
      <c r="PMN56"/>
      <c r="PMO56"/>
      <c r="PMP56"/>
      <c r="PMQ56"/>
      <c r="PMR56"/>
      <c r="PMS56"/>
      <c r="PMT56"/>
      <c r="PMU56"/>
      <c r="PMV56"/>
      <c r="PMW56"/>
      <c r="PMX56"/>
      <c r="PMY56"/>
      <c r="PMZ56"/>
      <c r="PNA56"/>
      <c r="PNB56"/>
      <c r="PNC56"/>
      <c r="PND56"/>
      <c r="PNE56"/>
      <c r="PNF56"/>
      <c r="PNG56"/>
      <c r="PNH56"/>
      <c r="PNI56"/>
      <c r="PNJ56"/>
      <c r="PNK56"/>
      <c r="PNL56"/>
      <c r="PNM56"/>
      <c r="PNN56"/>
      <c r="PNO56"/>
      <c r="PNP56"/>
      <c r="PNQ56"/>
      <c r="PNR56"/>
      <c r="PNS56"/>
      <c r="PNT56"/>
      <c r="PNU56"/>
      <c r="PNV56"/>
      <c r="PNW56"/>
      <c r="PNX56"/>
      <c r="PNY56"/>
      <c r="PNZ56"/>
      <c r="POA56"/>
      <c r="POB56"/>
      <c r="POC56"/>
      <c r="POD56"/>
      <c r="POE56"/>
      <c r="POF56"/>
      <c r="POG56"/>
      <c r="POH56"/>
      <c r="POI56"/>
      <c r="POJ56"/>
      <c r="POK56"/>
      <c r="POL56"/>
      <c r="POM56"/>
      <c r="PON56"/>
      <c r="POO56"/>
      <c r="POP56"/>
      <c r="POQ56"/>
      <c r="POR56"/>
      <c r="POS56"/>
      <c r="POT56"/>
      <c r="POU56"/>
      <c r="POV56"/>
      <c r="POW56"/>
      <c r="POX56"/>
      <c r="POY56"/>
      <c r="POZ56"/>
      <c r="PPA56"/>
      <c r="PPB56"/>
      <c r="PPC56"/>
      <c r="PPD56"/>
      <c r="PPE56"/>
      <c r="PPF56"/>
      <c r="PPG56"/>
      <c r="PPH56"/>
      <c r="PPI56"/>
      <c r="PPJ56"/>
      <c r="PPK56"/>
      <c r="PPL56"/>
      <c r="PPM56"/>
      <c r="PPN56"/>
      <c r="PPO56"/>
      <c r="PPP56"/>
      <c r="PPQ56"/>
      <c r="PPR56"/>
      <c r="PPS56"/>
      <c r="PPT56"/>
      <c r="PPU56"/>
      <c r="PPV56"/>
      <c r="PPW56"/>
      <c r="PPX56"/>
      <c r="PPY56"/>
      <c r="PPZ56"/>
      <c r="PQA56"/>
      <c r="PQB56"/>
      <c r="PQC56"/>
      <c r="PQD56"/>
      <c r="PQE56"/>
      <c r="PQF56"/>
      <c r="PQG56"/>
      <c r="PQH56"/>
      <c r="PQI56"/>
      <c r="PQJ56"/>
      <c r="PQK56"/>
      <c r="PQL56"/>
      <c r="PQM56"/>
      <c r="PQN56"/>
      <c r="PQO56"/>
      <c r="PQP56"/>
      <c r="PQQ56"/>
      <c r="PQR56"/>
      <c r="PQS56"/>
      <c r="PQT56"/>
      <c r="PQU56"/>
      <c r="PQV56"/>
      <c r="PQW56"/>
      <c r="PQX56"/>
      <c r="PQY56"/>
      <c r="PQZ56"/>
      <c r="PRA56"/>
      <c r="PRB56"/>
      <c r="PRC56"/>
      <c r="PRD56"/>
      <c r="PRE56"/>
      <c r="PRF56"/>
      <c r="PRG56"/>
      <c r="PRH56"/>
      <c r="PRI56"/>
      <c r="PRJ56"/>
      <c r="PRK56"/>
      <c r="PRL56"/>
      <c r="PRM56"/>
      <c r="PRN56"/>
      <c r="PRO56"/>
      <c r="PRP56"/>
      <c r="PRQ56"/>
      <c r="PRR56"/>
      <c r="PRS56"/>
      <c r="PRT56"/>
      <c r="PRU56"/>
      <c r="PRV56"/>
      <c r="PRW56"/>
      <c r="PRX56"/>
      <c r="PRY56"/>
      <c r="PRZ56"/>
      <c r="PSA56"/>
      <c r="PSB56"/>
      <c r="PSC56"/>
      <c r="PSD56"/>
      <c r="PSE56"/>
      <c r="PSF56"/>
      <c r="PSG56"/>
      <c r="PSH56"/>
      <c r="PSI56"/>
      <c r="PSJ56"/>
      <c r="PSK56"/>
      <c r="PSL56"/>
      <c r="PSM56"/>
      <c r="PSN56"/>
      <c r="PSO56"/>
      <c r="PSP56"/>
      <c r="PSQ56"/>
      <c r="PSR56"/>
      <c r="PSS56"/>
      <c r="PST56"/>
      <c r="PSU56"/>
      <c r="PSV56"/>
      <c r="PSW56"/>
      <c r="PSX56"/>
      <c r="PSY56"/>
      <c r="PSZ56"/>
      <c r="PTA56"/>
      <c r="PTB56"/>
      <c r="PTC56"/>
      <c r="PTD56"/>
      <c r="PTE56"/>
      <c r="PTF56"/>
      <c r="PTG56"/>
      <c r="PTH56"/>
      <c r="PTI56"/>
      <c r="PTJ56"/>
      <c r="PTK56"/>
      <c r="PTL56"/>
      <c r="PTM56"/>
      <c r="PTN56"/>
      <c r="PTO56"/>
      <c r="PTP56"/>
      <c r="PTQ56"/>
      <c r="PTR56"/>
      <c r="PTS56"/>
      <c r="PTT56"/>
      <c r="PTU56"/>
      <c r="PTV56"/>
      <c r="PTW56"/>
      <c r="PTX56"/>
      <c r="PTY56"/>
      <c r="PTZ56"/>
      <c r="PUA56"/>
      <c r="PUB56"/>
      <c r="PUC56"/>
      <c r="PUD56"/>
      <c r="PUE56"/>
      <c r="PUF56"/>
      <c r="PUG56"/>
      <c r="PUH56"/>
      <c r="PUI56"/>
      <c r="PUJ56"/>
      <c r="PUK56"/>
      <c r="PUL56"/>
      <c r="PUM56"/>
      <c r="PUN56"/>
      <c r="PUO56"/>
      <c r="PUP56"/>
      <c r="PUQ56"/>
      <c r="PUR56"/>
      <c r="PUS56"/>
      <c r="PUT56"/>
      <c r="PUU56"/>
      <c r="PUV56"/>
      <c r="PUW56"/>
      <c r="PUX56"/>
      <c r="PUY56"/>
      <c r="PUZ56"/>
      <c r="PVA56"/>
      <c r="PVB56"/>
      <c r="PVC56"/>
      <c r="PVD56"/>
      <c r="PVE56"/>
      <c r="PVF56"/>
      <c r="PVG56"/>
      <c r="PVH56"/>
      <c r="PVI56"/>
      <c r="PVJ56"/>
      <c r="PVK56"/>
      <c r="PVL56"/>
      <c r="PVM56"/>
      <c r="PVN56"/>
      <c r="PVO56"/>
      <c r="PVP56"/>
      <c r="PVQ56"/>
      <c r="PVR56"/>
      <c r="PVS56"/>
      <c r="PVT56"/>
      <c r="PVU56"/>
      <c r="PVV56"/>
      <c r="PVW56"/>
      <c r="PVX56"/>
      <c r="PVY56"/>
      <c r="PVZ56"/>
      <c r="PWA56"/>
      <c r="PWB56"/>
      <c r="PWC56"/>
      <c r="PWD56"/>
      <c r="PWE56"/>
      <c r="PWF56"/>
      <c r="PWG56"/>
      <c r="PWH56"/>
      <c r="PWI56"/>
      <c r="PWJ56"/>
      <c r="PWK56"/>
      <c r="PWL56"/>
      <c r="PWM56"/>
      <c r="PWN56"/>
      <c r="PWO56"/>
      <c r="PWP56"/>
      <c r="PWQ56"/>
      <c r="PWR56"/>
      <c r="PWS56"/>
      <c r="PWT56"/>
      <c r="PWU56"/>
      <c r="PWV56"/>
      <c r="PWW56"/>
      <c r="PWX56"/>
      <c r="PWY56"/>
      <c r="PWZ56"/>
      <c r="PXA56"/>
      <c r="PXB56"/>
      <c r="PXC56"/>
      <c r="PXD56"/>
      <c r="PXE56"/>
      <c r="PXF56"/>
      <c r="PXG56"/>
      <c r="PXH56"/>
      <c r="PXI56"/>
      <c r="PXJ56"/>
      <c r="PXK56"/>
      <c r="PXL56"/>
      <c r="PXM56"/>
      <c r="PXN56"/>
      <c r="PXO56"/>
      <c r="PXP56"/>
      <c r="PXQ56"/>
      <c r="PXR56"/>
      <c r="PXS56"/>
      <c r="PXT56"/>
      <c r="PXU56"/>
      <c r="PXV56"/>
      <c r="PXW56"/>
      <c r="PXX56"/>
      <c r="PXY56"/>
      <c r="PXZ56"/>
      <c r="PYA56"/>
      <c r="PYB56"/>
      <c r="PYC56"/>
      <c r="PYD56"/>
      <c r="PYE56"/>
      <c r="PYF56"/>
      <c r="PYG56"/>
      <c r="PYH56"/>
      <c r="PYI56"/>
      <c r="PYJ56"/>
      <c r="PYK56"/>
      <c r="PYL56"/>
      <c r="PYM56"/>
      <c r="PYN56"/>
      <c r="PYO56"/>
      <c r="PYP56"/>
      <c r="PYQ56"/>
      <c r="PYR56"/>
      <c r="PYS56"/>
      <c r="PYT56"/>
      <c r="PYU56"/>
      <c r="PYV56"/>
      <c r="PYW56"/>
      <c r="PYX56"/>
      <c r="PYY56"/>
      <c r="PYZ56"/>
      <c r="PZA56"/>
      <c r="PZB56"/>
      <c r="PZC56"/>
      <c r="PZD56"/>
      <c r="PZE56"/>
      <c r="PZF56"/>
      <c r="PZG56"/>
      <c r="PZH56"/>
      <c r="PZI56"/>
      <c r="PZJ56"/>
      <c r="PZK56"/>
      <c r="PZL56"/>
      <c r="PZM56"/>
      <c r="PZN56"/>
      <c r="PZO56"/>
      <c r="PZP56"/>
      <c r="PZQ56"/>
      <c r="PZR56"/>
      <c r="PZS56"/>
      <c r="PZT56"/>
      <c r="PZU56"/>
      <c r="PZV56"/>
      <c r="PZW56"/>
      <c r="PZX56"/>
      <c r="PZY56"/>
      <c r="PZZ56"/>
      <c r="QAA56"/>
      <c r="QAB56"/>
      <c r="QAC56"/>
      <c r="QAD56"/>
      <c r="QAE56"/>
      <c r="QAF56"/>
      <c r="QAG56"/>
      <c r="QAH56"/>
      <c r="QAI56"/>
      <c r="QAJ56"/>
      <c r="QAK56"/>
      <c r="QAL56"/>
      <c r="QAM56"/>
      <c r="QAN56"/>
      <c r="QAO56"/>
      <c r="QAP56"/>
      <c r="QAQ56"/>
      <c r="QAR56"/>
      <c r="QAS56"/>
      <c r="QAT56"/>
      <c r="QAU56"/>
      <c r="QAV56"/>
      <c r="QAW56"/>
      <c r="QAX56"/>
      <c r="QAY56"/>
      <c r="QAZ56"/>
      <c r="QBA56"/>
      <c r="QBB56"/>
      <c r="QBC56"/>
      <c r="QBD56"/>
      <c r="QBE56"/>
      <c r="QBF56"/>
      <c r="QBG56"/>
      <c r="QBH56"/>
      <c r="QBI56"/>
      <c r="QBJ56"/>
      <c r="QBK56"/>
      <c r="QBL56"/>
      <c r="QBM56"/>
      <c r="QBN56"/>
      <c r="QBO56"/>
      <c r="QBP56"/>
      <c r="QBQ56"/>
      <c r="QBR56"/>
      <c r="QBS56"/>
      <c r="QBT56"/>
      <c r="QBU56"/>
      <c r="QBV56"/>
      <c r="QBW56"/>
      <c r="QBX56"/>
      <c r="QBY56"/>
      <c r="QBZ56"/>
      <c r="QCA56"/>
      <c r="QCB56"/>
      <c r="QCC56"/>
      <c r="QCD56"/>
      <c r="QCE56"/>
      <c r="QCF56"/>
      <c r="QCG56"/>
      <c r="QCH56"/>
      <c r="QCI56"/>
      <c r="QCJ56"/>
      <c r="QCK56"/>
      <c r="QCL56"/>
      <c r="QCM56"/>
      <c r="QCN56"/>
      <c r="QCO56"/>
      <c r="QCP56"/>
      <c r="QCQ56"/>
      <c r="QCR56"/>
      <c r="QCS56"/>
      <c r="QCT56"/>
      <c r="QCU56"/>
      <c r="QCV56"/>
      <c r="QCW56"/>
      <c r="QCX56"/>
      <c r="QCY56"/>
      <c r="QCZ56"/>
      <c r="QDA56"/>
      <c r="QDB56"/>
      <c r="QDC56"/>
      <c r="QDD56"/>
      <c r="QDE56"/>
      <c r="QDF56"/>
      <c r="QDG56"/>
      <c r="QDH56"/>
      <c r="QDI56"/>
      <c r="QDJ56"/>
      <c r="QDK56"/>
      <c r="QDL56"/>
      <c r="QDM56"/>
      <c r="QDN56"/>
      <c r="QDO56"/>
      <c r="QDP56"/>
      <c r="QDQ56"/>
      <c r="QDR56"/>
      <c r="QDS56"/>
      <c r="QDT56"/>
      <c r="QDU56"/>
      <c r="QDV56"/>
      <c r="QDW56"/>
      <c r="QDX56"/>
      <c r="QDY56"/>
      <c r="QDZ56"/>
      <c r="QEA56"/>
      <c r="QEB56"/>
      <c r="QEC56"/>
      <c r="QED56"/>
      <c r="QEE56"/>
      <c r="QEF56"/>
      <c r="QEG56"/>
      <c r="QEH56"/>
      <c r="QEI56"/>
      <c r="QEJ56"/>
      <c r="QEK56"/>
      <c r="QEL56"/>
      <c r="QEM56"/>
      <c r="QEN56"/>
      <c r="QEO56"/>
      <c r="QEP56"/>
      <c r="QEQ56"/>
      <c r="QER56"/>
      <c r="QES56"/>
      <c r="QET56"/>
      <c r="QEU56"/>
      <c r="QEV56"/>
      <c r="QEW56"/>
      <c r="QEX56"/>
      <c r="QEY56"/>
      <c r="QEZ56"/>
      <c r="QFA56"/>
      <c r="QFB56"/>
      <c r="QFC56"/>
      <c r="QFD56"/>
      <c r="QFE56"/>
      <c r="QFF56"/>
      <c r="QFG56"/>
      <c r="QFH56"/>
      <c r="QFI56"/>
      <c r="QFJ56"/>
      <c r="QFK56"/>
      <c r="QFL56"/>
      <c r="QFM56"/>
      <c r="QFN56"/>
      <c r="QFO56"/>
      <c r="QFP56"/>
      <c r="QFQ56"/>
      <c r="QFR56"/>
      <c r="QFS56"/>
      <c r="QFT56"/>
      <c r="QFU56"/>
      <c r="QFV56"/>
      <c r="QFW56"/>
      <c r="QFX56"/>
      <c r="QFY56"/>
      <c r="QFZ56"/>
      <c r="QGA56"/>
      <c r="QGB56"/>
      <c r="QGC56"/>
      <c r="QGD56"/>
      <c r="QGE56"/>
      <c r="QGF56"/>
      <c r="QGG56"/>
      <c r="QGH56"/>
      <c r="QGI56"/>
      <c r="QGJ56"/>
      <c r="QGK56"/>
      <c r="QGL56"/>
      <c r="QGM56"/>
      <c r="QGN56"/>
      <c r="QGO56"/>
      <c r="QGP56"/>
      <c r="QGQ56"/>
      <c r="QGR56"/>
      <c r="QGS56"/>
      <c r="QGT56"/>
      <c r="QGU56"/>
      <c r="QGV56"/>
      <c r="QGW56"/>
      <c r="QGX56"/>
      <c r="QGY56"/>
      <c r="QGZ56"/>
      <c r="QHA56"/>
      <c r="QHB56"/>
      <c r="QHC56"/>
      <c r="QHD56"/>
      <c r="QHE56"/>
      <c r="QHF56"/>
      <c r="QHG56"/>
      <c r="QHH56"/>
      <c r="QHI56"/>
      <c r="QHJ56"/>
      <c r="QHK56"/>
      <c r="QHL56"/>
      <c r="QHM56"/>
      <c r="QHN56"/>
      <c r="QHO56"/>
      <c r="QHP56"/>
      <c r="QHQ56"/>
      <c r="QHR56"/>
      <c r="QHS56"/>
      <c r="QHT56"/>
      <c r="QHU56"/>
      <c r="QHV56"/>
      <c r="QHW56"/>
      <c r="QHX56"/>
      <c r="QHY56"/>
      <c r="QHZ56"/>
      <c r="QIA56"/>
      <c r="QIB56"/>
      <c r="QIC56"/>
      <c r="QID56"/>
      <c r="QIE56"/>
      <c r="QIF56"/>
      <c r="QIG56"/>
      <c r="QIH56"/>
      <c r="QII56"/>
      <c r="QIJ56"/>
      <c r="QIK56"/>
      <c r="QIL56"/>
      <c r="QIM56"/>
      <c r="QIN56"/>
      <c r="QIO56"/>
      <c r="QIP56"/>
      <c r="QIQ56"/>
      <c r="QIR56"/>
      <c r="QIS56"/>
      <c r="QIT56"/>
      <c r="QIU56"/>
      <c r="QIV56"/>
      <c r="QIW56"/>
      <c r="QIX56"/>
      <c r="QIY56"/>
      <c r="QIZ56"/>
      <c r="QJA56"/>
      <c r="QJB56"/>
      <c r="QJC56"/>
      <c r="QJD56"/>
      <c r="QJE56"/>
      <c r="QJF56"/>
      <c r="QJG56"/>
      <c r="QJH56"/>
      <c r="QJI56"/>
      <c r="QJJ56"/>
      <c r="QJK56"/>
      <c r="QJL56"/>
      <c r="QJM56"/>
      <c r="QJN56"/>
      <c r="QJO56"/>
      <c r="QJP56"/>
      <c r="QJQ56"/>
      <c r="QJR56"/>
      <c r="QJS56"/>
      <c r="QJT56"/>
      <c r="QJU56"/>
      <c r="QJV56"/>
      <c r="QJW56"/>
      <c r="QJX56"/>
      <c r="QJY56"/>
      <c r="QJZ56"/>
      <c r="QKA56"/>
      <c r="QKB56"/>
      <c r="QKC56"/>
      <c r="QKD56"/>
      <c r="QKE56"/>
      <c r="QKF56"/>
      <c r="QKG56"/>
      <c r="QKH56"/>
      <c r="QKI56"/>
      <c r="QKJ56"/>
      <c r="QKK56"/>
      <c r="QKL56"/>
      <c r="QKM56"/>
      <c r="QKN56"/>
      <c r="QKO56"/>
      <c r="QKP56"/>
      <c r="QKQ56"/>
      <c r="QKR56"/>
      <c r="QKS56"/>
      <c r="QKT56"/>
      <c r="QKU56"/>
      <c r="QKV56"/>
      <c r="QKW56"/>
      <c r="QKX56"/>
      <c r="QKY56"/>
      <c r="QKZ56"/>
      <c r="QLA56"/>
      <c r="QLB56"/>
      <c r="QLC56"/>
      <c r="QLD56"/>
      <c r="QLE56"/>
      <c r="QLF56"/>
      <c r="QLG56"/>
      <c r="QLH56"/>
      <c r="QLI56"/>
      <c r="QLJ56"/>
      <c r="QLK56"/>
      <c r="QLL56"/>
      <c r="QLM56"/>
      <c r="QLN56"/>
      <c r="QLO56"/>
      <c r="QLP56"/>
      <c r="QLQ56"/>
      <c r="QLR56"/>
      <c r="QLS56"/>
      <c r="QLT56"/>
      <c r="QLU56"/>
      <c r="QLV56"/>
      <c r="QLW56"/>
      <c r="QLX56"/>
      <c r="QLY56"/>
      <c r="QLZ56"/>
      <c r="QMA56"/>
      <c r="QMB56"/>
      <c r="QMC56"/>
      <c r="QMD56"/>
      <c r="QME56"/>
      <c r="QMF56"/>
      <c r="QMG56"/>
      <c r="QMH56"/>
      <c r="QMI56"/>
      <c r="QMJ56"/>
      <c r="QMK56"/>
      <c r="QML56"/>
      <c r="QMM56"/>
      <c r="QMN56"/>
      <c r="QMO56"/>
      <c r="QMP56"/>
      <c r="QMQ56"/>
      <c r="QMR56"/>
      <c r="QMS56"/>
      <c r="QMT56"/>
      <c r="QMU56"/>
      <c r="QMV56"/>
      <c r="QMW56"/>
      <c r="QMX56"/>
      <c r="QMY56"/>
      <c r="QMZ56"/>
      <c r="QNA56"/>
      <c r="QNB56"/>
      <c r="QNC56"/>
      <c r="QND56"/>
      <c r="QNE56"/>
      <c r="QNF56"/>
      <c r="QNG56"/>
      <c r="QNH56"/>
      <c r="QNI56"/>
      <c r="QNJ56"/>
      <c r="QNK56"/>
      <c r="QNL56"/>
      <c r="QNM56"/>
      <c r="QNN56"/>
      <c r="QNO56"/>
      <c r="QNP56"/>
      <c r="QNQ56"/>
      <c r="QNR56"/>
      <c r="QNS56"/>
      <c r="QNT56"/>
      <c r="QNU56"/>
      <c r="QNV56"/>
      <c r="QNW56"/>
      <c r="QNX56"/>
      <c r="QNY56"/>
      <c r="QNZ56"/>
      <c r="QOA56"/>
      <c r="QOB56"/>
      <c r="QOC56"/>
      <c r="QOD56"/>
      <c r="QOE56"/>
      <c r="QOF56"/>
      <c r="QOG56"/>
      <c r="QOH56"/>
      <c r="QOI56"/>
      <c r="QOJ56"/>
      <c r="QOK56"/>
      <c r="QOL56"/>
      <c r="QOM56"/>
      <c r="QON56"/>
      <c r="QOO56"/>
      <c r="QOP56"/>
      <c r="QOQ56"/>
      <c r="QOR56"/>
      <c r="QOS56"/>
      <c r="QOT56"/>
      <c r="QOU56"/>
      <c r="QOV56"/>
      <c r="QOW56"/>
      <c r="QOX56"/>
      <c r="QOY56"/>
      <c r="QOZ56"/>
      <c r="QPA56"/>
      <c r="QPB56"/>
      <c r="QPC56"/>
      <c r="QPD56"/>
      <c r="QPE56"/>
      <c r="QPF56"/>
      <c r="QPG56"/>
      <c r="QPH56"/>
      <c r="QPI56"/>
      <c r="QPJ56"/>
      <c r="QPK56"/>
      <c r="QPL56"/>
      <c r="QPM56"/>
      <c r="QPN56"/>
      <c r="QPO56"/>
      <c r="QPP56"/>
      <c r="QPQ56"/>
      <c r="QPR56"/>
      <c r="QPS56"/>
      <c r="QPT56"/>
      <c r="QPU56"/>
      <c r="QPV56"/>
      <c r="QPW56"/>
      <c r="QPX56"/>
      <c r="QPY56"/>
      <c r="QPZ56"/>
      <c r="QQA56"/>
      <c r="QQB56"/>
      <c r="QQC56"/>
      <c r="QQD56"/>
      <c r="QQE56"/>
      <c r="QQF56"/>
      <c r="QQG56"/>
      <c r="QQH56"/>
      <c r="QQI56"/>
      <c r="QQJ56"/>
      <c r="QQK56"/>
      <c r="QQL56"/>
      <c r="QQM56"/>
      <c r="QQN56"/>
      <c r="QQO56"/>
      <c r="QQP56"/>
      <c r="QQQ56"/>
      <c r="QQR56"/>
      <c r="QQS56"/>
      <c r="QQT56"/>
      <c r="QQU56"/>
      <c r="QQV56"/>
      <c r="QQW56"/>
      <c r="QQX56"/>
      <c r="QQY56"/>
      <c r="QQZ56"/>
      <c r="QRA56"/>
      <c r="QRB56"/>
      <c r="QRC56"/>
      <c r="QRD56"/>
      <c r="QRE56"/>
      <c r="QRF56"/>
      <c r="QRG56"/>
      <c r="QRH56"/>
      <c r="QRI56"/>
      <c r="QRJ56"/>
      <c r="QRK56"/>
      <c r="QRL56"/>
      <c r="QRM56"/>
      <c r="QRN56"/>
      <c r="QRO56"/>
      <c r="QRP56"/>
      <c r="QRQ56"/>
      <c r="QRR56"/>
      <c r="QRS56"/>
      <c r="QRT56"/>
      <c r="QRU56"/>
      <c r="QRV56"/>
      <c r="QRW56"/>
      <c r="QRX56"/>
      <c r="QRY56"/>
      <c r="QRZ56"/>
      <c r="QSA56"/>
      <c r="QSB56"/>
      <c r="QSC56"/>
      <c r="QSD56"/>
      <c r="QSE56"/>
      <c r="QSF56"/>
      <c r="QSG56"/>
      <c r="QSH56"/>
      <c r="QSI56"/>
      <c r="QSJ56"/>
      <c r="QSK56"/>
      <c r="QSL56"/>
      <c r="QSM56"/>
      <c r="QSN56"/>
      <c r="QSO56"/>
      <c r="QSP56"/>
      <c r="QSQ56"/>
      <c r="QSR56"/>
      <c r="QSS56"/>
      <c r="QST56"/>
      <c r="QSU56"/>
      <c r="QSV56"/>
      <c r="QSW56"/>
      <c r="QSX56"/>
      <c r="QSY56"/>
      <c r="QSZ56"/>
      <c r="QTA56"/>
      <c r="QTB56"/>
      <c r="QTC56"/>
      <c r="QTD56"/>
      <c r="QTE56"/>
      <c r="QTF56"/>
      <c r="QTG56"/>
      <c r="QTH56"/>
      <c r="QTI56"/>
      <c r="QTJ56"/>
      <c r="QTK56"/>
      <c r="QTL56"/>
      <c r="QTM56"/>
      <c r="QTN56"/>
      <c r="QTO56"/>
      <c r="QTP56"/>
      <c r="QTQ56"/>
      <c r="QTR56"/>
      <c r="QTS56"/>
      <c r="QTT56"/>
      <c r="QTU56"/>
      <c r="QTV56"/>
      <c r="QTW56"/>
      <c r="QTX56"/>
      <c r="QTY56"/>
      <c r="QTZ56"/>
      <c r="QUA56"/>
      <c r="QUB56"/>
      <c r="QUC56"/>
      <c r="QUD56"/>
      <c r="QUE56"/>
      <c r="QUF56"/>
      <c r="QUG56"/>
      <c r="QUH56"/>
      <c r="QUI56"/>
      <c r="QUJ56"/>
      <c r="QUK56"/>
      <c r="QUL56"/>
      <c r="QUM56"/>
      <c r="QUN56"/>
      <c r="QUO56"/>
      <c r="QUP56"/>
      <c r="QUQ56"/>
      <c r="QUR56"/>
      <c r="QUS56"/>
      <c r="QUT56"/>
      <c r="QUU56"/>
      <c r="QUV56"/>
      <c r="QUW56"/>
      <c r="QUX56"/>
      <c r="QUY56"/>
      <c r="QUZ56"/>
      <c r="QVA56"/>
      <c r="QVB56"/>
      <c r="QVC56"/>
      <c r="QVD56"/>
      <c r="QVE56"/>
      <c r="QVF56"/>
      <c r="QVG56"/>
      <c r="QVH56"/>
      <c r="QVI56"/>
      <c r="QVJ56"/>
      <c r="QVK56"/>
      <c r="QVL56"/>
      <c r="QVM56"/>
      <c r="QVN56"/>
      <c r="QVO56"/>
      <c r="QVP56"/>
      <c r="QVQ56"/>
      <c r="QVR56"/>
      <c r="QVS56"/>
      <c r="QVT56"/>
      <c r="QVU56"/>
      <c r="QVV56"/>
      <c r="QVW56"/>
      <c r="QVX56"/>
      <c r="QVY56"/>
      <c r="QVZ56"/>
      <c r="QWA56"/>
      <c r="QWB56"/>
      <c r="QWC56"/>
      <c r="QWD56"/>
      <c r="QWE56"/>
      <c r="QWF56"/>
      <c r="QWG56"/>
      <c r="QWH56"/>
      <c r="QWI56"/>
      <c r="QWJ56"/>
      <c r="QWK56"/>
      <c r="QWL56"/>
      <c r="QWM56"/>
      <c r="QWN56"/>
      <c r="QWO56"/>
      <c r="QWP56"/>
      <c r="QWQ56"/>
      <c r="QWR56"/>
      <c r="QWS56"/>
      <c r="QWT56"/>
      <c r="QWU56"/>
      <c r="QWV56"/>
      <c r="QWW56"/>
      <c r="QWX56"/>
      <c r="QWY56"/>
      <c r="QWZ56"/>
      <c r="QXA56"/>
      <c r="QXB56"/>
      <c r="QXC56"/>
      <c r="QXD56"/>
      <c r="QXE56"/>
      <c r="QXF56"/>
      <c r="QXG56"/>
      <c r="QXH56"/>
      <c r="QXI56"/>
      <c r="QXJ56"/>
      <c r="QXK56"/>
      <c r="QXL56"/>
      <c r="QXM56"/>
      <c r="QXN56"/>
      <c r="QXO56"/>
      <c r="QXP56"/>
      <c r="QXQ56"/>
      <c r="QXR56"/>
      <c r="QXS56"/>
      <c r="QXT56"/>
      <c r="QXU56"/>
      <c r="QXV56"/>
      <c r="QXW56"/>
      <c r="QXX56"/>
      <c r="QXY56"/>
      <c r="QXZ56"/>
      <c r="QYA56"/>
      <c r="QYB56"/>
      <c r="QYC56"/>
      <c r="QYD56"/>
      <c r="QYE56"/>
      <c r="QYF56"/>
      <c r="QYG56"/>
      <c r="QYH56"/>
      <c r="QYI56"/>
      <c r="QYJ56"/>
      <c r="QYK56"/>
      <c r="QYL56"/>
      <c r="QYM56"/>
      <c r="QYN56"/>
      <c r="QYO56"/>
      <c r="QYP56"/>
      <c r="QYQ56"/>
      <c r="QYR56"/>
      <c r="QYS56"/>
      <c r="QYT56"/>
      <c r="QYU56"/>
      <c r="QYV56"/>
      <c r="QYW56"/>
      <c r="QYX56"/>
      <c r="QYY56"/>
      <c r="QYZ56"/>
      <c r="QZA56"/>
      <c r="QZB56"/>
      <c r="QZC56"/>
      <c r="QZD56"/>
      <c r="QZE56"/>
      <c r="QZF56"/>
      <c r="QZG56"/>
      <c r="QZH56"/>
      <c r="QZI56"/>
      <c r="QZJ56"/>
      <c r="QZK56"/>
      <c r="QZL56"/>
      <c r="QZM56"/>
      <c r="QZN56"/>
      <c r="QZO56"/>
      <c r="QZP56"/>
      <c r="QZQ56"/>
      <c r="QZR56"/>
      <c r="QZS56"/>
      <c r="QZT56"/>
      <c r="QZU56"/>
      <c r="QZV56"/>
      <c r="QZW56"/>
      <c r="QZX56"/>
      <c r="QZY56"/>
      <c r="QZZ56"/>
      <c r="RAA56"/>
      <c r="RAB56"/>
      <c r="RAC56"/>
      <c r="RAD56"/>
      <c r="RAE56"/>
      <c r="RAF56"/>
      <c r="RAG56"/>
      <c r="RAH56"/>
      <c r="RAI56"/>
      <c r="RAJ56"/>
      <c r="RAK56"/>
      <c r="RAL56"/>
      <c r="RAM56"/>
      <c r="RAN56"/>
      <c r="RAO56"/>
      <c r="RAP56"/>
      <c r="RAQ56"/>
      <c r="RAR56"/>
      <c r="RAS56"/>
      <c r="RAT56"/>
      <c r="RAU56"/>
      <c r="RAV56"/>
      <c r="RAW56"/>
      <c r="RAX56"/>
      <c r="RAY56"/>
      <c r="RAZ56"/>
      <c r="RBA56"/>
      <c r="RBB56"/>
      <c r="RBC56"/>
      <c r="RBD56"/>
      <c r="RBE56"/>
      <c r="RBF56"/>
      <c r="RBG56"/>
      <c r="RBH56"/>
      <c r="RBI56"/>
      <c r="RBJ56"/>
      <c r="RBK56"/>
      <c r="RBL56"/>
      <c r="RBM56"/>
      <c r="RBN56"/>
      <c r="RBO56"/>
      <c r="RBP56"/>
      <c r="RBQ56"/>
      <c r="RBR56"/>
      <c r="RBS56"/>
      <c r="RBT56"/>
      <c r="RBU56"/>
      <c r="RBV56"/>
      <c r="RBW56"/>
      <c r="RBX56"/>
      <c r="RBY56"/>
      <c r="RBZ56"/>
      <c r="RCA56"/>
      <c r="RCB56"/>
      <c r="RCC56"/>
      <c r="RCD56"/>
      <c r="RCE56"/>
      <c r="RCF56"/>
      <c r="RCG56"/>
      <c r="RCH56"/>
      <c r="RCI56"/>
      <c r="RCJ56"/>
      <c r="RCK56"/>
      <c r="RCL56"/>
      <c r="RCM56"/>
      <c r="RCN56"/>
      <c r="RCO56"/>
      <c r="RCP56"/>
      <c r="RCQ56"/>
      <c r="RCR56"/>
      <c r="RCS56"/>
      <c r="RCT56"/>
      <c r="RCU56"/>
      <c r="RCV56"/>
      <c r="RCW56"/>
      <c r="RCX56"/>
      <c r="RCY56"/>
      <c r="RCZ56"/>
      <c r="RDA56"/>
      <c r="RDB56"/>
      <c r="RDC56"/>
      <c r="RDD56"/>
      <c r="RDE56"/>
      <c r="RDF56"/>
      <c r="RDG56"/>
      <c r="RDH56"/>
      <c r="RDI56"/>
      <c r="RDJ56"/>
      <c r="RDK56"/>
      <c r="RDL56"/>
      <c r="RDM56"/>
      <c r="RDN56"/>
      <c r="RDO56"/>
      <c r="RDP56"/>
      <c r="RDQ56"/>
      <c r="RDR56"/>
      <c r="RDS56"/>
      <c r="RDT56"/>
      <c r="RDU56"/>
      <c r="RDV56"/>
      <c r="RDW56"/>
      <c r="RDX56"/>
      <c r="RDY56"/>
      <c r="RDZ56"/>
      <c r="REA56"/>
      <c r="REB56"/>
      <c r="REC56"/>
      <c r="RED56"/>
      <c r="REE56"/>
      <c r="REF56"/>
      <c r="REG56"/>
      <c r="REH56"/>
      <c r="REI56"/>
      <c r="REJ56"/>
      <c r="REK56"/>
      <c r="REL56"/>
      <c r="REM56"/>
      <c r="REN56"/>
      <c r="REO56"/>
      <c r="REP56"/>
      <c r="REQ56"/>
      <c r="RER56"/>
      <c r="RES56"/>
      <c r="RET56"/>
      <c r="REU56"/>
      <c r="REV56"/>
      <c r="REW56"/>
      <c r="REX56"/>
      <c r="REY56"/>
      <c r="REZ56"/>
      <c r="RFA56"/>
      <c r="RFB56"/>
      <c r="RFC56"/>
      <c r="RFD56"/>
      <c r="RFE56"/>
      <c r="RFF56"/>
      <c r="RFG56"/>
      <c r="RFH56"/>
      <c r="RFI56"/>
      <c r="RFJ56"/>
      <c r="RFK56"/>
      <c r="RFL56"/>
      <c r="RFM56"/>
      <c r="RFN56"/>
      <c r="RFO56"/>
      <c r="RFP56"/>
      <c r="RFQ56"/>
      <c r="RFR56"/>
      <c r="RFS56"/>
      <c r="RFT56"/>
      <c r="RFU56"/>
      <c r="RFV56"/>
      <c r="RFW56"/>
      <c r="RFX56"/>
      <c r="RFY56"/>
      <c r="RFZ56"/>
      <c r="RGA56"/>
      <c r="RGB56"/>
      <c r="RGC56"/>
      <c r="RGD56"/>
      <c r="RGE56"/>
      <c r="RGF56"/>
      <c r="RGG56"/>
      <c r="RGH56"/>
      <c r="RGI56"/>
      <c r="RGJ56"/>
      <c r="RGK56"/>
      <c r="RGL56"/>
      <c r="RGM56"/>
      <c r="RGN56"/>
      <c r="RGO56"/>
      <c r="RGP56"/>
      <c r="RGQ56"/>
      <c r="RGR56"/>
      <c r="RGS56"/>
      <c r="RGT56"/>
      <c r="RGU56"/>
      <c r="RGV56"/>
      <c r="RGW56"/>
      <c r="RGX56"/>
      <c r="RGY56"/>
      <c r="RGZ56"/>
      <c r="RHA56"/>
      <c r="RHB56"/>
      <c r="RHC56"/>
      <c r="RHD56"/>
      <c r="RHE56"/>
      <c r="RHF56"/>
      <c r="RHG56"/>
      <c r="RHH56"/>
      <c r="RHI56"/>
      <c r="RHJ56"/>
      <c r="RHK56"/>
      <c r="RHL56"/>
      <c r="RHM56"/>
      <c r="RHN56"/>
      <c r="RHO56"/>
      <c r="RHP56"/>
      <c r="RHQ56"/>
      <c r="RHR56"/>
      <c r="RHS56"/>
      <c r="RHT56"/>
      <c r="RHU56"/>
      <c r="RHV56"/>
      <c r="RHW56"/>
      <c r="RHX56"/>
      <c r="RHY56"/>
      <c r="RHZ56"/>
      <c r="RIA56"/>
      <c r="RIB56"/>
      <c r="RIC56"/>
      <c r="RID56"/>
      <c r="RIE56"/>
      <c r="RIF56"/>
      <c r="RIG56"/>
      <c r="RIH56"/>
      <c r="RII56"/>
      <c r="RIJ56"/>
      <c r="RIK56"/>
      <c r="RIL56"/>
      <c r="RIM56"/>
      <c r="RIN56"/>
      <c r="RIO56"/>
      <c r="RIP56"/>
      <c r="RIQ56"/>
      <c r="RIR56"/>
      <c r="RIS56"/>
      <c r="RIT56"/>
      <c r="RIU56"/>
      <c r="RIV56"/>
      <c r="RIW56"/>
      <c r="RIX56"/>
      <c r="RIY56"/>
      <c r="RIZ56"/>
      <c r="RJA56"/>
      <c r="RJB56"/>
      <c r="RJC56"/>
      <c r="RJD56"/>
      <c r="RJE56"/>
      <c r="RJF56"/>
      <c r="RJG56"/>
      <c r="RJH56"/>
      <c r="RJI56"/>
      <c r="RJJ56"/>
      <c r="RJK56"/>
      <c r="RJL56"/>
      <c r="RJM56"/>
      <c r="RJN56"/>
      <c r="RJO56"/>
      <c r="RJP56"/>
      <c r="RJQ56"/>
      <c r="RJR56"/>
      <c r="RJS56"/>
      <c r="RJT56"/>
      <c r="RJU56"/>
      <c r="RJV56"/>
      <c r="RJW56"/>
      <c r="RJX56"/>
      <c r="RJY56"/>
      <c r="RJZ56"/>
      <c r="RKA56"/>
      <c r="RKB56"/>
      <c r="RKC56"/>
      <c r="RKD56"/>
      <c r="RKE56"/>
      <c r="RKF56"/>
      <c r="RKG56"/>
      <c r="RKH56"/>
      <c r="RKI56"/>
      <c r="RKJ56"/>
      <c r="RKK56"/>
      <c r="RKL56"/>
      <c r="RKM56"/>
      <c r="RKN56"/>
      <c r="RKO56"/>
      <c r="RKP56"/>
      <c r="RKQ56"/>
      <c r="RKR56"/>
      <c r="RKS56"/>
      <c r="RKT56"/>
      <c r="RKU56"/>
      <c r="RKV56"/>
      <c r="RKW56"/>
      <c r="RKX56"/>
      <c r="RKY56"/>
      <c r="RKZ56"/>
      <c r="RLA56"/>
      <c r="RLB56"/>
      <c r="RLC56"/>
      <c r="RLD56"/>
      <c r="RLE56"/>
      <c r="RLF56"/>
      <c r="RLG56"/>
      <c r="RLH56"/>
      <c r="RLI56"/>
      <c r="RLJ56"/>
      <c r="RLK56"/>
      <c r="RLL56"/>
      <c r="RLM56"/>
      <c r="RLN56"/>
      <c r="RLO56"/>
      <c r="RLP56"/>
      <c r="RLQ56"/>
      <c r="RLR56"/>
      <c r="RLS56"/>
      <c r="RLT56"/>
      <c r="RLU56"/>
      <c r="RLV56"/>
      <c r="RLW56"/>
      <c r="RLX56"/>
      <c r="RLY56"/>
      <c r="RLZ56"/>
      <c r="RMA56"/>
      <c r="RMB56"/>
      <c r="RMC56"/>
      <c r="RMD56"/>
      <c r="RME56"/>
      <c r="RMF56"/>
      <c r="RMG56"/>
      <c r="RMH56"/>
      <c r="RMI56"/>
      <c r="RMJ56"/>
      <c r="RMK56"/>
      <c r="RML56"/>
      <c r="RMM56"/>
      <c r="RMN56"/>
      <c r="RMO56"/>
      <c r="RMP56"/>
      <c r="RMQ56"/>
      <c r="RMR56"/>
      <c r="RMS56"/>
      <c r="RMT56"/>
      <c r="RMU56"/>
      <c r="RMV56"/>
      <c r="RMW56"/>
      <c r="RMX56"/>
      <c r="RMY56"/>
      <c r="RMZ56"/>
      <c r="RNA56"/>
      <c r="RNB56"/>
      <c r="RNC56"/>
      <c r="RND56"/>
      <c r="RNE56"/>
      <c r="RNF56"/>
      <c r="RNG56"/>
      <c r="RNH56"/>
      <c r="RNI56"/>
      <c r="RNJ56"/>
      <c r="RNK56"/>
      <c r="RNL56"/>
      <c r="RNM56"/>
      <c r="RNN56"/>
      <c r="RNO56"/>
      <c r="RNP56"/>
      <c r="RNQ56"/>
      <c r="RNR56"/>
      <c r="RNS56"/>
      <c r="RNT56"/>
      <c r="RNU56"/>
      <c r="RNV56"/>
      <c r="RNW56"/>
      <c r="RNX56"/>
      <c r="RNY56"/>
      <c r="RNZ56"/>
      <c r="ROA56"/>
      <c r="ROB56"/>
      <c r="ROC56"/>
      <c r="ROD56"/>
      <c r="ROE56"/>
      <c r="ROF56"/>
      <c r="ROG56"/>
      <c r="ROH56"/>
      <c r="ROI56"/>
      <c r="ROJ56"/>
      <c r="ROK56"/>
      <c r="ROL56"/>
      <c r="ROM56"/>
      <c r="RON56"/>
      <c r="ROO56"/>
      <c r="ROP56"/>
      <c r="ROQ56"/>
      <c r="ROR56"/>
      <c r="ROS56"/>
      <c r="ROT56"/>
      <c r="ROU56"/>
      <c r="ROV56"/>
      <c r="ROW56"/>
      <c r="ROX56"/>
      <c r="ROY56"/>
      <c r="ROZ56"/>
      <c r="RPA56"/>
      <c r="RPB56"/>
      <c r="RPC56"/>
      <c r="RPD56"/>
      <c r="RPE56"/>
      <c r="RPF56"/>
      <c r="RPG56"/>
      <c r="RPH56"/>
      <c r="RPI56"/>
      <c r="RPJ56"/>
      <c r="RPK56"/>
      <c r="RPL56"/>
      <c r="RPM56"/>
      <c r="RPN56"/>
      <c r="RPO56"/>
      <c r="RPP56"/>
      <c r="RPQ56"/>
      <c r="RPR56"/>
      <c r="RPS56"/>
      <c r="RPT56"/>
      <c r="RPU56"/>
      <c r="RPV56"/>
      <c r="RPW56"/>
      <c r="RPX56"/>
      <c r="RPY56"/>
      <c r="RPZ56"/>
      <c r="RQA56"/>
      <c r="RQB56"/>
      <c r="RQC56"/>
      <c r="RQD56"/>
      <c r="RQE56"/>
      <c r="RQF56"/>
      <c r="RQG56"/>
      <c r="RQH56"/>
      <c r="RQI56"/>
      <c r="RQJ56"/>
      <c r="RQK56"/>
      <c r="RQL56"/>
      <c r="RQM56"/>
      <c r="RQN56"/>
      <c r="RQO56"/>
      <c r="RQP56"/>
      <c r="RQQ56"/>
      <c r="RQR56"/>
      <c r="RQS56"/>
      <c r="RQT56"/>
      <c r="RQU56"/>
      <c r="RQV56"/>
      <c r="RQW56"/>
      <c r="RQX56"/>
      <c r="RQY56"/>
      <c r="RQZ56"/>
      <c r="RRA56"/>
      <c r="RRB56"/>
      <c r="RRC56"/>
      <c r="RRD56"/>
      <c r="RRE56"/>
      <c r="RRF56"/>
      <c r="RRG56"/>
      <c r="RRH56"/>
      <c r="RRI56"/>
      <c r="RRJ56"/>
      <c r="RRK56"/>
      <c r="RRL56"/>
      <c r="RRM56"/>
      <c r="RRN56"/>
      <c r="RRO56"/>
      <c r="RRP56"/>
      <c r="RRQ56"/>
      <c r="RRR56"/>
      <c r="RRS56"/>
      <c r="RRT56"/>
      <c r="RRU56"/>
      <c r="RRV56"/>
      <c r="RRW56"/>
      <c r="RRX56"/>
      <c r="RRY56"/>
      <c r="RRZ56"/>
      <c r="RSA56"/>
      <c r="RSB56"/>
      <c r="RSC56"/>
      <c r="RSD56"/>
      <c r="RSE56"/>
      <c r="RSF56"/>
      <c r="RSG56"/>
      <c r="RSH56"/>
      <c r="RSI56"/>
      <c r="RSJ56"/>
      <c r="RSK56"/>
      <c r="RSL56"/>
      <c r="RSM56"/>
      <c r="RSN56"/>
      <c r="RSO56"/>
      <c r="RSP56"/>
      <c r="RSQ56"/>
      <c r="RSR56"/>
      <c r="RSS56"/>
      <c r="RST56"/>
      <c r="RSU56"/>
      <c r="RSV56"/>
      <c r="RSW56"/>
      <c r="RSX56"/>
      <c r="RSY56"/>
      <c r="RSZ56"/>
      <c r="RTA56"/>
      <c r="RTB56"/>
      <c r="RTC56"/>
      <c r="RTD56"/>
      <c r="RTE56"/>
      <c r="RTF56"/>
      <c r="RTG56"/>
      <c r="RTH56"/>
      <c r="RTI56"/>
      <c r="RTJ56"/>
      <c r="RTK56"/>
      <c r="RTL56"/>
      <c r="RTM56"/>
      <c r="RTN56"/>
      <c r="RTO56"/>
      <c r="RTP56"/>
      <c r="RTQ56"/>
      <c r="RTR56"/>
      <c r="RTS56"/>
      <c r="RTT56"/>
      <c r="RTU56"/>
      <c r="RTV56"/>
      <c r="RTW56"/>
      <c r="RTX56"/>
      <c r="RTY56"/>
      <c r="RTZ56"/>
      <c r="RUA56"/>
      <c r="RUB56"/>
      <c r="RUC56"/>
      <c r="RUD56"/>
      <c r="RUE56"/>
      <c r="RUF56"/>
      <c r="RUG56"/>
      <c r="RUH56"/>
      <c r="RUI56"/>
      <c r="RUJ56"/>
      <c r="RUK56"/>
      <c r="RUL56"/>
      <c r="RUM56"/>
      <c r="RUN56"/>
      <c r="RUO56"/>
      <c r="RUP56"/>
      <c r="RUQ56"/>
      <c r="RUR56"/>
      <c r="RUS56"/>
      <c r="RUT56"/>
      <c r="RUU56"/>
      <c r="RUV56"/>
      <c r="RUW56"/>
      <c r="RUX56"/>
      <c r="RUY56"/>
      <c r="RUZ56"/>
      <c r="RVA56"/>
      <c r="RVB56"/>
      <c r="RVC56"/>
      <c r="RVD56"/>
      <c r="RVE56"/>
      <c r="RVF56"/>
      <c r="RVG56"/>
      <c r="RVH56"/>
      <c r="RVI56"/>
      <c r="RVJ56"/>
      <c r="RVK56"/>
      <c r="RVL56"/>
      <c r="RVM56"/>
      <c r="RVN56"/>
      <c r="RVO56"/>
      <c r="RVP56"/>
      <c r="RVQ56"/>
      <c r="RVR56"/>
      <c r="RVS56"/>
      <c r="RVT56"/>
      <c r="RVU56"/>
      <c r="RVV56"/>
      <c r="RVW56"/>
      <c r="RVX56"/>
      <c r="RVY56"/>
      <c r="RVZ56"/>
      <c r="RWA56"/>
      <c r="RWB56"/>
      <c r="RWC56"/>
      <c r="RWD56"/>
      <c r="RWE56"/>
      <c r="RWF56"/>
      <c r="RWG56"/>
      <c r="RWH56"/>
      <c r="RWI56"/>
      <c r="RWJ56"/>
      <c r="RWK56"/>
      <c r="RWL56"/>
      <c r="RWM56"/>
      <c r="RWN56"/>
      <c r="RWO56"/>
      <c r="RWP56"/>
      <c r="RWQ56"/>
      <c r="RWR56"/>
      <c r="RWS56"/>
      <c r="RWT56"/>
      <c r="RWU56"/>
      <c r="RWV56"/>
      <c r="RWW56"/>
      <c r="RWX56"/>
      <c r="RWY56"/>
      <c r="RWZ56"/>
      <c r="RXA56"/>
      <c r="RXB56"/>
      <c r="RXC56"/>
      <c r="RXD56"/>
      <c r="RXE56"/>
      <c r="RXF56"/>
      <c r="RXG56"/>
      <c r="RXH56"/>
      <c r="RXI56"/>
      <c r="RXJ56"/>
      <c r="RXK56"/>
      <c r="RXL56"/>
      <c r="RXM56"/>
      <c r="RXN56"/>
      <c r="RXO56"/>
      <c r="RXP56"/>
      <c r="RXQ56"/>
      <c r="RXR56"/>
      <c r="RXS56"/>
      <c r="RXT56"/>
      <c r="RXU56"/>
      <c r="RXV56"/>
      <c r="RXW56"/>
      <c r="RXX56"/>
      <c r="RXY56"/>
      <c r="RXZ56"/>
      <c r="RYA56"/>
      <c r="RYB56"/>
      <c r="RYC56"/>
      <c r="RYD56"/>
      <c r="RYE56"/>
      <c r="RYF56"/>
      <c r="RYG56"/>
      <c r="RYH56"/>
      <c r="RYI56"/>
      <c r="RYJ56"/>
      <c r="RYK56"/>
      <c r="RYL56"/>
      <c r="RYM56"/>
      <c r="RYN56"/>
      <c r="RYO56"/>
      <c r="RYP56"/>
      <c r="RYQ56"/>
      <c r="RYR56"/>
      <c r="RYS56"/>
      <c r="RYT56"/>
      <c r="RYU56"/>
      <c r="RYV56"/>
      <c r="RYW56"/>
      <c r="RYX56"/>
      <c r="RYY56"/>
      <c r="RYZ56"/>
      <c r="RZA56"/>
      <c r="RZB56"/>
      <c r="RZC56"/>
      <c r="RZD56"/>
      <c r="RZE56"/>
      <c r="RZF56"/>
      <c r="RZG56"/>
      <c r="RZH56"/>
      <c r="RZI56"/>
      <c r="RZJ56"/>
      <c r="RZK56"/>
      <c r="RZL56"/>
      <c r="RZM56"/>
      <c r="RZN56"/>
      <c r="RZO56"/>
      <c r="RZP56"/>
      <c r="RZQ56"/>
      <c r="RZR56"/>
      <c r="RZS56"/>
      <c r="RZT56"/>
      <c r="RZU56"/>
      <c r="RZV56"/>
      <c r="RZW56"/>
      <c r="RZX56"/>
      <c r="RZY56"/>
      <c r="RZZ56"/>
      <c r="SAA56"/>
      <c r="SAB56"/>
      <c r="SAC56"/>
      <c r="SAD56"/>
      <c r="SAE56"/>
      <c r="SAF56"/>
      <c r="SAG56"/>
      <c r="SAH56"/>
      <c r="SAI56"/>
      <c r="SAJ56"/>
      <c r="SAK56"/>
      <c r="SAL56"/>
      <c r="SAM56"/>
      <c r="SAN56"/>
      <c r="SAO56"/>
      <c r="SAP56"/>
      <c r="SAQ56"/>
      <c r="SAR56"/>
      <c r="SAS56"/>
      <c r="SAT56"/>
      <c r="SAU56"/>
      <c r="SAV56"/>
      <c r="SAW56"/>
      <c r="SAX56"/>
      <c r="SAY56"/>
      <c r="SAZ56"/>
      <c r="SBA56"/>
      <c r="SBB56"/>
      <c r="SBC56"/>
      <c r="SBD56"/>
      <c r="SBE56"/>
      <c r="SBF56"/>
      <c r="SBG56"/>
      <c r="SBH56"/>
      <c r="SBI56"/>
      <c r="SBJ56"/>
      <c r="SBK56"/>
      <c r="SBL56"/>
      <c r="SBM56"/>
      <c r="SBN56"/>
      <c r="SBO56"/>
      <c r="SBP56"/>
      <c r="SBQ56"/>
      <c r="SBR56"/>
      <c r="SBS56"/>
      <c r="SBT56"/>
      <c r="SBU56"/>
      <c r="SBV56"/>
      <c r="SBW56"/>
      <c r="SBX56"/>
      <c r="SBY56"/>
      <c r="SBZ56"/>
      <c r="SCA56"/>
      <c r="SCB56"/>
      <c r="SCC56"/>
      <c r="SCD56"/>
      <c r="SCE56"/>
      <c r="SCF56"/>
      <c r="SCG56"/>
      <c r="SCH56"/>
      <c r="SCI56"/>
      <c r="SCJ56"/>
      <c r="SCK56"/>
      <c r="SCL56"/>
      <c r="SCM56"/>
      <c r="SCN56"/>
      <c r="SCO56"/>
      <c r="SCP56"/>
      <c r="SCQ56"/>
      <c r="SCR56"/>
      <c r="SCS56"/>
      <c r="SCT56"/>
      <c r="SCU56"/>
      <c r="SCV56"/>
      <c r="SCW56"/>
      <c r="SCX56"/>
      <c r="SCY56"/>
      <c r="SCZ56"/>
      <c r="SDA56"/>
      <c r="SDB56"/>
      <c r="SDC56"/>
      <c r="SDD56"/>
      <c r="SDE56"/>
      <c r="SDF56"/>
      <c r="SDG56"/>
      <c r="SDH56"/>
      <c r="SDI56"/>
      <c r="SDJ56"/>
      <c r="SDK56"/>
      <c r="SDL56"/>
      <c r="SDM56"/>
      <c r="SDN56"/>
      <c r="SDO56"/>
      <c r="SDP56"/>
      <c r="SDQ56"/>
      <c r="SDR56"/>
      <c r="SDS56"/>
      <c r="SDT56"/>
      <c r="SDU56"/>
      <c r="SDV56"/>
      <c r="SDW56"/>
      <c r="SDX56"/>
      <c r="SDY56"/>
      <c r="SDZ56"/>
      <c r="SEA56"/>
      <c r="SEB56"/>
      <c r="SEC56"/>
      <c r="SED56"/>
      <c r="SEE56"/>
      <c r="SEF56"/>
      <c r="SEG56"/>
      <c r="SEH56"/>
      <c r="SEI56"/>
      <c r="SEJ56"/>
      <c r="SEK56"/>
      <c r="SEL56"/>
      <c r="SEM56"/>
      <c r="SEN56"/>
      <c r="SEO56"/>
      <c r="SEP56"/>
      <c r="SEQ56"/>
      <c r="SER56"/>
      <c r="SES56"/>
      <c r="SET56"/>
      <c r="SEU56"/>
      <c r="SEV56"/>
      <c r="SEW56"/>
      <c r="SEX56"/>
      <c r="SEY56"/>
      <c r="SEZ56"/>
      <c r="SFA56"/>
      <c r="SFB56"/>
      <c r="SFC56"/>
      <c r="SFD56"/>
      <c r="SFE56"/>
      <c r="SFF56"/>
      <c r="SFG56"/>
      <c r="SFH56"/>
      <c r="SFI56"/>
      <c r="SFJ56"/>
      <c r="SFK56"/>
      <c r="SFL56"/>
      <c r="SFM56"/>
      <c r="SFN56"/>
      <c r="SFO56"/>
      <c r="SFP56"/>
      <c r="SFQ56"/>
      <c r="SFR56"/>
      <c r="SFS56"/>
      <c r="SFT56"/>
      <c r="SFU56"/>
      <c r="SFV56"/>
      <c r="SFW56"/>
      <c r="SFX56"/>
      <c r="SFY56"/>
      <c r="SFZ56"/>
      <c r="SGA56"/>
      <c r="SGB56"/>
      <c r="SGC56"/>
      <c r="SGD56"/>
      <c r="SGE56"/>
      <c r="SGF56"/>
      <c r="SGG56"/>
      <c r="SGH56"/>
      <c r="SGI56"/>
      <c r="SGJ56"/>
      <c r="SGK56"/>
      <c r="SGL56"/>
      <c r="SGM56"/>
      <c r="SGN56"/>
      <c r="SGO56"/>
      <c r="SGP56"/>
      <c r="SGQ56"/>
      <c r="SGR56"/>
      <c r="SGS56"/>
      <c r="SGT56"/>
      <c r="SGU56"/>
      <c r="SGV56"/>
      <c r="SGW56"/>
      <c r="SGX56"/>
      <c r="SGY56"/>
      <c r="SGZ56"/>
      <c r="SHA56"/>
      <c r="SHB56"/>
      <c r="SHC56"/>
      <c r="SHD56"/>
      <c r="SHE56"/>
      <c r="SHF56"/>
      <c r="SHG56"/>
      <c r="SHH56"/>
      <c r="SHI56"/>
      <c r="SHJ56"/>
      <c r="SHK56"/>
      <c r="SHL56"/>
      <c r="SHM56"/>
      <c r="SHN56"/>
      <c r="SHO56"/>
      <c r="SHP56"/>
      <c r="SHQ56"/>
      <c r="SHR56"/>
      <c r="SHS56"/>
      <c r="SHT56"/>
      <c r="SHU56"/>
      <c r="SHV56"/>
      <c r="SHW56"/>
      <c r="SHX56"/>
      <c r="SHY56"/>
      <c r="SHZ56"/>
      <c r="SIA56"/>
      <c r="SIB56"/>
      <c r="SIC56"/>
      <c r="SID56"/>
      <c r="SIE56"/>
      <c r="SIF56"/>
      <c r="SIG56"/>
      <c r="SIH56"/>
      <c r="SII56"/>
      <c r="SIJ56"/>
      <c r="SIK56"/>
      <c r="SIL56"/>
      <c r="SIM56"/>
      <c r="SIN56"/>
      <c r="SIO56"/>
      <c r="SIP56"/>
      <c r="SIQ56"/>
      <c r="SIR56"/>
      <c r="SIS56"/>
      <c r="SIT56"/>
      <c r="SIU56"/>
      <c r="SIV56"/>
      <c r="SIW56"/>
      <c r="SIX56"/>
      <c r="SIY56"/>
      <c r="SIZ56"/>
      <c r="SJA56"/>
      <c r="SJB56"/>
      <c r="SJC56"/>
      <c r="SJD56"/>
      <c r="SJE56"/>
      <c r="SJF56"/>
      <c r="SJG56"/>
      <c r="SJH56"/>
      <c r="SJI56"/>
      <c r="SJJ56"/>
      <c r="SJK56"/>
      <c r="SJL56"/>
      <c r="SJM56"/>
      <c r="SJN56"/>
      <c r="SJO56"/>
      <c r="SJP56"/>
      <c r="SJQ56"/>
      <c r="SJR56"/>
      <c r="SJS56"/>
      <c r="SJT56"/>
      <c r="SJU56"/>
      <c r="SJV56"/>
      <c r="SJW56"/>
      <c r="SJX56"/>
      <c r="SJY56"/>
      <c r="SJZ56"/>
      <c r="SKA56"/>
      <c r="SKB56"/>
      <c r="SKC56"/>
      <c r="SKD56"/>
      <c r="SKE56"/>
      <c r="SKF56"/>
      <c r="SKG56"/>
      <c r="SKH56"/>
      <c r="SKI56"/>
      <c r="SKJ56"/>
      <c r="SKK56"/>
      <c r="SKL56"/>
      <c r="SKM56"/>
      <c r="SKN56"/>
      <c r="SKO56"/>
      <c r="SKP56"/>
      <c r="SKQ56"/>
      <c r="SKR56"/>
      <c r="SKS56"/>
      <c r="SKT56"/>
      <c r="SKU56"/>
      <c r="SKV56"/>
      <c r="SKW56"/>
      <c r="SKX56"/>
      <c r="SKY56"/>
      <c r="SKZ56"/>
      <c r="SLA56"/>
      <c r="SLB56"/>
      <c r="SLC56"/>
      <c r="SLD56"/>
      <c r="SLE56"/>
      <c r="SLF56"/>
      <c r="SLG56"/>
      <c r="SLH56"/>
      <c r="SLI56"/>
      <c r="SLJ56"/>
      <c r="SLK56"/>
      <c r="SLL56"/>
      <c r="SLM56"/>
      <c r="SLN56"/>
      <c r="SLO56"/>
      <c r="SLP56"/>
      <c r="SLQ56"/>
      <c r="SLR56"/>
      <c r="SLS56"/>
      <c r="SLT56"/>
      <c r="SLU56"/>
      <c r="SLV56"/>
      <c r="SLW56"/>
      <c r="SLX56"/>
      <c r="SLY56"/>
      <c r="SLZ56"/>
      <c r="SMA56"/>
      <c r="SMB56"/>
      <c r="SMC56"/>
      <c r="SMD56"/>
      <c r="SME56"/>
      <c r="SMF56"/>
      <c r="SMG56"/>
      <c r="SMH56"/>
      <c r="SMI56"/>
      <c r="SMJ56"/>
      <c r="SMK56"/>
      <c r="SML56"/>
      <c r="SMM56"/>
      <c r="SMN56"/>
      <c r="SMO56"/>
      <c r="SMP56"/>
      <c r="SMQ56"/>
      <c r="SMR56"/>
      <c r="SMS56"/>
      <c r="SMT56"/>
      <c r="SMU56"/>
      <c r="SMV56"/>
      <c r="SMW56"/>
      <c r="SMX56"/>
      <c r="SMY56"/>
      <c r="SMZ56"/>
      <c r="SNA56"/>
      <c r="SNB56"/>
      <c r="SNC56"/>
      <c r="SND56"/>
      <c r="SNE56"/>
      <c r="SNF56"/>
      <c r="SNG56"/>
      <c r="SNH56"/>
      <c r="SNI56"/>
      <c r="SNJ56"/>
      <c r="SNK56"/>
      <c r="SNL56"/>
      <c r="SNM56"/>
      <c r="SNN56"/>
      <c r="SNO56"/>
      <c r="SNP56"/>
      <c r="SNQ56"/>
      <c r="SNR56"/>
      <c r="SNS56"/>
      <c r="SNT56"/>
      <c r="SNU56"/>
      <c r="SNV56"/>
      <c r="SNW56"/>
      <c r="SNX56"/>
      <c r="SNY56"/>
      <c r="SNZ56"/>
      <c r="SOA56"/>
      <c r="SOB56"/>
      <c r="SOC56"/>
      <c r="SOD56"/>
      <c r="SOE56"/>
      <c r="SOF56"/>
      <c r="SOG56"/>
      <c r="SOH56"/>
      <c r="SOI56"/>
      <c r="SOJ56"/>
      <c r="SOK56"/>
      <c r="SOL56"/>
      <c r="SOM56"/>
      <c r="SON56"/>
      <c r="SOO56"/>
      <c r="SOP56"/>
      <c r="SOQ56"/>
      <c r="SOR56"/>
      <c r="SOS56"/>
      <c r="SOT56"/>
      <c r="SOU56"/>
      <c r="SOV56"/>
      <c r="SOW56"/>
      <c r="SOX56"/>
      <c r="SOY56"/>
      <c r="SOZ56"/>
      <c r="SPA56"/>
      <c r="SPB56"/>
      <c r="SPC56"/>
      <c r="SPD56"/>
      <c r="SPE56"/>
      <c r="SPF56"/>
      <c r="SPG56"/>
      <c r="SPH56"/>
      <c r="SPI56"/>
      <c r="SPJ56"/>
      <c r="SPK56"/>
      <c r="SPL56"/>
      <c r="SPM56"/>
      <c r="SPN56"/>
      <c r="SPO56"/>
      <c r="SPP56"/>
      <c r="SPQ56"/>
      <c r="SPR56"/>
      <c r="SPS56"/>
      <c r="SPT56"/>
      <c r="SPU56"/>
      <c r="SPV56"/>
      <c r="SPW56"/>
      <c r="SPX56"/>
      <c r="SPY56"/>
      <c r="SPZ56"/>
      <c r="SQA56"/>
      <c r="SQB56"/>
      <c r="SQC56"/>
      <c r="SQD56"/>
      <c r="SQE56"/>
      <c r="SQF56"/>
      <c r="SQG56"/>
      <c r="SQH56"/>
      <c r="SQI56"/>
      <c r="SQJ56"/>
      <c r="SQK56"/>
      <c r="SQL56"/>
      <c r="SQM56"/>
      <c r="SQN56"/>
      <c r="SQO56"/>
      <c r="SQP56"/>
      <c r="SQQ56"/>
      <c r="SQR56"/>
      <c r="SQS56"/>
      <c r="SQT56"/>
      <c r="SQU56"/>
      <c r="SQV56"/>
      <c r="SQW56"/>
      <c r="SQX56"/>
      <c r="SQY56"/>
      <c r="SQZ56"/>
      <c r="SRA56"/>
      <c r="SRB56"/>
      <c r="SRC56"/>
      <c r="SRD56"/>
      <c r="SRE56"/>
      <c r="SRF56"/>
      <c r="SRG56"/>
      <c r="SRH56"/>
      <c r="SRI56"/>
      <c r="SRJ56"/>
      <c r="SRK56"/>
      <c r="SRL56"/>
      <c r="SRM56"/>
      <c r="SRN56"/>
      <c r="SRO56"/>
      <c r="SRP56"/>
      <c r="SRQ56"/>
      <c r="SRR56"/>
      <c r="SRS56"/>
      <c r="SRT56"/>
      <c r="SRU56"/>
      <c r="SRV56"/>
      <c r="SRW56"/>
      <c r="SRX56"/>
      <c r="SRY56"/>
      <c r="SRZ56"/>
      <c r="SSA56"/>
      <c r="SSB56"/>
      <c r="SSC56"/>
      <c r="SSD56"/>
      <c r="SSE56"/>
      <c r="SSF56"/>
      <c r="SSG56"/>
      <c r="SSH56"/>
      <c r="SSI56"/>
      <c r="SSJ56"/>
      <c r="SSK56"/>
      <c r="SSL56"/>
      <c r="SSM56"/>
      <c r="SSN56"/>
      <c r="SSO56"/>
      <c r="SSP56"/>
      <c r="SSQ56"/>
      <c r="SSR56"/>
      <c r="SSS56"/>
      <c r="SST56"/>
      <c r="SSU56"/>
      <c r="SSV56"/>
      <c r="SSW56"/>
      <c r="SSX56"/>
      <c r="SSY56"/>
      <c r="SSZ56"/>
      <c r="STA56"/>
      <c r="STB56"/>
      <c r="STC56"/>
      <c r="STD56"/>
      <c r="STE56"/>
      <c r="STF56"/>
      <c r="STG56"/>
      <c r="STH56"/>
      <c r="STI56"/>
      <c r="STJ56"/>
      <c r="STK56"/>
      <c r="STL56"/>
      <c r="STM56"/>
      <c r="STN56"/>
      <c r="STO56"/>
      <c r="STP56"/>
      <c r="STQ56"/>
      <c r="STR56"/>
      <c r="STS56"/>
      <c r="STT56"/>
      <c r="STU56"/>
      <c r="STV56"/>
      <c r="STW56"/>
      <c r="STX56"/>
      <c r="STY56"/>
      <c r="STZ56"/>
      <c r="SUA56"/>
      <c r="SUB56"/>
      <c r="SUC56"/>
      <c r="SUD56"/>
      <c r="SUE56"/>
      <c r="SUF56"/>
      <c r="SUG56"/>
      <c r="SUH56"/>
      <c r="SUI56"/>
      <c r="SUJ56"/>
      <c r="SUK56"/>
      <c r="SUL56"/>
      <c r="SUM56"/>
      <c r="SUN56"/>
      <c r="SUO56"/>
      <c r="SUP56"/>
      <c r="SUQ56"/>
      <c r="SUR56"/>
      <c r="SUS56"/>
      <c r="SUT56"/>
      <c r="SUU56"/>
      <c r="SUV56"/>
      <c r="SUW56"/>
      <c r="SUX56"/>
      <c r="SUY56"/>
      <c r="SUZ56"/>
      <c r="SVA56"/>
      <c r="SVB56"/>
      <c r="SVC56"/>
      <c r="SVD56"/>
      <c r="SVE56"/>
      <c r="SVF56"/>
      <c r="SVG56"/>
      <c r="SVH56"/>
      <c r="SVI56"/>
      <c r="SVJ56"/>
      <c r="SVK56"/>
      <c r="SVL56"/>
      <c r="SVM56"/>
      <c r="SVN56"/>
      <c r="SVO56"/>
      <c r="SVP56"/>
      <c r="SVQ56"/>
      <c r="SVR56"/>
      <c r="SVS56"/>
      <c r="SVT56"/>
      <c r="SVU56"/>
      <c r="SVV56"/>
      <c r="SVW56"/>
      <c r="SVX56"/>
      <c r="SVY56"/>
      <c r="SVZ56"/>
      <c r="SWA56"/>
      <c r="SWB56"/>
      <c r="SWC56"/>
      <c r="SWD56"/>
      <c r="SWE56"/>
      <c r="SWF56"/>
      <c r="SWG56"/>
      <c r="SWH56"/>
      <c r="SWI56"/>
      <c r="SWJ56"/>
      <c r="SWK56"/>
      <c r="SWL56"/>
      <c r="SWM56"/>
      <c r="SWN56"/>
      <c r="SWO56"/>
      <c r="SWP56"/>
      <c r="SWQ56"/>
      <c r="SWR56"/>
      <c r="SWS56"/>
      <c r="SWT56"/>
      <c r="SWU56"/>
      <c r="SWV56"/>
      <c r="SWW56"/>
      <c r="SWX56"/>
      <c r="SWY56"/>
      <c r="SWZ56"/>
      <c r="SXA56"/>
      <c r="SXB56"/>
      <c r="SXC56"/>
      <c r="SXD56"/>
      <c r="SXE56"/>
      <c r="SXF56"/>
      <c r="SXG56"/>
      <c r="SXH56"/>
      <c r="SXI56"/>
      <c r="SXJ56"/>
      <c r="SXK56"/>
      <c r="SXL56"/>
      <c r="SXM56"/>
      <c r="SXN56"/>
      <c r="SXO56"/>
      <c r="SXP56"/>
      <c r="SXQ56"/>
      <c r="SXR56"/>
      <c r="SXS56"/>
      <c r="SXT56"/>
      <c r="SXU56"/>
      <c r="SXV56"/>
      <c r="SXW56"/>
      <c r="SXX56"/>
      <c r="SXY56"/>
      <c r="SXZ56"/>
      <c r="SYA56"/>
      <c r="SYB56"/>
      <c r="SYC56"/>
      <c r="SYD56"/>
      <c r="SYE56"/>
      <c r="SYF56"/>
      <c r="SYG56"/>
      <c r="SYH56"/>
      <c r="SYI56"/>
      <c r="SYJ56"/>
      <c r="SYK56"/>
      <c r="SYL56"/>
      <c r="SYM56"/>
      <c r="SYN56"/>
      <c r="SYO56"/>
      <c r="SYP56"/>
      <c r="SYQ56"/>
      <c r="SYR56"/>
      <c r="SYS56"/>
      <c r="SYT56"/>
      <c r="SYU56"/>
      <c r="SYV56"/>
      <c r="SYW56"/>
      <c r="SYX56"/>
      <c r="SYY56"/>
      <c r="SYZ56"/>
      <c r="SZA56"/>
      <c r="SZB56"/>
      <c r="SZC56"/>
      <c r="SZD56"/>
      <c r="SZE56"/>
      <c r="SZF56"/>
      <c r="SZG56"/>
      <c r="SZH56"/>
      <c r="SZI56"/>
      <c r="SZJ56"/>
      <c r="SZK56"/>
      <c r="SZL56"/>
      <c r="SZM56"/>
      <c r="SZN56"/>
      <c r="SZO56"/>
      <c r="SZP56"/>
      <c r="SZQ56"/>
      <c r="SZR56"/>
      <c r="SZS56"/>
      <c r="SZT56"/>
      <c r="SZU56"/>
      <c r="SZV56"/>
      <c r="SZW56"/>
      <c r="SZX56"/>
      <c r="SZY56"/>
      <c r="SZZ56"/>
      <c r="TAA56"/>
      <c r="TAB56"/>
      <c r="TAC56"/>
      <c r="TAD56"/>
      <c r="TAE56"/>
      <c r="TAF56"/>
      <c r="TAG56"/>
      <c r="TAH56"/>
      <c r="TAI56"/>
      <c r="TAJ56"/>
      <c r="TAK56"/>
      <c r="TAL56"/>
      <c r="TAM56"/>
      <c r="TAN56"/>
      <c r="TAO56"/>
      <c r="TAP56"/>
      <c r="TAQ56"/>
      <c r="TAR56"/>
      <c r="TAS56"/>
      <c r="TAT56"/>
      <c r="TAU56"/>
      <c r="TAV56"/>
      <c r="TAW56"/>
      <c r="TAX56"/>
      <c r="TAY56"/>
      <c r="TAZ56"/>
      <c r="TBA56"/>
      <c r="TBB56"/>
      <c r="TBC56"/>
      <c r="TBD56"/>
      <c r="TBE56"/>
      <c r="TBF56"/>
      <c r="TBG56"/>
      <c r="TBH56"/>
      <c r="TBI56"/>
      <c r="TBJ56"/>
      <c r="TBK56"/>
      <c r="TBL56"/>
      <c r="TBM56"/>
      <c r="TBN56"/>
      <c r="TBO56"/>
      <c r="TBP56"/>
      <c r="TBQ56"/>
      <c r="TBR56"/>
      <c r="TBS56"/>
      <c r="TBT56"/>
      <c r="TBU56"/>
      <c r="TBV56"/>
      <c r="TBW56"/>
      <c r="TBX56"/>
      <c r="TBY56"/>
      <c r="TBZ56"/>
      <c r="TCA56"/>
      <c r="TCB56"/>
      <c r="TCC56"/>
      <c r="TCD56"/>
      <c r="TCE56"/>
      <c r="TCF56"/>
      <c r="TCG56"/>
      <c r="TCH56"/>
      <c r="TCI56"/>
      <c r="TCJ56"/>
      <c r="TCK56"/>
      <c r="TCL56"/>
      <c r="TCM56"/>
      <c r="TCN56"/>
      <c r="TCO56"/>
      <c r="TCP56"/>
      <c r="TCQ56"/>
      <c r="TCR56"/>
      <c r="TCS56"/>
      <c r="TCT56"/>
      <c r="TCU56"/>
      <c r="TCV56"/>
      <c r="TCW56"/>
      <c r="TCX56"/>
      <c r="TCY56"/>
      <c r="TCZ56"/>
      <c r="TDA56"/>
      <c r="TDB56"/>
      <c r="TDC56"/>
      <c r="TDD56"/>
      <c r="TDE56"/>
      <c r="TDF56"/>
      <c r="TDG56"/>
      <c r="TDH56"/>
      <c r="TDI56"/>
      <c r="TDJ56"/>
      <c r="TDK56"/>
      <c r="TDL56"/>
      <c r="TDM56"/>
      <c r="TDN56"/>
      <c r="TDO56"/>
      <c r="TDP56"/>
      <c r="TDQ56"/>
      <c r="TDR56"/>
      <c r="TDS56"/>
      <c r="TDT56"/>
      <c r="TDU56"/>
      <c r="TDV56"/>
      <c r="TDW56"/>
      <c r="TDX56"/>
      <c r="TDY56"/>
      <c r="TDZ56"/>
      <c r="TEA56"/>
      <c r="TEB56"/>
      <c r="TEC56"/>
      <c r="TED56"/>
      <c r="TEE56"/>
      <c r="TEF56"/>
      <c r="TEG56"/>
      <c r="TEH56"/>
      <c r="TEI56"/>
      <c r="TEJ56"/>
      <c r="TEK56"/>
      <c r="TEL56"/>
      <c r="TEM56"/>
      <c r="TEN56"/>
      <c r="TEO56"/>
      <c r="TEP56"/>
      <c r="TEQ56"/>
      <c r="TER56"/>
      <c r="TES56"/>
      <c r="TET56"/>
      <c r="TEU56"/>
      <c r="TEV56"/>
      <c r="TEW56"/>
      <c r="TEX56"/>
      <c r="TEY56"/>
      <c r="TEZ56"/>
      <c r="TFA56"/>
      <c r="TFB56"/>
      <c r="TFC56"/>
      <c r="TFD56"/>
      <c r="TFE56"/>
      <c r="TFF56"/>
      <c r="TFG56"/>
      <c r="TFH56"/>
      <c r="TFI56"/>
      <c r="TFJ56"/>
      <c r="TFK56"/>
      <c r="TFL56"/>
      <c r="TFM56"/>
      <c r="TFN56"/>
      <c r="TFO56"/>
      <c r="TFP56"/>
      <c r="TFQ56"/>
      <c r="TFR56"/>
      <c r="TFS56"/>
      <c r="TFT56"/>
      <c r="TFU56"/>
      <c r="TFV56"/>
      <c r="TFW56"/>
      <c r="TFX56"/>
      <c r="TFY56"/>
      <c r="TFZ56"/>
      <c r="TGA56"/>
      <c r="TGB56"/>
      <c r="TGC56"/>
      <c r="TGD56"/>
      <c r="TGE56"/>
      <c r="TGF56"/>
      <c r="TGG56"/>
      <c r="TGH56"/>
      <c r="TGI56"/>
      <c r="TGJ56"/>
      <c r="TGK56"/>
      <c r="TGL56"/>
      <c r="TGM56"/>
      <c r="TGN56"/>
      <c r="TGO56"/>
      <c r="TGP56"/>
      <c r="TGQ56"/>
      <c r="TGR56"/>
      <c r="TGS56"/>
      <c r="TGT56"/>
      <c r="TGU56"/>
      <c r="TGV56"/>
      <c r="TGW56"/>
      <c r="TGX56"/>
      <c r="TGY56"/>
      <c r="TGZ56"/>
      <c r="THA56"/>
      <c r="THB56"/>
      <c r="THC56"/>
      <c r="THD56"/>
      <c r="THE56"/>
      <c r="THF56"/>
      <c r="THG56"/>
      <c r="THH56"/>
      <c r="THI56"/>
      <c r="THJ56"/>
      <c r="THK56"/>
      <c r="THL56"/>
      <c r="THM56"/>
      <c r="THN56"/>
      <c r="THO56"/>
      <c r="THP56"/>
      <c r="THQ56"/>
      <c r="THR56"/>
      <c r="THS56"/>
      <c r="THT56"/>
      <c r="THU56"/>
      <c r="THV56"/>
      <c r="THW56"/>
      <c r="THX56"/>
      <c r="THY56"/>
      <c r="THZ56"/>
      <c r="TIA56"/>
      <c r="TIB56"/>
      <c r="TIC56"/>
      <c r="TID56"/>
      <c r="TIE56"/>
      <c r="TIF56"/>
      <c r="TIG56"/>
      <c r="TIH56"/>
      <c r="TII56"/>
      <c r="TIJ56"/>
      <c r="TIK56"/>
      <c r="TIL56"/>
      <c r="TIM56"/>
      <c r="TIN56"/>
      <c r="TIO56"/>
      <c r="TIP56"/>
      <c r="TIQ56"/>
      <c r="TIR56"/>
      <c r="TIS56"/>
      <c r="TIT56"/>
      <c r="TIU56"/>
      <c r="TIV56"/>
      <c r="TIW56"/>
      <c r="TIX56"/>
      <c r="TIY56"/>
      <c r="TIZ56"/>
      <c r="TJA56"/>
      <c r="TJB56"/>
      <c r="TJC56"/>
      <c r="TJD56"/>
      <c r="TJE56"/>
      <c r="TJF56"/>
      <c r="TJG56"/>
      <c r="TJH56"/>
      <c r="TJI56"/>
      <c r="TJJ56"/>
      <c r="TJK56"/>
      <c r="TJL56"/>
      <c r="TJM56"/>
      <c r="TJN56"/>
      <c r="TJO56"/>
      <c r="TJP56"/>
      <c r="TJQ56"/>
      <c r="TJR56"/>
      <c r="TJS56"/>
      <c r="TJT56"/>
      <c r="TJU56"/>
      <c r="TJV56"/>
      <c r="TJW56"/>
      <c r="TJX56"/>
      <c r="TJY56"/>
      <c r="TJZ56"/>
      <c r="TKA56"/>
      <c r="TKB56"/>
      <c r="TKC56"/>
      <c r="TKD56"/>
      <c r="TKE56"/>
      <c r="TKF56"/>
      <c r="TKG56"/>
      <c r="TKH56"/>
      <c r="TKI56"/>
      <c r="TKJ56"/>
      <c r="TKK56"/>
      <c r="TKL56"/>
      <c r="TKM56"/>
      <c r="TKN56"/>
      <c r="TKO56"/>
      <c r="TKP56"/>
      <c r="TKQ56"/>
      <c r="TKR56"/>
      <c r="TKS56"/>
      <c r="TKT56"/>
      <c r="TKU56"/>
      <c r="TKV56"/>
      <c r="TKW56"/>
      <c r="TKX56"/>
      <c r="TKY56"/>
      <c r="TKZ56"/>
      <c r="TLA56"/>
      <c r="TLB56"/>
      <c r="TLC56"/>
      <c r="TLD56"/>
      <c r="TLE56"/>
      <c r="TLF56"/>
      <c r="TLG56"/>
      <c r="TLH56"/>
      <c r="TLI56"/>
      <c r="TLJ56"/>
      <c r="TLK56"/>
      <c r="TLL56"/>
      <c r="TLM56"/>
      <c r="TLN56"/>
      <c r="TLO56"/>
      <c r="TLP56"/>
      <c r="TLQ56"/>
      <c r="TLR56"/>
      <c r="TLS56"/>
      <c r="TLT56"/>
      <c r="TLU56"/>
      <c r="TLV56"/>
      <c r="TLW56"/>
      <c r="TLX56"/>
      <c r="TLY56"/>
      <c r="TLZ56"/>
      <c r="TMA56"/>
      <c r="TMB56"/>
      <c r="TMC56"/>
      <c r="TMD56"/>
      <c r="TME56"/>
      <c r="TMF56"/>
      <c r="TMG56"/>
      <c r="TMH56"/>
      <c r="TMI56"/>
      <c r="TMJ56"/>
      <c r="TMK56"/>
      <c r="TML56"/>
      <c r="TMM56"/>
      <c r="TMN56"/>
      <c r="TMO56"/>
      <c r="TMP56"/>
      <c r="TMQ56"/>
      <c r="TMR56"/>
      <c r="TMS56"/>
      <c r="TMT56"/>
      <c r="TMU56"/>
      <c r="TMV56"/>
      <c r="TMW56"/>
      <c r="TMX56"/>
      <c r="TMY56"/>
      <c r="TMZ56"/>
      <c r="TNA56"/>
      <c r="TNB56"/>
      <c r="TNC56"/>
      <c r="TND56"/>
      <c r="TNE56"/>
      <c r="TNF56"/>
      <c r="TNG56"/>
      <c r="TNH56"/>
      <c r="TNI56"/>
      <c r="TNJ56"/>
      <c r="TNK56"/>
      <c r="TNL56"/>
      <c r="TNM56"/>
      <c r="TNN56"/>
      <c r="TNO56"/>
      <c r="TNP56"/>
      <c r="TNQ56"/>
      <c r="TNR56"/>
      <c r="TNS56"/>
      <c r="TNT56"/>
      <c r="TNU56"/>
      <c r="TNV56"/>
      <c r="TNW56"/>
      <c r="TNX56"/>
      <c r="TNY56"/>
      <c r="TNZ56"/>
      <c r="TOA56"/>
      <c r="TOB56"/>
      <c r="TOC56"/>
      <c r="TOD56"/>
      <c r="TOE56"/>
      <c r="TOF56"/>
      <c r="TOG56"/>
      <c r="TOH56"/>
      <c r="TOI56"/>
      <c r="TOJ56"/>
      <c r="TOK56"/>
      <c r="TOL56"/>
      <c r="TOM56"/>
      <c r="TON56"/>
      <c r="TOO56"/>
      <c r="TOP56"/>
      <c r="TOQ56"/>
      <c r="TOR56"/>
      <c r="TOS56"/>
      <c r="TOT56"/>
      <c r="TOU56"/>
      <c r="TOV56"/>
      <c r="TOW56"/>
      <c r="TOX56"/>
      <c r="TOY56"/>
      <c r="TOZ56"/>
      <c r="TPA56"/>
      <c r="TPB56"/>
      <c r="TPC56"/>
      <c r="TPD56"/>
      <c r="TPE56"/>
      <c r="TPF56"/>
      <c r="TPG56"/>
      <c r="TPH56"/>
      <c r="TPI56"/>
      <c r="TPJ56"/>
      <c r="TPK56"/>
      <c r="TPL56"/>
      <c r="TPM56"/>
      <c r="TPN56"/>
      <c r="TPO56"/>
      <c r="TPP56"/>
      <c r="TPQ56"/>
      <c r="TPR56"/>
      <c r="TPS56"/>
      <c r="TPT56"/>
      <c r="TPU56"/>
      <c r="TPV56"/>
      <c r="TPW56"/>
      <c r="TPX56"/>
      <c r="TPY56"/>
      <c r="TPZ56"/>
      <c r="TQA56"/>
      <c r="TQB56"/>
      <c r="TQC56"/>
      <c r="TQD56"/>
      <c r="TQE56"/>
      <c r="TQF56"/>
      <c r="TQG56"/>
      <c r="TQH56"/>
      <c r="TQI56"/>
      <c r="TQJ56"/>
      <c r="TQK56"/>
      <c r="TQL56"/>
      <c r="TQM56"/>
      <c r="TQN56"/>
      <c r="TQO56"/>
      <c r="TQP56"/>
      <c r="TQQ56"/>
      <c r="TQR56"/>
      <c r="TQS56"/>
      <c r="TQT56"/>
      <c r="TQU56"/>
      <c r="TQV56"/>
      <c r="TQW56"/>
      <c r="TQX56"/>
      <c r="TQY56"/>
      <c r="TQZ56"/>
      <c r="TRA56"/>
      <c r="TRB56"/>
      <c r="TRC56"/>
      <c r="TRD56"/>
      <c r="TRE56"/>
      <c r="TRF56"/>
      <c r="TRG56"/>
      <c r="TRH56"/>
      <c r="TRI56"/>
      <c r="TRJ56"/>
      <c r="TRK56"/>
      <c r="TRL56"/>
      <c r="TRM56"/>
      <c r="TRN56"/>
      <c r="TRO56"/>
      <c r="TRP56"/>
      <c r="TRQ56"/>
      <c r="TRR56"/>
      <c r="TRS56"/>
      <c r="TRT56"/>
      <c r="TRU56"/>
      <c r="TRV56"/>
      <c r="TRW56"/>
      <c r="TRX56"/>
      <c r="TRY56"/>
      <c r="TRZ56"/>
      <c r="TSA56"/>
      <c r="TSB56"/>
      <c r="TSC56"/>
      <c r="TSD56"/>
      <c r="TSE56"/>
      <c r="TSF56"/>
      <c r="TSG56"/>
      <c r="TSH56"/>
      <c r="TSI56"/>
      <c r="TSJ56"/>
      <c r="TSK56"/>
      <c r="TSL56"/>
      <c r="TSM56"/>
      <c r="TSN56"/>
      <c r="TSO56"/>
      <c r="TSP56"/>
      <c r="TSQ56"/>
      <c r="TSR56"/>
      <c r="TSS56"/>
      <c r="TST56"/>
      <c r="TSU56"/>
      <c r="TSV56"/>
      <c r="TSW56"/>
      <c r="TSX56"/>
      <c r="TSY56"/>
      <c r="TSZ56"/>
      <c r="TTA56"/>
      <c r="TTB56"/>
      <c r="TTC56"/>
      <c r="TTD56"/>
      <c r="TTE56"/>
      <c r="TTF56"/>
      <c r="TTG56"/>
      <c r="TTH56"/>
      <c r="TTI56"/>
      <c r="TTJ56"/>
      <c r="TTK56"/>
      <c r="TTL56"/>
      <c r="TTM56"/>
      <c r="TTN56"/>
      <c r="TTO56"/>
      <c r="TTP56"/>
      <c r="TTQ56"/>
      <c r="TTR56"/>
      <c r="TTS56"/>
      <c r="TTT56"/>
      <c r="TTU56"/>
      <c r="TTV56"/>
      <c r="TTW56"/>
      <c r="TTX56"/>
      <c r="TTY56"/>
      <c r="TTZ56"/>
      <c r="TUA56"/>
      <c r="TUB56"/>
      <c r="TUC56"/>
      <c r="TUD56"/>
      <c r="TUE56"/>
      <c r="TUF56"/>
      <c r="TUG56"/>
      <c r="TUH56"/>
      <c r="TUI56"/>
      <c r="TUJ56"/>
      <c r="TUK56"/>
      <c r="TUL56"/>
      <c r="TUM56"/>
      <c r="TUN56"/>
      <c r="TUO56"/>
      <c r="TUP56"/>
      <c r="TUQ56"/>
      <c r="TUR56"/>
      <c r="TUS56"/>
      <c r="TUT56"/>
      <c r="TUU56"/>
      <c r="TUV56"/>
      <c r="TUW56"/>
      <c r="TUX56"/>
      <c r="TUY56"/>
      <c r="TUZ56"/>
      <c r="TVA56"/>
      <c r="TVB56"/>
      <c r="TVC56"/>
      <c r="TVD56"/>
      <c r="TVE56"/>
      <c r="TVF56"/>
      <c r="TVG56"/>
      <c r="TVH56"/>
      <c r="TVI56"/>
      <c r="TVJ56"/>
      <c r="TVK56"/>
      <c r="TVL56"/>
      <c r="TVM56"/>
      <c r="TVN56"/>
      <c r="TVO56"/>
      <c r="TVP56"/>
      <c r="TVQ56"/>
      <c r="TVR56"/>
      <c r="TVS56"/>
      <c r="TVT56"/>
      <c r="TVU56"/>
      <c r="TVV56"/>
      <c r="TVW56"/>
      <c r="TVX56"/>
      <c r="TVY56"/>
      <c r="TVZ56"/>
      <c r="TWA56"/>
      <c r="TWB56"/>
      <c r="TWC56"/>
      <c r="TWD56"/>
      <c r="TWE56"/>
      <c r="TWF56"/>
      <c r="TWG56"/>
      <c r="TWH56"/>
      <c r="TWI56"/>
      <c r="TWJ56"/>
      <c r="TWK56"/>
      <c r="TWL56"/>
      <c r="TWM56"/>
      <c r="TWN56"/>
      <c r="TWO56"/>
      <c r="TWP56"/>
      <c r="TWQ56"/>
      <c r="TWR56"/>
      <c r="TWS56"/>
      <c r="TWT56"/>
      <c r="TWU56"/>
      <c r="TWV56"/>
      <c r="TWW56"/>
      <c r="TWX56"/>
      <c r="TWY56"/>
      <c r="TWZ56"/>
      <c r="TXA56"/>
      <c r="TXB56"/>
      <c r="TXC56"/>
      <c r="TXD56"/>
      <c r="TXE56"/>
      <c r="TXF56"/>
      <c r="TXG56"/>
      <c r="TXH56"/>
      <c r="TXI56"/>
      <c r="TXJ56"/>
      <c r="TXK56"/>
      <c r="TXL56"/>
      <c r="TXM56"/>
      <c r="TXN56"/>
      <c r="TXO56"/>
      <c r="TXP56"/>
      <c r="TXQ56"/>
      <c r="TXR56"/>
      <c r="TXS56"/>
      <c r="TXT56"/>
      <c r="TXU56"/>
      <c r="TXV56"/>
      <c r="TXW56"/>
      <c r="TXX56"/>
      <c r="TXY56"/>
      <c r="TXZ56"/>
      <c r="TYA56"/>
      <c r="TYB56"/>
      <c r="TYC56"/>
      <c r="TYD56"/>
      <c r="TYE56"/>
      <c r="TYF56"/>
      <c r="TYG56"/>
      <c r="TYH56"/>
      <c r="TYI56"/>
      <c r="TYJ56"/>
      <c r="TYK56"/>
      <c r="TYL56"/>
      <c r="TYM56"/>
      <c r="TYN56"/>
      <c r="TYO56"/>
      <c r="TYP56"/>
      <c r="TYQ56"/>
      <c r="TYR56"/>
      <c r="TYS56"/>
      <c r="TYT56"/>
      <c r="TYU56"/>
      <c r="TYV56"/>
      <c r="TYW56"/>
      <c r="TYX56"/>
      <c r="TYY56"/>
      <c r="TYZ56"/>
      <c r="TZA56"/>
      <c r="TZB56"/>
      <c r="TZC56"/>
      <c r="TZD56"/>
      <c r="TZE56"/>
      <c r="TZF56"/>
      <c r="TZG56"/>
      <c r="TZH56"/>
      <c r="TZI56"/>
      <c r="TZJ56"/>
      <c r="TZK56"/>
      <c r="TZL56"/>
      <c r="TZM56"/>
      <c r="TZN56"/>
      <c r="TZO56"/>
      <c r="TZP56"/>
      <c r="TZQ56"/>
      <c r="TZR56"/>
      <c r="TZS56"/>
      <c r="TZT56"/>
      <c r="TZU56"/>
      <c r="TZV56"/>
      <c r="TZW56"/>
      <c r="TZX56"/>
      <c r="TZY56"/>
      <c r="TZZ56"/>
      <c r="UAA56"/>
      <c r="UAB56"/>
      <c r="UAC56"/>
      <c r="UAD56"/>
      <c r="UAE56"/>
      <c r="UAF56"/>
      <c r="UAG56"/>
      <c r="UAH56"/>
      <c r="UAI56"/>
      <c r="UAJ56"/>
      <c r="UAK56"/>
      <c r="UAL56"/>
      <c r="UAM56"/>
      <c r="UAN56"/>
      <c r="UAO56"/>
      <c r="UAP56"/>
      <c r="UAQ56"/>
      <c r="UAR56"/>
      <c r="UAS56"/>
      <c r="UAT56"/>
      <c r="UAU56"/>
      <c r="UAV56"/>
      <c r="UAW56"/>
      <c r="UAX56"/>
      <c r="UAY56"/>
      <c r="UAZ56"/>
      <c r="UBA56"/>
      <c r="UBB56"/>
      <c r="UBC56"/>
      <c r="UBD56"/>
      <c r="UBE56"/>
      <c r="UBF56"/>
      <c r="UBG56"/>
      <c r="UBH56"/>
      <c r="UBI56"/>
      <c r="UBJ56"/>
      <c r="UBK56"/>
      <c r="UBL56"/>
      <c r="UBM56"/>
      <c r="UBN56"/>
      <c r="UBO56"/>
      <c r="UBP56"/>
      <c r="UBQ56"/>
      <c r="UBR56"/>
      <c r="UBS56"/>
      <c r="UBT56"/>
      <c r="UBU56"/>
      <c r="UBV56"/>
      <c r="UBW56"/>
      <c r="UBX56"/>
      <c r="UBY56"/>
      <c r="UBZ56"/>
      <c r="UCA56"/>
      <c r="UCB56"/>
      <c r="UCC56"/>
      <c r="UCD56"/>
      <c r="UCE56"/>
      <c r="UCF56"/>
      <c r="UCG56"/>
      <c r="UCH56"/>
      <c r="UCI56"/>
      <c r="UCJ56"/>
      <c r="UCK56"/>
      <c r="UCL56"/>
      <c r="UCM56"/>
      <c r="UCN56"/>
      <c r="UCO56"/>
      <c r="UCP56"/>
      <c r="UCQ56"/>
      <c r="UCR56"/>
      <c r="UCS56"/>
      <c r="UCT56"/>
      <c r="UCU56"/>
      <c r="UCV56"/>
      <c r="UCW56"/>
      <c r="UCX56"/>
      <c r="UCY56"/>
      <c r="UCZ56"/>
      <c r="UDA56"/>
      <c r="UDB56"/>
      <c r="UDC56"/>
      <c r="UDD56"/>
      <c r="UDE56"/>
      <c r="UDF56"/>
      <c r="UDG56"/>
      <c r="UDH56"/>
      <c r="UDI56"/>
      <c r="UDJ56"/>
      <c r="UDK56"/>
      <c r="UDL56"/>
      <c r="UDM56"/>
      <c r="UDN56"/>
      <c r="UDO56"/>
      <c r="UDP56"/>
      <c r="UDQ56"/>
      <c r="UDR56"/>
      <c r="UDS56"/>
      <c r="UDT56"/>
      <c r="UDU56"/>
      <c r="UDV56"/>
      <c r="UDW56"/>
      <c r="UDX56"/>
      <c r="UDY56"/>
      <c r="UDZ56"/>
      <c r="UEA56"/>
      <c r="UEB56"/>
      <c r="UEC56"/>
      <c r="UED56"/>
      <c r="UEE56"/>
      <c r="UEF56"/>
      <c r="UEG56"/>
      <c r="UEH56"/>
      <c r="UEI56"/>
      <c r="UEJ56"/>
      <c r="UEK56"/>
      <c r="UEL56"/>
      <c r="UEM56"/>
      <c r="UEN56"/>
      <c r="UEO56"/>
      <c r="UEP56"/>
      <c r="UEQ56"/>
      <c r="UER56"/>
      <c r="UES56"/>
      <c r="UET56"/>
      <c r="UEU56"/>
      <c r="UEV56"/>
      <c r="UEW56"/>
      <c r="UEX56"/>
      <c r="UEY56"/>
      <c r="UEZ56"/>
      <c r="UFA56"/>
      <c r="UFB56"/>
      <c r="UFC56"/>
      <c r="UFD56"/>
      <c r="UFE56"/>
      <c r="UFF56"/>
      <c r="UFG56"/>
      <c r="UFH56"/>
      <c r="UFI56"/>
      <c r="UFJ56"/>
      <c r="UFK56"/>
      <c r="UFL56"/>
      <c r="UFM56"/>
      <c r="UFN56"/>
      <c r="UFO56"/>
      <c r="UFP56"/>
      <c r="UFQ56"/>
      <c r="UFR56"/>
      <c r="UFS56"/>
      <c r="UFT56"/>
      <c r="UFU56"/>
      <c r="UFV56"/>
      <c r="UFW56"/>
      <c r="UFX56"/>
      <c r="UFY56"/>
      <c r="UFZ56"/>
      <c r="UGA56"/>
      <c r="UGB56"/>
      <c r="UGC56"/>
      <c r="UGD56"/>
      <c r="UGE56"/>
      <c r="UGF56"/>
      <c r="UGG56"/>
      <c r="UGH56"/>
      <c r="UGI56"/>
      <c r="UGJ56"/>
      <c r="UGK56"/>
      <c r="UGL56"/>
      <c r="UGM56"/>
      <c r="UGN56"/>
      <c r="UGO56"/>
      <c r="UGP56"/>
      <c r="UGQ56"/>
      <c r="UGR56"/>
      <c r="UGS56"/>
      <c r="UGT56"/>
      <c r="UGU56"/>
      <c r="UGV56"/>
      <c r="UGW56"/>
      <c r="UGX56"/>
      <c r="UGY56"/>
      <c r="UGZ56"/>
      <c r="UHA56"/>
      <c r="UHB56"/>
      <c r="UHC56"/>
      <c r="UHD56"/>
      <c r="UHE56"/>
      <c r="UHF56"/>
      <c r="UHG56"/>
      <c r="UHH56"/>
      <c r="UHI56"/>
      <c r="UHJ56"/>
      <c r="UHK56"/>
      <c r="UHL56"/>
      <c r="UHM56"/>
      <c r="UHN56"/>
      <c r="UHO56"/>
      <c r="UHP56"/>
      <c r="UHQ56"/>
      <c r="UHR56"/>
      <c r="UHS56"/>
      <c r="UHT56"/>
      <c r="UHU56"/>
      <c r="UHV56"/>
      <c r="UHW56"/>
      <c r="UHX56"/>
      <c r="UHY56"/>
      <c r="UHZ56"/>
      <c r="UIA56"/>
      <c r="UIB56"/>
      <c r="UIC56"/>
      <c r="UID56"/>
      <c r="UIE56"/>
      <c r="UIF56"/>
      <c r="UIG56"/>
      <c r="UIH56"/>
      <c r="UII56"/>
      <c r="UIJ56"/>
      <c r="UIK56"/>
      <c r="UIL56"/>
      <c r="UIM56"/>
      <c r="UIN56"/>
      <c r="UIO56"/>
      <c r="UIP56"/>
      <c r="UIQ56"/>
      <c r="UIR56"/>
      <c r="UIS56"/>
      <c r="UIT56"/>
      <c r="UIU56"/>
      <c r="UIV56"/>
      <c r="UIW56"/>
      <c r="UIX56"/>
      <c r="UIY56"/>
      <c r="UIZ56"/>
      <c r="UJA56"/>
      <c r="UJB56"/>
      <c r="UJC56"/>
      <c r="UJD56"/>
      <c r="UJE56"/>
      <c r="UJF56"/>
      <c r="UJG56"/>
      <c r="UJH56"/>
      <c r="UJI56"/>
      <c r="UJJ56"/>
      <c r="UJK56"/>
      <c r="UJL56"/>
      <c r="UJM56"/>
      <c r="UJN56"/>
      <c r="UJO56"/>
      <c r="UJP56"/>
      <c r="UJQ56"/>
      <c r="UJR56"/>
      <c r="UJS56"/>
      <c r="UJT56"/>
      <c r="UJU56"/>
      <c r="UJV56"/>
      <c r="UJW56"/>
      <c r="UJX56"/>
      <c r="UJY56"/>
      <c r="UJZ56"/>
      <c r="UKA56"/>
      <c r="UKB56"/>
      <c r="UKC56"/>
      <c r="UKD56"/>
      <c r="UKE56"/>
      <c r="UKF56"/>
      <c r="UKG56"/>
      <c r="UKH56"/>
      <c r="UKI56"/>
      <c r="UKJ56"/>
      <c r="UKK56"/>
      <c r="UKL56"/>
      <c r="UKM56"/>
      <c r="UKN56"/>
      <c r="UKO56"/>
      <c r="UKP56"/>
      <c r="UKQ56"/>
      <c r="UKR56"/>
      <c r="UKS56"/>
      <c r="UKT56"/>
      <c r="UKU56"/>
      <c r="UKV56"/>
      <c r="UKW56"/>
      <c r="UKX56"/>
      <c r="UKY56"/>
      <c r="UKZ56"/>
      <c r="ULA56"/>
      <c r="ULB56"/>
      <c r="ULC56"/>
      <c r="ULD56"/>
      <c r="ULE56"/>
      <c r="ULF56"/>
      <c r="ULG56"/>
      <c r="ULH56"/>
      <c r="ULI56"/>
      <c r="ULJ56"/>
      <c r="ULK56"/>
      <c r="ULL56"/>
      <c r="ULM56"/>
      <c r="ULN56"/>
      <c r="ULO56"/>
      <c r="ULP56"/>
      <c r="ULQ56"/>
      <c r="ULR56"/>
      <c r="ULS56"/>
      <c r="ULT56"/>
      <c r="ULU56"/>
      <c r="ULV56"/>
      <c r="ULW56"/>
      <c r="ULX56"/>
      <c r="ULY56"/>
      <c r="ULZ56"/>
      <c r="UMA56"/>
      <c r="UMB56"/>
      <c r="UMC56"/>
      <c r="UMD56"/>
      <c r="UME56"/>
      <c r="UMF56"/>
      <c r="UMG56"/>
      <c r="UMH56"/>
      <c r="UMI56"/>
      <c r="UMJ56"/>
      <c r="UMK56"/>
      <c r="UML56"/>
      <c r="UMM56"/>
      <c r="UMN56"/>
      <c r="UMO56"/>
      <c r="UMP56"/>
      <c r="UMQ56"/>
      <c r="UMR56"/>
      <c r="UMS56"/>
      <c r="UMT56"/>
      <c r="UMU56"/>
      <c r="UMV56"/>
      <c r="UMW56"/>
      <c r="UMX56"/>
      <c r="UMY56"/>
      <c r="UMZ56"/>
      <c r="UNA56"/>
      <c r="UNB56"/>
      <c r="UNC56"/>
      <c r="UND56"/>
      <c r="UNE56"/>
      <c r="UNF56"/>
      <c r="UNG56"/>
      <c r="UNH56"/>
      <c r="UNI56"/>
      <c r="UNJ56"/>
      <c r="UNK56"/>
      <c r="UNL56"/>
      <c r="UNM56"/>
      <c r="UNN56"/>
      <c r="UNO56"/>
      <c r="UNP56"/>
      <c r="UNQ56"/>
      <c r="UNR56"/>
      <c r="UNS56"/>
      <c r="UNT56"/>
      <c r="UNU56"/>
      <c r="UNV56"/>
      <c r="UNW56"/>
      <c r="UNX56"/>
      <c r="UNY56"/>
      <c r="UNZ56"/>
      <c r="UOA56"/>
      <c r="UOB56"/>
      <c r="UOC56"/>
      <c r="UOD56"/>
      <c r="UOE56"/>
      <c r="UOF56"/>
      <c r="UOG56"/>
      <c r="UOH56"/>
      <c r="UOI56"/>
      <c r="UOJ56"/>
      <c r="UOK56"/>
      <c r="UOL56"/>
      <c r="UOM56"/>
      <c r="UON56"/>
      <c r="UOO56"/>
      <c r="UOP56"/>
      <c r="UOQ56"/>
      <c r="UOR56"/>
      <c r="UOS56"/>
      <c r="UOT56"/>
      <c r="UOU56"/>
      <c r="UOV56"/>
      <c r="UOW56"/>
      <c r="UOX56"/>
      <c r="UOY56"/>
      <c r="UOZ56"/>
      <c r="UPA56"/>
      <c r="UPB56"/>
      <c r="UPC56"/>
      <c r="UPD56"/>
      <c r="UPE56"/>
      <c r="UPF56"/>
      <c r="UPG56"/>
      <c r="UPH56"/>
      <c r="UPI56"/>
      <c r="UPJ56"/>
      <c r="UPK56"/>
      <c r="UPL56"/>
      <c r="UPM56"/>
      <c r="UPN56"/>
      <c r="UPO56"/>
      <c r="UPP56"/>
      <c r="UPQ56"/>
      <c r="UPR56"/>
      <c r="UPS56"/>
      <c r="UPT56"/>
      <c r="UPU56"/>
      <c r="UPV56"/>
      <c r="UPW56"/>
      <c r="UPX56"/>
      <c r="UPY56"/>
      <c r="UPZ56"/>
      <c r="UQA56"/>
      <c r="UQB56"/>
      <c r="UQC56"/>
      <c r="UQD56"/>
      <c r="UQE56"/>
      <c r="UQF56"/>
      <c r="UQG56"/>
      <c r="UQH56"/>
      <c r="UQI56"/>
      <c r="UQJ56"/>
      <c r="UQK56"/>
      <c r="UQL56"/>
      <c r="UQM56"/>
      <c r="UQN56"/>
      <c r="UQO56"/>
      <c r="UQP56"/>
      <c r="UQQ56"/>
      <c r="UQR56"/>
      <c r="UQS56"/>
      <c r="UQT56"/>
      <c r="UQU56"/>
      <c r="UQV56"/>
      <c r="UQW56"/>
      <c r="UQX56"/>
      <c r="UQY56"/>
      <c r="UQZ56"/>
      <c r="URA56"/>
      <c r="URB56"/>
      <c r="URC56"/>
      <c r="URD56"/>
      <c r="URE56"/>
      <c r="URF56"/>
      <c r="URG56"/>
      <c r="URH56"/>
      <c r="URI56"/>
      <c r="URJ56"/>
      <c r="URK56"/>
      <c r="URL56"/>
      <c r="URM56"/>
      <c r="URN56"/>
      <c r="URO56"/>
      <c r="URP56"/>
      <c r="URQ56"/>
      <c r="URR56"/>
      <c r="URS56"/>
      <c r="URT56"/>
      <c r="URU56"/>
      <c r="URV56"/>
      <c r="URW56"/>
      <c r="URX56"/>
      <c r="URY56"/>
      <c r="URZ56"/>
      <c r="USA56"/>
      <c r="USB56"/>
      <c r="USC56"/>
      <c r="USD56"/>
      <c r="USE56"/>
      <c r="USF56"/>
      <c r="USG56"/>
      <c r="USH56"/>
      <c r="USI56"/>
      <c r="USJ56"/>
      <c r="USK56"/>
      <c r="USL56"/>
      <c r="USM56"/>
      <c r="USN56"/>
      <c r="USO56"/>
      <c r="USP56"/>
      <c r="USQ56"/>
      <c r="USR56"/>
      <c r="USS56"/>
      <c r="UST56"/>
      <c r="USU56"/>
      <c r="USV56"/>
      <c r="USW56"/>
      <c r="USX56"/>
      <c r="USY56"/>
      <c r="USZ56"/>
      <c r="UTA56"/>
      <c r="UTB56"/>
      <c r="UTC56"/>
      <c r="UTD56"/>
      <c r="UTE56"/>
      <c r="UTF56"/>
      <c r="UTG56"/>
      <c r="UTH56"/>
      <c r="UTI56"/>
      <c r="UTJ56"/>
      <c r="UTK56"/>
      <c r="UTL56"/>
      <c r="UTM56"/>
      <c r="UTN56"/>
      <c r="UTO56"/>
      <c r="UTP56"/>
      <c r="UTQ56"/>
      <c r="UTR56"/>
      <c r="UTS56"/>
      <c r="UTT56"/>
      <c r="UTU56"/>
      <c r="UTV56"/>
      <c r="UTW56"/>
      <c r="UTX56"/>
      <c r="UTY56"/>
      <c r="UTZ56"/>
      <c r="UUA56"/>
      <c r="UUB56"/>
      <c r="UUC56"/>
      <c r="UUD56"/>
      <c r="UUE56"/>
      <c r="UUF56"/>
      <c r="UUG56"/>
      <c r="UUH56"/>
      <c r="UUI56"/>
      <c r="UUJ56"/>
      <c r="UUK56"/>
      <c r="UUL56"/>
      <c r="UUM56"/>
      <c r="UUN56"/>
      <c r="UUO56"/>
      <c r="UUP56"/>
      <c r="UUQ56"/>
      <c r="UUR56"/>
      <c r="UUS56"/>
      <c r="UUT56"/>
      <c r="UUU56"/>
      <c r="UUV56"/>
      <c r="UUW56"/>
      <c r="UUX56"/>
      <c r="UUY56"/>
      <c r="UUZ56"/>
      <c r="UVA56"/>
      <c r="UVB56"/>
      <c r="UVC56"/>
      <c r="UVD56"/>
      <c r="UVE56"/>
      <c r="UVF56"/>
      <c r="UVG56"/>
      <c r="UVH56"/>
      <c r="UVI56"/>
      <c r="UVJ56"/>
      <c r="UVK56"/>
      <c r="UVL56"/>
      <c r="UVM56"/>
      <c r="UVN56"/>
      <c r="UVO56"/>
      <c r="UVP56"/>
      <c r="UVQ56"/>
      <c r="UVR56"/>
      <c r="UVS56"/>
      <c r="UVT56"/>
      <c r="UVU56"/>
      <c r="UVV56"/>
      <c r="UVW56"/>
      <c r="UVX56"/>
      <c r="UVY56"/>
      <c r="UVZ56"/>
      <c r="UWA56"/>
      <c r="UWB56"/>
      <c r="UWC56"/>
      <c r="UWD56"/>
      <c r="UWE56"/>
      <c r="UWF56"/>
      <c r="UWG56"/>
      <c r="UWH56"/>
      <c r="UWI56"/>
      <c r="UWJ56"/>
      <c r="UWK56"/>
      <c r="UWL56"/>
      <c r="UWM56"/>
      <c r="UWN56"/>
      <c r="UWO56"/>
      <c r="UWP56"/>
      <c r="UWQ56"/>
      <c r="UWR56"/>
      <c r="UWS56"/>
      <c r="UWT56"/>
      <c r="UWU56"/>
      <c r="UWV56"/>
      <c r="UWW56"/>
      <c r="UWX56"/>
      <c r="UWY56"/>
      <c r="UWZ56"/>
      <c r="UXA56"/>
      <c r="UXB56"/>
      <c r="UXC56"/>
      <c r="UXD56"/>
      <c r="UXE56"/>
      <c r="UXF56"/>
      <c r="UXG56"/>
      <c r="UXH56"/>
      <c r="UXI56"/>
      <c r="UXJ56"/>
      <c r="UXK56"/>
      <c r="UXL56"/>
      <c r="UXM56"/>
      <c r="UXN56"/>
      <c r="UXO56"/>
      <c r="UXP56"/>
      <c r="UXQ56"/>
      <c r="UXR56"/>
      <c r="UXS56"/>
      <c r="UXT56"/>
      <c r="UXU56"/>
      <c r="UXV56"/>
      <c r="UXW56"/>
      <c r="UXX56"/>
      <c r="UXY56"/>
      <c r="UXZ56"/>
      <c r="UYA56"/>
      <c r="UYB56"/>
      <c r="UYC56"/>
      <c r="UYD56"/>
      <c r="UYE56"/>
      <c r="UYF56"/>
      <c r="UYG56"/>
      <c r="UYH56"/>
      <c r="UYI56"/>
      <c r="UYJ56"/>
      <c r="UYK56"/>
      <c r="UYL56"/>
      <c r="UYM56"/>
      <c r="UYN56"/>
      <c r="UYO56"/>
      <c r="UYP56"/>
      <c r="UYQ56"/>
      <c r="UYR56"/>
      <c r="UYS56"/>
      <c r="UYT56"/>
      <c r="UYU56"/>
      <c r="UYV56"/>
      <c r="UYW56"/>
      <c r="UYX56"/>
      <c r="UYY56"/>
      <c r="UYZ56"/>
      <c r="UZA56"/>
      <c r="UZB56"/>
      <c r="UZC56"/>
      <c r="UZD56"/>
      <c r="UZE56"/>
      <c r="UZF56"/>
      <c r="UZG56"/>
      <c r="UZH56"/>
      <c r="UZI56"/>
      <c r="UZJ56"/>
      <c r="UZK56"/>
      <c r="UZL56"/>
      <c r="UZM56"/>
      <c r="UZN56"/>
      <c r="UZO56"/>
      <c r="UZP56"/>
      <c r="UZQ56"/>
      <c r="UZR56"/>
      <c r="UZS56"/>
      <c r="UZT56"/>
      <c r="UZU56"/>
      <c r="UZV56"/>
      <c r="UZW56"/>
      <c r="UZX56"/>
      <c r="UZY56"/>
      <c r="UZZ56"/>
      <c r="VAA56"/>
      <c r="VAB56"/>
      <c r="VAC56"/>
      <c r="VAD56"/>
      <c r="VAE56"/>
      <c r="VAF56"/>
      <c r="VAG56"/>
      <c r="VAH56"/>
      <c r="VAI56"/>
      <c r="VAJ56"/>
      <c r="VAK56"/>
      <c r="VAL56"/>
      <c r="VAM56"/>
      <c r="VAN56"/>
      <c r="VAO56"/>
      <c r="VAP56"/>
      <c r="VAQ56"/>
      <c r="VAR56"/>
      <c r="VAS56"/>
      <c r="VAT56"/>
      <c r="VAU56"/>
      <c r="VAV56"/>
      <c r="VAW56"/>
      <c r="VAX56"/>
      <c r="VAY56"/>
      <c r="VAZ56"/>
      <c r="VBA56"/>
      <c r="VBB56"/>
      <c r="VBC56"/>
      <c r="VBD56"/>
      <c r="VBE56"/>
      <c r="VBF56"/>
      <c r="VBG56"/>
      <c r="VBH56"/>
      <c r="VBI56"/>
      <c r="VBJ56"/>
      <c r="VBK56"/>
      <c r="VBL56"/>
      <c r="VBM56"/>
      <c r="VBN56"/>
      <c r="VBO56"/>
      <c r="VBP56"/>
      <c r="VBQ56"/>
      <c r="VBR56"/>
      <c r="VBS56"/>
      <c r="VBT56"/>
      <c r="VBU56"/>
      <c r="VBV56"/>
      <c r="VBW56"/>
      <c r="VBX56"/>
      <c r="VBY56"/>
      <c r="VBZ56"/>
      <c r="VCA56"/>
      <c r="VCB56"/>
      <c r="VCC56"/>
      <c r="VCD56"/>
      <c r="VCE56"/>
      <c r="VCF56"/>
      <c r="VCG56"/>
      <c r="VCH56"/>
      <c r="VCI56"/>
      <c r="VCJ56"/>
      <c r="VCK56"/>
      <c r="VCL56"/>
      <c r="VCM56"/>
      <c r="VCN56"/>
      <c r="VCO56"/>
      <c r="VCP56"/>
      <c r="VCQ56"/>
      <c r="VCR56"/>
      <c r="VCS56"/>
      <c r="VCT56"/>
      <c r="VCU56"/>
      <c r="VCV56"/>
      <c r="VCW56"/>
      <c r="VCX56"/>
      <c r="VCY56"/>
      <c r="VCZ56"/>
      <c r="VDA56"/>
      <c r="VDB56"/>
      <c r="VDC56"/>
      <c r="VDD56"/>
      <c r="VDE56"/>
      <c r="VDF56"/>
      <c r="VDG56"/>
      <c r="VDH56"/>
      <c r="VDI56"/>
      <c r="VDJ56"/>
      <c r="VDK56"/>
      <c r="VDL56"/>
      <c r="VDM56"/>
      <c r="VDN56"/>
      <c r="VDO56"/>
      <c r="VDP56"/>
      <c r="VDQ56"/>
      <c r="VDR56"/>
      <c r="VDS56"/>
      <c r="VDT56"/>
      <c r="VDU56"/>
      <c r="VDV56"/>
      <c r="VDW56"/>
      <c r="VDX56"/>
      <c r="VDY56"/>
      <c r="VDZ56"/>
      <c r="VEA56"/>
      <c r="VEB56"/>
      <c r="VEC56"/>
      <c r="VED56"/>
      <c r="VEE56"/>
      <c r="VEF56"/>
      <c r="VEG56"/>
      <c r="VEH56"/>
      <c r="VEI56"/>
      <c r="VEJ56"/>
      <c r="VEK56"/>
      <c r="VEL56"/>
      <c r="VEM56"/>
      <c r="VEN56"/>
      <c r="VEO56"/>
      <c r="VEP56"/>
      <c r="VEQ56"/>
      <c r="VER56"/>
      <c r="VES56"/>
      <c r="VET56"/>
      <c r="VEU56"/>
      <c r="VEV56"/>
      <c r="VEW56"/>
      <c r="VEX56"/>
      <c r="VEY56"/>
      <c r="VEZ56"/>
      <c r="VFA56"/>
      <c r="VFB56"/>
      <c r="VFC56"/>
      <c r="VFD56"/>
      <c r="VFE56"/>
      <c r="VFF56"/>
      <c r="VFG56"/>
      <c r="VFH56"/>
      <c r="VFI56"/>
      <c r="VFJ56"/>
      <c r="VFK56"/>
      <c r="VFL56"/>
      <c r="VFM56"/>
      <c r="VFN56"/>
      <c r="VFO56"/>
      <c r="VFP56"/>
      <c r="VFQ56"/>
      <c r="VFR56"/>
      <c r="VFS56"/>
      <c r="VFT56"/>
      <c r="VFU56"/>
      <c r="VFV56"/>
      <c r="VFW56"/>
      <c r="VFX56"/>
      <c r="VFY56"/>
      <c r="VFZ56"/>
      <c r="VGA56"/>
      <c r="VGB56"/>
      <c r="VGC56"/>
      <c r="VGD56"/>
      <c r="VGE56"/>
      <c r="VGF56"/>
      <c r="VGG56"/>
      <c r="VGH56"/>
      <c r="VGI56"/>
      <c r="VGJ56"/>
      <c r="VGK56"/>
      <c r="VGL56"/>
      <c r="VGM56"/>
      <c r="VGN56"/>
      <c r="VGO56"/>
      <c r="VGP56"/>
      <c r="VGQ56"/>
      <c r="VGR56"/>
      <c r="VGS56"/>
      <c r="VGT56"/>
      <c r="VGU56"/>
      <c r="VGV56"/>
      <c r="VGW56"/>
      <c r="VGX56"/>
      <c r="VGY56"/>
      <c r="VGZ56"/>
      <c r="VHA56"/>
      <c r="VHB56"/>
      <c r="VHC56"/>
      <c r="VHD56"/>
      <c r="VHE56"/>
      <c r="VHF56"/>
      <c r="VHG56"/>
      <c r="VHH56"/>
      <c r="VHI56"/>
      <c r="VHJ56"/>
      <c r="VHK56"/>
      <c r="VHL56"/>
      <c r="VHM56"/>
      <c r="VHN56"/>
      <c r="VHO56"/>
      <c r="VHP56"/>
      <c r="VHQ56"/>
      <c r="VHR56"/>
      <c r="VHS56"/>
      <c r="VHT56"/>
      <c r="VHU56"/>
      <c r="VHV56"/>
      <c r="VHW56"/>
      <c r="VHX56"/>
      <c r="VHY56"/>
      <c r="VHZ56"/>
      <c r="VIA56"/>
      <c r="VIB56"/>
      <c r="VIC56"/>
      <c r="VID56"/>
      <c r="VIE56"/>
      <c r="VIF56"/>
      <c r="VIG56"/>
      <c r="VIH56"/>
      <c r="VII56"/>
      <c r="VIJ56"/>
      <c r="VIK56"/>
      <c r="VIL56"/>
      <c r="VIM56"/>
      <c r="VIN56"/>
      <c r="VIO56"/>
      <c r="VIP56"/>
      <c r="VIQ56"/>
      <c r="VIR56"/>
      <c r="VIS56"/>
      <c r="VIT56"/>
      <c r="VIU56"/>
      <c r="VIV56"/>
      <c r="VIW56"/>
      <c r="VIX56"/>
      <c r="VIY56"/>
      <c r="VIZ56"/>
      <c r="VJA56"/>
      <c r="VJB56"/>
      <c r="VJC56"/>
      <c r="VJD56"/>
      <c r="VJE56"/>
      <c r="VJF56"/>
      <c r="VJG56"/>
      <c r="VJH56"/>
      <c r="VJI56"/>
      <c r="VJJ56"/>
      <c r="VJK56"/>
      <c r="VJL56"/>
      <c r="VJM56"/>
      <c r="VJN56"/>
      <c r="VJO56"/>
      <c r="VJP56"/>
      <c r="VJQ56"/>
      <c r="VJR56"/>
      <c r="VJS56"/>
      <c r="VJT56"/>
      <c r="VJU56"/>
      <c r="VJV56"/>
      <c r="VJW56"/>
      <c r="VJX56"/>
      <c r="VJY56"/>
      <c r="VJZ56"/>
      <c r="VKA56"/>
      <c r="VKB56"/>
      <c r="VKC56"/>
      <c r="VKD56"/>
      <c r="VKE56"/>
      <c r="VKF56"/>
      <c r="VKG56"/>
      <c r="VKH56"/>
      <c r="VKI56"/>
      <c r="VKJ56"/>
      <c r="VKK56"/>
      <c r="VKL56"/>
      <c r="VKM56"/>
      <c r="VKN56"/>
      <c r="VKO56"/>
      <c r="VKP56"/>
      <c r="VKQ56"/>
      <c r="VKR56"/>
      <c r="VKS56"/>
      <c r="VKT56"/>
      <c r="VKU56"/>
      <c r="VKV56"/>
      <c r="VKW56"/>
      <c r="VKX56"/>
      <c r="VKY56"/>
      <c r="VKZ56"/>
      <c r="VLA56"/>
      <c r="VLB56"/>
      <c r="VLC56"/>
      <c r="VLD56"/>
      <c r="VLE56"/>
      <c r="VLF56"/>
      <c r="VLG56"/>
      <c r="VLH56"/>
      <c r="VLI56"/>
      <c r="VLJ56"/>
      <c r="VLK56"/>
      <c r="VLL56"/>
      <c r="VLM56"/>
      <c r="VLN56"/>
      <c r="VLO56"/>
      <c r="VLP56"/>
      <c r="VLQ56"/>
      <c r="VLR56"/>
      <c r="VLS56"/>
      <c r="VLT56"/>
      <c r="VLU56"/>
      <c r="VLV56"/>
      <c r="VLW56"/>
      <c r="VLX56"/>
      <c r="VLY56"/>
      <c r="VLZ56"/>
      <c r="VMA56"/>
      <c r="VMB56"/>
      <c r="VMC56"/>
      <c r="VMD56"/>
      <c r="VME56"/>
      <c r="VMF56"/>
      <c r="VMG56"/>
      <c r="VMH56"/>
      <c r="VMI56"/>
      <c r="VMJ56"/>
      <c r="VMK56"/>
      <c r="VML56"/>
      <c r="VMM56"/>
      <c r="VMN56"/>
      <c r="VMO56"/>
      <c r="VMP56"/>
      <c r="VMQ56"/>
      <c r="VMR56"/>
      <c r="VMS56"/>
      <c r="VMT56"/>
      <c r="VMU56"/>
      <c r="VMV56"/>
      <c r="VMW56"/>
      <c r="VMX56"/>
      <c r="VMY56"/>
      <c r="VMZ56"/>
      <c r="VNA56"/>
      <c r="VNB56"/>
      <c r="VNC56"/>
      <c r="VND56"/>
      <c r="VNE56"/>
      <c r="VNF56"/>
      <c r="VNG56"/>
      <c r="VNH56"/>
      <c r="VNI56"/>
      <c r="VNJ56"/>
      <c r="VNK56"/>
      <c r="VNL56"/>
      <c r="VNM56"/>
      <c r="VNN56"/>
      <c r="VNO56"/>
      <c r="VNP56"/>
      <c r="VNQ56"/>
      <c r="VNR56"/>
      <c r="VNS56"/>
      <c r="VNT56"/>
      <c r="VNU56"/>
      <c r="VNV56"/>
      <c r="VNW56"/>
      <c r="VNX56"/>
      <c r="VNY56"/>
      <c r="VNZ56"/>
      <c r="VOA56"/>
      <c r="VOB56"/>
      <c r="VOC56"/>
      <c r="VOD56"/>
      <c r="VOE56"/>
      <c r="VOF56"/>
      <c r="VOG56"/>
      <c r="VOH56"/>
      <c r="VOI56"/>
      <c r="VOJ56"/>
      <c r="VOK56"/>
      <c r="VOL56"/>
      <c r="VOM56"/>
      <c r="VON56"/>
      <c r="VOO56"/>
      <c r="VOP56"/>
      <c r="VOQ56"/>
      <c r="VOR56"/>
      <c r="VOS56"/>
      <c r="VOT56"/>
      <c r="VOU56"/>
      <c r="VOV56"/>
      <c r="VOW56"/>
      <c r="VOX56"/>
      <c r="VOY56"/>
      <c r="VOZ56"/>
      <c r="VPA56"/>
      <c r="VPB56"/>
      <c r="VPC56"/>
      <c r="VPD56"/>
      <c r="VPE56"/>
      <c r="VPF56"/>
      <c r="VPG56"/>
      <c r="VPH56"/>
      <c r="VPI56"/>
      <c r="VPJ56"/>
      <c r="VPK56"/>
      <c r="VPL56"/>
      <c r="VPM56"/>
      <c r="VPN56"/>
      <c r="VPO56"/>
      <c r="VPP56"/>
      <c r="VPQ56"/>
      <c r="VPR56"/>
      <c r="VPS56"/>
      <c r="VPT56"/>
      <c r="VPU56"/>
      <c r="VPV56"/>
      <c r="VPW56"/>
      <c r="VPX56"/>
      <c r="VPY56"/>
      <c r="VPZ56"/>
      <c r="VQA56"/>
      <c r="VQB56"/>
      <c r="VQC56"/>
      <c r="VQD56"/>
      <c r="VQE56"/>
      <c r="VQF56"/>
      <c r="VQG56"/>
      <c r="VQH56"/>
      <c r="VQI56"/>
      <c r="VQJ56"/>
      <c r="VQK56"/>
      <c r="VQL56"/>
      <c r="VQM56"/>
      <c r="VQN56"/>
      <c r="VQO56"/>
      <c r="VQP56"/>
      <c r="VQQ56"/>
      <c r="VQR56"/>
      <c r="VQS56"/>
      <c r="VQT56"/>
      <c r="VQU56"/>
      <c r="VQV56"/>
      <c r="VQW56"/>
      <c r="VQX56"/>
      <c r="VQY56"/>
      <c r="VQZ56"/>
      <c r="VRA56"/>
      <c r="VRB56"/>
      <c r="VRC56"/>
      <c r="VRD56"/>
      <c r="VRE56"/>
      <c r="VRF56"/>
      <c r="VRG56"/>
      <c r="VRH56"/>
      <c r="VRI56"/>
      <c r="VRJ56"/>
      <c r="VRK56"/>
      <c r="VRL56"/>
      <c r="VRM56"/>
      <c r="VRN56"/>
      <c r="VRO56"/>
      <c r="VRP56"/>
      <c r="VRQ56"/>
      <c r="VRR56"/>
      <c r="VRS56"/>
      <c r="VRT56"/>
      <c r="VRU56"/>
      <c r="VRV56"/>
      <c r="VRW56"/>
      <c r="VRX56"/>
      <c r="VRY56"/>
      <c r="VRZ56"/>
      <c r="VSA56"/>
      <c r="VSB56"/>
      <c r="VSC56"/>
      <c r="VSD56"/>
      <c r="VSE56"/>
      <c r="VSF56"/>
      <c r="VSG56"/>
      <c r="VSH56"/>
      <c r="VSI56"/>
      <c r="VSJ56"/>
      <c r="VSK56"/>
      <c r="VSL56"/>
      <c r="VSM56"/>
      <c r="VSN56"/>
      <c r="VSO56"/>
      <c r="VSP56"/>
      <c r="VSQ56"/>
      <c r="VSR56"/>
      <c r="VSS56"/>
      <c r="VST56"/>
      <c r="VSU56"/>
      <c r="VSV56"/>
      <c r="VSW56"/>
      <c r="VSX56"/>
      <c r="VSY56"/>
      <c r="VSZ56"/>
      <c r="VTA56"/>
      <c r="VTB56"/>
      <c r="VTC56"/>
      <c r="VTD56"/>
      <c r="VTE56"/>
      <c r="VTF56"/>
      <c r="VTG56"/>
      <c r="VTH56"/>
      <c r="VTI56"/>
      <c r="VTJ56"/>
      <c r="VTK56"/>
      <c r="VTL56"/>
      <c r="VTM56"/>
      <c r="VTN56"/>
      <c r="VTO56"/>
      <c r="VTP56"/>
      <c r="VTQ56"/>
      <c r="VTR56"/>
      <c r="VTS56"/>
      <c r="VTT56"/>
      <c r="VTU56"/>
      <c r="VTV56"/>
      <c r="VTW56"/>
      <c r="VTX56"/>
      <c r="VTY56"/>
      <c r="VTZ56"/>
      <c r="VUA56"/>
      <c r="VUB56"/>
      <c r="VUC56"/>
      <c r="VUD56"/>
      <c r="VUE56"/>
      <c r="VUF56"/>
      <c r="VUG56"/>
      <c r="VUH56"/>
      <c r="VUI56"/>
      <c r="VUJ56"/>
      <c r="VUK56"/>
      <c r="VUL56"/>
      <c r="VUM56"/>
      <c r="VUN56"/>
      <c r="VUO56"/>
      <c r="VUP56"/>
      <c r="VUQ56"/>
      <c r="VUR56"/>
      <c r="VUS56"/>
      <c r="VUT56"/>
      <c r="VUU56"/>
      <c r="VUV56"/>
      <c r="VUW56"/>
      <c r="VUX56"/>
      <c r="VUY56"/>
      <c r="VUZ56"/>
      <c r="VVA56"/>
      <c r="VVB56"/>
      <c r="VVC56"/>
      <c r="VVD56"/>
      <c r="VVE56"/>
      <c r="VVF56"/>
      <c r="VVG56"/>
      <c r="VVH56"/>
      <c r="VVI56"/>
      <c r="VVJ56"/>
      <c r="VVK56"/>
      <c r="VVL56"/>
      <c r="VVM56"/>
      <c r="VVN56"/>
      <c r="VVO56"/>
      <c r="VVP56"/>
      <c r="VVQ56"/>
      <c r="VVR56"/>
      <c r="VVS56"/>
      <c r="VVT56"/>
      <c r="VVU56"/>
      <c r="VVV56"/>
      <c r="VVW56"/>
      <c r="VVX56"/>
      <c r="VVY56"/>
      <c r="VVZ56"/>
      <c r="VWA56"/>
      <c r="VWB56"/>
      <c r="VWC56"/>
      <c r="VWD56"/>
      <c r="VWE56"/>
      <c r="VWF56"/>
      <c r="VWG56"/>
      <c r="VWH56"/>
      <c r="VWI56"/>
      <c r="VWJ56"/>
      <c r="VWK56"/>
      <c r="VWL56"/>
      <c r="VWM56"/>
      <c r="VWN56"/>
      <c r="VWO56"/>
      <c r="VWP56"/>
      <c r="VWQ56"/>
      <c r="VWR56"/>
      <c r="VWS56"/>
      <c r="VWT56"/>
      <c r="VWU56"/>
      <c r="VWV56"/>
      <c r="VWW56"/>
      <c r="VWX56"/>
      <c r="VWY56"/>
      <c r="VWZ56"/>
      <c r="VXA56"/>
      <c r="VXB56"/>
      <c r="VXC56"/>
      <c r="VXD56"/>
      <c r="VXE56"/>
      <c r="VXF56"/>
      <c r="VXG56"/>
      <c r="VXH56"/>
      <c r="VXI56"/>
      <c r="VXJ56"/>
      <c r="VXK56"/>
      <c r="VXL56"/>
      <c r="VXM56"/>
      <c r="VXN56"/>
      <c r="VXO56"/>
      <c r="VXP56"/>
      <c r="VXQ56"/>
      <c r="VXR56"/>
      <c r="VXS56"/>
      <c r="VXT56"/>
      <c r="VXU56"/>
      <c r="VXV56"/>
      <c r="VXW56"/>
      <c r="VXX56"/>
      <c r="VXY56"/>
      <c r="VXZ56"/>
      <c r="VYA56"/>
      <c r="VYB56"/>
      <c r="VYC56"/>
      <c r="VYD56"/>
      <c r="VYE56"/>
      <c r="VYF56"/>
      <c r="VYG56"/>
      <c r="VYH56"/>
      <c r="VYI56"/>
      <c r="VYJ56"/>
      <c r="VYK56"/>
      <c r="VYL56"/>
      <c r="VYM56"/>
      <c r="VYN56"/>
      <c r="VYO56"/>
      <c r="VYP56"/>
      <c r="VYQ56"/>
      <c r="VYR56"/>
      <c r="VYS56"/>
      <c r="VYT56"/>
      <c r="VYU56"/>
      <c r="VYV56"/>
      <c r="VYW56"/>
      <c r="VYX56"/>
      <c r="VYY56"/>
      <c r="VYZ56"/>
      <c r="VZA56"/>
      <c r="VZB56"/>
      <c r="VZC56"/>
      <c r="VZD56"/>
      <c r="VZE56"/>
      <c r="VZF56"/>
      <c r="VZG56"/>
      <c r="VZH56"/>
      <c r="VZI56"/>
      <c r="VZJ56"/>
      <c r="VZK56"/>
      <c r="VZL56"/>
      <c r="VZM56"/>
      <c r="VZN56"/>
      <c r="VZO56"/>
      <c r="VZP56"/>
      <c r="VZQ56"/>
      <c r="VZR56"/>
      <c r="VZS56"/>
      <c r="VZT56"/>
      <c r="VZU56"/>
      <c r="VZV56"/>
      <c r="VZW56"/>
      <c r="VZX56"/>
      <c r="VZY56"/>
      <c r="VZZ56"/>
      <c r="WAA56"/>
      <c r="WAB56"/>
      <c r="WAC56"/>
      <c r="WAD56"/>
      <c r="WAE56"/>
      <c r="WAF56"/>
      <c r="WAG56"/>
      <c r="WAH56"/>
      <c r="WAI56"/>
      <c r="WAJ56"/>
      <c r="WAK56"/>
      <c r="WAL56"/>
      <c r="WAM56"/>
      <c r="WAN56"/>
      <c r="WAO56"/>
      <c r="WAP56"/>
      <c r="WAQ56"/>
      <c r="WAR56"/>
      <c r="WAS56"/>
      <c r="WAT56"/>
      <c r="WAU56"/>
      <c r="WAV56"/>
      <c r="WAW56"/>
      <c r="WAX56"/>
      <c r="WAY56"/>
      <c r="WAZ56"/>
      <c r="WBA56"/>
      <c r="WBB56"/>
      <c r="WBC56"/>
      <c r="WBD56"/>
      <c r="WBE56"/>
      <c r="WBF56"/>
      <c r="WBG56"/>
      <c r="WBH56"/>
      <c r="WBI56"/>
      <c r="WBJ56"/>
      <c r="WBK56"/>
      <c r="WBL56"/>
      <c r="WBM56"/>
      <c r="WBN56"/>
      <c r="WBO56"/>
      <c r="WBP56"/>
      <c r="WBQ56"/>
      <c r="WBR56"/>
      <c r="WBS56"/>
      <c r="WBT56"/>
      <c r="WBU56"/>
      <c r="WBV56"/>
      <c r="WBW56"/>
      <c r="WBX56"/>
      <c r="WBY56"/>
      <c r="WBZ56"/>
      <c r="WCA56"/>
      <c r="WCB56"/>
      <c r="WCC56"/>
      <c r="WCD56"/>
      <c r="WCE56"/>
      <c r="WCF56"/>
      <c r="WCG56"/>
      <c r="WCH56"/>
      <c r="WCI56"/>
      <c r="WCJ56"/>
      <c r="WCK56"/>
      <c r="WCL56"/>
      <c r="WCM56"/>
      <c r="WCN56"/>
      <c r="WCO56"/>
      <c r="WCP56"/>
      <c r="WCQ56"/>
      <c r="WCR56"/>
      <c r="WCS56"/>
      <c r="WCT56"/>
      <c r="WCU56"/>
      <c r="WCV56"/>
      <c r="WCW56"/>
      <c r="WCX56"/>
      <c r="WCY56"/>
      <c r="WCZ56"/>
      <c r="WDA56"/>
      <c r="WDB56"/>
      <c r="WDC56"/>
      <c r="WDD56"/>
      <c r="WDE56"/>
      <c r="WDF56"/>
      <c r="WDG56"/>
      <c r="WDH56"/>
      <c r="WDI56"/>
      <c r="WDJ56"/>
      <c r="WDK56"/>
      <c r="WDL56"/>
      <c r="WDM56"/>
      <c r="WDN56"/>
      <c r="WDO56"/>
      <c r="WDP56"/>
      <c r="WDQ56"/>
      <c r="WDR56"/>
      <c r="WDS56"/>
      <c r="WDT56"/>
      <c r="WDU56"/>
      <c r="WDV56"/>
      <c r="WDW56"/>
      <c r="WDX56"/>
      <c r="WDY56"/>
      <c r="WDZ56"/>
      <c r="WEA56"/>
      <c r="WEB56"/>
      <c r="WEC56"/>
      <c r="WED56"/>
      <c r="WEE56"/>
      <c r="WEF56"/>
      <c r="WEG56"/>
      <c r="WEH56"/>
      <c r="WEI56"/>
      <c r="WEJ56"/>
      <c r="WEK56"/>
      <c r="WEL56"/>
      <c r="WEM56"/>
      <c r="WEN56"/>
      <c r="WEO56"/>
      <c r="WEP56"/>
      <c r="WEQ56"/>
      <c r="WER56"/>
      <c r="WES56"/>
      <c r="WET56"/>
      <c r="WEU56"/>
      <c r="WEV56"/>
      <c r="WEW56"/>
      <c r="WEX56"/>
      <c r="WEY56"/>
      <c r="WEZ56"/>
      <c r="WFA56"/>
      <c r="WFB56"/>
      <c r="WFC56"/>
      <c r="WFD56"/>
      <c r="WFE56"/>
      <c r="WFF56"/>
      <c r="WFG56"/>
      <c r="WFH56"/>
      <c r="WFI56"/>
      <c r="WFJ56"/>
      <c r="WFK56"/>
      <c r="WFL56"/>
      <c r="WFM56"/>
      <c r="WFN56"/>
      <c r="WFO56"/>
      <c r="WFP56"/>
      <c r="WFQ56"/>
      <c r="WFR56"/>
      <c r="WFS56"/>
      <c r="WFT56"/>
      <c r="WFU56"/>
      <c r="WFV56"/>
      <c r="WFW56"/>
      <c r="WFX56"/>
      <c r="WFY56"/>
      <c r="WFZ56"/>
      <c r="WGA56"/>
      <c r="WGB56"/>
      <c r="WGC56"/>
      <c r="WGD56"/>
      <c r="WGE56"/>
      <c r="WGF56"/>
      <c r="WGG56"/>
      <c r="WGH56"/>
      <c r="WGI56"/>
      <c r="WGJ56"/>
      <c r="WGK56"/>
      <c r="WGL56"/>
      <c r="WGM56"/>
      <c r="WGN56"/>
      <c r="WGO56"/>
      <c r="WGP56"/>
      <c r="WGQ56"/>
      <c r="WGR56"/>
      <c r="WGS56"/>
      <c r="WGT56"/>
      <c r="WGU56"/>
      <c r="WGV56"/>
      <c r="WGW56"/>
      <c r="WGX56"/>
      <c r="WGY56"/>
      <c r="WGZ56"/>
      <c r="WHA56"/>
      <c r="WHB56"/>
      <c r="WHC56"/>
      <c r="WHD56"/>
      <c r="WHE56"/>
      <c r="WHF56"/>
      <c r="WHG56"/>
      <c r="WHH56"/>
      <c r="WHI56"/>
      <c r="WHJ56"/>
      <c r="WHK56"/>
      <c r="WHL56"/>
      <c r="WHM56"/>
      <c r="WHN56"/>
      <c r="WHO56"/>
      <c r="WHP56"/>
      <c r="WHQ56"/>
      <c r="WHR56"/>
      <c r="WHS56"/>
      <c r="WHT56"/>
      <c r="WHU56"/>
      <c r="WHV56"/>
      <c r="WHW56"/>
      <c r="WHX56"/>
      <c r="WHY56"/>
      <c r="WHZ56"/>
      <c r="WIA56"/>
      <c r="WIB56"/>
      <c r="WIC56"/>
      <c r="WID56"/>
      <c r="WIE56"/>
      <c r="WIF56"/>
      <c r="WIG56"/>
      <c r="WIH56"/>
      <c r="WII56"/>
      <c r="WIJ56"/>
      <c r="WIK56"/>
      <c r="WIL56"/>
      <c r="WIM56"/>
      <c r="WIN56"/>
      <c r="WIO56"/>
      <c r="WIP56"/>
      <c r="WIQ56"/>
      <c r="WIR56"/>
      <c r="WIS56"/>
      <c r="WIT56"/>
      <c r="WIU56"/>
      <c r="WIV56"/>
      <c r="WIW56"/>
      <c r="WIX56"/>
      <c r="WIY56"/>
      <c r="WIZ56"/>
      <c r="WJA56"/>
      <c r="WJB56"/>
      <c r="WJC56"/>
      <c r="WJD56"/>
      <c r="WJE56"/>
      <c r="WJF56"/>
      <c r="WJG56"/>
      <c r="WJH56"/>
      <c r="WJI56"/>
      <c r="WJJ56"/>
      <c r="WJK56"/>
      <c r="WJL56"/>
      <c r="WJM56"/>
      <c r="WJN56"/>
      <c r="WJO56"/>
      <c r="WJP56"/>
      <c r="WJQ56"/>
      <c r="WJR56"/>
      <c r="WJS56"/>
      <c r="WJT56"/>
      <c r="WJU56"/>
      <c r="WJV56"/>
      <c r="WJW56"/>
      <c r="WJX56"/>
      <c r="WJY56"/>
      <c r="WJZ56"/>
      <c r="WKA56"/>
      <c r="WKB56"/>
      <c r="WKC56"/>
      <c r="WKD56"/>
      <c r="WKE56"/>
      <c r="WKF56"/>
      <c r="WKG56"/>
      <c r="WKH56"/>
      <c r="WKI56"/>
      <c r="WKJ56"/>
      <c r="WKK56"/>
      <c r="WKL56"/>
      <c r="WKM56"/>
      <c r="WKN56"/>
      <c r="WKO56"/>
      <c r="WKP56"/>
      <c r="WKQ56"/>
      <c r="WKR56"/>
      <c r="WKS56"/>
      <c r="WKT56"/>
      <c r="WKU56"/>
      <c r="WKV56"/>
      <c r="WKW56"/>
      <c r="WKX56"/>
      <c r="WKY56"/>
      <c r="WKZ56"/>
      <c r="WLA56"/>
      <c r="WLB56"/>
      <c r="WLC56"/>
      <c r="WLD56"/>
      <c r="WLE56"/>
      <c r="WLF56"/>
      <c r="WLG56"/>
      <c r="WLH56"/>
      <c r="WLI56"/>
      <c r="WLJ56"/>
      <c r="WLK56"/>
      <c r="WLL56"/>
      <c r="WLM56"/>
      <c r="WLN56"/>
      <c r="WLO56"/>
      <c r="WLP56"/>
      <c r="WLQ56"/>
      <c r="WLR56"/>
      <c r="WLS56"/>
      <c r="WLT56"/>
      <c r="WLU56"/>
      <c r="WLV56"/>
      <c r="WLW56"/>
      <c r="WLX56"/>
      <c r="WLY56"/>
      <c r="WLZ56"/>
      <c r="WMA56"/>
      <c r="WMB56"/>
      <c r="WMC56"/>
      <c r="WMD56"/>
      <c r="WME56"/>
      <c r="WMF56"/>
      <c r="WMG56"/>
      <c r="WMH56"/>
      <c r="WMI56"/>
      <c r="WMJ56"/>
      <c r="WMK56"/>
      <c r="WML56"/>
      <c r="WMM56"/>
      <c r="WMN56"/>
      <c r="WMO56"/>
      <c r="WMP56"/>
      <c r="WMQ56"/>
      <c r="WMR56"/>
      <c r="WMS56"/>
      <c r="WMT56"/>
      <c r="WMU56"/>
      <c r="WMV56"/>
      <c r="WMW56"/>
      <c r="WMX56"/>
      <c r="WMY56"/>
      <c r="WMZ56"/>
      <c r="WNA56"/>
      <c r="WNB56"/>
      <c r="WNC56"/>
      <c r="WND56"/>
      <c r="WNE56"/>
      <c r="WNF56"/>
      <c r="WNG56"/>
      <c r="WNH56"/>
      <c r="WNI56"/>
      <c r="WNJ56"/>
      <c r="WNK56"/>
      <c r="WNL56"/>
      <c r="WNM56"/>
      <c r="WNN56"/>
      <c r="WNO56"/>
      <c r="WNP56"/>
      <c r="WNQ56"/>
      <c r="WNR56"/>
      <c r="WNS56"/>
      <c r="WNT56"/>
      <c r="WNU56"/>
      <c r="WNV56"/>
      <c r="WNW56"/>
      <c r="WNX56"/>
      <c r="WNY56"/>
      <c r="WNZ56"/>
      <c r="WOA56"/>
      <c r="WOB56"/>
      <c r="WOC56"/>
      <c r="WOD56"/>
      <c r="WOE56"/>
      <c r="WOF56"/>
      <c r="WOG56"/>
      <c r="WOH56"/>
      <c r="WOI56"/>
      <c r="WOJ56"/>
      <c r="WOK56"/>
      <c r="WOL56"/>
      <c r="WOM56"/>
      <c r="WON56"/>
      <c r="WOO56"/>
      <c r="WOP56"/>
      <c r="WOQ56"/>
      <c r="WOR56"/>
      <c r="WOS56"/>
      <c r="WOT56"/>
      <c r="WOU56"/>
      <c r="WOV56"/>
      <c r="WOW56"/>
      <c r="WOX56"/>
      <c r="WOY56"/>
      <c r="WOZ56"/>
      <c r="WPA56"/>
      <c r="WPB56"/>
      <c r="WPC56"/>
      <c r="WPD56"/>
      <c r="WPE56"/>
      <c r="WPF56"/>
      <c r="WPG56"/>
      <c r="WPH56"/>
      <c r="WPI56"/>
      <c r="WPJ56"/>
      <c r="WPK56"/>
      <c r="WPL56"/>
      <c r="WPM56"/>
      <c r="WPN56"/>
      <c r="WPO56"/>
      <c r="WPP56"/>
      <c r="WPQ56"/>
      <c r="WPR56"/>
      <c r="WPS56"/>
      <c r="WPT56"/>
      <c r="WPU56"/>
      <c r="WPV56"/>
      <c r="WPW56"/>
      <c r="WPX56"/>
      <c r="WPY56"/>
      <c r="WPZ56"/>
      <c r="WQA56"/>
      <c r="WQB56"/>
      <c r="WQC56"/>
      <c r="WQD56"/>
      <c r="WQE56"/>
      <c r="WQF56"/>
      <c r="WQG56"/>
      <c r="WQH56"/>
      <c r="WQI56"/>
      <c r="WQJ56"/>
      <c r="WQK56"/>
      <c r="WQL56"/>
      <c r="WQM56"/>
      <c r="WQN56"/>
      <c r="WQO56"/>
      <c r="WQP56"/>
      <c r="WQQ56"/>
      <c r="WQR56"/>
      <c r="WQS56"/>
      <c r="WQT56"/>
      <c r="WQU56"/>
      <c r="WQV56"/>
      <c r="WQW56"/>
      <c r="WQX56"/>
      <c r="WQY56"/>
      <c r="WQZ56"/>
      <c r="WRA56"/>
      <c r="WRB56"/>
      <c r="WRC56"/>
      <c r="WRD56"/>
      <c r="WRE56"/>
      <c r="WRF56"/>
      <c r="WRG56"/>
      <c r="WRH56"/>
      <c r="WRI56"/>
      <c r="WRJ56"/>
      <c r="WRK56"/>
      <c r="WRL56"/>
      <c r="WRM56"/>
      <c r="WRN56"/>
      <c r="WRO56"/>
      <c r="WRP56"/>
      <c r="WRQ56"/>
      <c r="WRR56"/>
      <c r="WRS56"/>
      <c r="WRT56"/>
      <c r="WRU56"/>
      <c r="WRV56"/>
      <c r="WRW56"/>
      <c r="WRX56"/>
      <c r="WRY56"/>
      <c r="WRZ56"/>
      <c r="WSA56"/>
      <c r="WSB56"/>
      <c r="WSC56"/>
      <c r="WSD56"/>
      <c r="WSE56"/>
      <c r="WSF56"/>
      <c r="WSG56"/>
      <c r="WSH56"/>
      <c r="WSI56"/>
      <c r="WSJ56"/>
      <c r="WSK56"/>
      <c r="WSL56"/>
      <c r="WSM56"/>
      <c r="WSN56"/>
      <c r="WSO56"/>
      <c r="WSP56"/>
      <c r="WSQ56"/>
      <c r="WSR56"/>
      <c r="WSS56"/>
      <c r="WST56"/>
      <c r="WSU56"/>
      <c r="WSV56"/>
      <c r="WSW56"/>
      <c r="WSX56"/>
      <c r="WSY56"/>
      <c r="WSZ56"/>
      <c r="WTA56"/>
      <c r="WTB56"/>
      <c r="WTC56"/>
      <c r="WTD56"/>
      <c r="WTE56"/>
      <c r="WTF56"/>
      <c r="WTG56"/>
      <c r="WTH56"/>
      <c r="WTI56"/>
      <c r="WTJ56"/>
      <c r="WTK56"/>
      <c r="WTL56"/>
      <c r="WTM56"/>
      <c r="WTN56"/>
      <c r="WTO56"/>
      <c r="WTP56"/>
      <c r="WTQ56"/>
      <c r="WTR56"/>
      <c r="WTS56"/>
      <c r="WTT56"/>
      <c r="WTU56"/>
      <c r="WTV56"/>
      <c r="WTW56"/>
      <c r="WTX56"/>
      <c r="WTY56"/>
      <c r="WTZ56"/>
      <c r="WUA56"/>
      <c r="WUB56"/>
      <c r="WUC56"/>
      <c r="WUD56"/>
      <c r="WUE56"/>
      <c r="WUF56"/>
      <c r="WUG56"/>
      <c r="WUH56"/>
      <c r="WUI56"/>
      <c r="WUJ56"/>
      <c r="WUK56"/>
      <c r="WUL56"/>
      <c r="WUM56"/>
      <c r="WUN56"/>
      <c r="WUO56"/>
      <c r="WUP56"/>
      <c r="WUQ56"/>
      <c r="WUR56"/>
      <c r="WUS56"/>
      <c r="WUT56"/>
      <c r="WUU56"/>
      <c r="WUV56"/>
      <c r="WUW56"/>
      <c r="WUX56"/>
      <c r="WUY56"/>
      <c r="WUZ56"/>
      <c r="WVA56"/>
      <c r="WVB56"/>
      <c r="WVC56"/>
      <c r="WVD56"/>
      <c r="WVE56"/>
      <c r="WVF56"/>
      <c r="WVG56"/>
      <c r="WVH56"/>
      <c r="WVI56"/>
      <c r="WVJ56"/>
      <c r="WVK56"/>
      <c r="WVL56"/>
      <c r="WVM56"/>
      <c r="WVN56"/>
      <c r="WVO56"/>
      <c r="WVP56"/>
      <c r="WVQ56"/>
      <c r="WVR56"/>
      <c r="WVS56"/>
      <c r="WVT56"/>
      <c r="WVU56"/>
      <c r="WVV56"/>
      <c r="WVW56"/>
      <c r="WVX56"/>
      <c r="WVY56"/>
      <c r="WVZ56"/>
      <c r="WWA56"/>
      <c r="WWB56"/>
      <c r="WWC56"/>
      <c r="WWD56"/>
      <c r="WWE56"/>
      <c r="WWF56"/>
      <c r="WWG56"/>
      <c r="WWH56"/>
      <c r="WWI56"/>
      <c r="WWJ56"/>
      <c r="WWK56"/>
      <c r="WWL56"/>
      <c r="WWM56"/>
      <c r="WWN56"/>
      <c r="WWO56"/>
      <c r="WWP56"/>
      <c r="WWQ56"/>
      <c r="WWR56"/>
      <c r="WWS56"/>
      <c r="WWT56"/>
      <c r="WWU56"/>
      <c r="WWV56"/>
      <c r="WWW56"/>
      <c r="WWX56"/>
      <c r="WWY56"/>
      <c r="WWZ56"/>
      <c r="WXA56"/>
      <c r="WXB56"/>
      <c r="WXC56"/>
      <c r="WXD56"/>
      <c r="WXE56"/>
      <c r="WXF56"/>
      <c r="WXG56"/>
      <c r="WXH56"/>
      <c r="WXI56"/>
      <c r="WXJ56"/>
      <c r="WXK56"/>
      <c r="WXL56"/>
      <c r="WXM56"/>
      <c r="WXN56"/>
      <c r="WXO56"/>
      <c r="WXP56"/>
      <c r="WXQ56"/>
      <c r="WXR56"/>
      <c r="WXS56"/>
      <c r="WXT56"/>
      <c r="WXU56"/>
      <c r="WXV56"/>
      <c r="WXW56"/>
      <c r="WXX56"/>
      <c r="WXY56"/>
      <c r="WXZ56"/>
      <c r="WYA56"/>
      <c r="WYB56"/>
      <c r="WYC56"/>
      <c r="WYD56"/>
      <c r="WYE56"/>
      <c r="WYF56"/>
      <c r="WYG56"/>
      <c r="WYH56"/>
      <c r="WYI56"/>
      <c r="WYJ56"/>
      <c r="WYK56"/>
      <c r="WYL56"/>
      <c r="WYM56"/>
      <c r="WYN56"/>
      <c r="WYO56"/>
      <c r="WYP56"/>
      <c r="WYQ56"/>
      <c r="WYR56"/>
      <c r="WYS56"/>
      <c r="WYT56"/>
      <c r="WYU56"/>
      <c r="WYV56"/>
      <c r="WYW56"/>
      <c r="WYX56"/>
      <c r="WYY56"/>
      <c r="WYZ56"/>
      <c r="WZA56"/>
      <c r="WZB56"/>
      <c r="WZC56"/>
      <c r="WZD56"/>
      <c r="WZE56"/>
      <c r="WZF56"/>
      <c r="WZG56"/>
      <c r="WZH56"/>
      <c r="WZI56"/>
      <c r="WZJ56"/>
      <c r="WZK56"/>
      <c r="WZL56"/>
      <c r="WZM56"/>
      <c r="WZN56"/>
      <c r="WZO56"/>
      <c r="WZP56"/>
      <c r="WZQ56"/>
      <c r="WZR56"/>
      <c r="WZS56"/>
      <c r="WZT56"/>
      <c r="WZU56"/>
      <c r="WZV56"/>
      <c r="WZW56"/>
      <c r="WZX56"/>
      <c r="WZY56"/>
      <c r="WZZ56"/>
      <c r="XAA56"/>
      <c r="XAB56"/>
      <c r="XAC56"/>
      <c r="XAD56"/>
      <c r="XAE56"/>
      <c r="XAF56"/>
      <c r="XAG56"/>
      <c r="XAH56"/>
      <c r="XAI56"/>
      <c r="XAJ56"/>
      <c r="XAK56"/>
      <c r="XAL56"/>
      <c r="XAM56"/>
      <c r="XAN56"/>
      <c r="XAO56"/>
      <c r="XAP56"/>
      <c r="XAQ56"/>
      <c r="XAR56"/>
      <c r="XAS56"/>
      <c r="XAT56"/>
      <c r="XAU56"/>
      <c r="XAV56"/>
      <c r="XAW56"/>
      <c r="XAX56"/>
      <c r="XAY56"/>
      <c r="XAZ56"/>
      <c r="XBA56"/>
      <c r="XBB56"/>
      <c r="XBC56"/>
      <c r="XBD56"/>
      <c r="XBE56"/>
      <c r="XBF56"/>
      <c r="XBG56"/>
      <c r="XBH56"/>
      <c r="XBI56"/>
      <c r="XBJ56"/>
      <c r="XBK56"/>
      <c r="XBL56"/>
      <c r="XBM56"/>
      <c r="XBN56"/>
      <c r="XBO56"/>
      <c r="XBP56"/>
      <c r="XBQ56"/>
      <c r="XBR56"/>
      <c r="XBS56"/>
      <c r="XBT56"/>
      <c r="XBU56"/>
      <c r="XBV56"/>
      <c r="XBW56"/>
      <c r="XBX56"/>
      <c r="XBY56"/>
      <c r="XBZ56"/>
      <c r="XCA56"/>
      <c r="XCB56"/>
      <c r="XCC56"/>
      <c r="XCD56"/>
      <c r="XCE56"/>
      <c r="XCF56"/>
      <c r="XCG56"/>
      <c r="XCH56"/>
      <c r="XCI56"/>
      <c r="XCJ56"/>
      <c r="XCK56"/>
      <c r="XCL56"/>
      <c r="XCM56"/>
      <c r="XCN56"/>
      <c r="XCO56"/>
      <c r="XCP56"/>
      <c r="XCQ56"/>
      <c r="XCR56"/>
      <c r="XCS56"/>
      <c r="XCT56"/>
      <c r="XCU56"/>
      <c r="XCV56"/>
      <c r="XCW56"/>
      <c r="XCX56"/>
      <c r="XCY56"/>
      <c r="XCZ56"/>
      <c r="XDA56"/>
      <c r="XDB56"/>
      <c r="XDC56"/>
      <c r="XDD56"/>
      <c r="XDE56"/>
      <c r="XDF56"/>
      <c r="XDG56"/>
      <c r="XDH56"/>
      <c r="XDI56"/>
      <c r="XDJ56"/>
      <c r="XDK56"/>
      <c r="XDL56"/>
      <c r="XDM56"/>
      <c r="XDN56"/>
      <c r="XDO56"/>
      <c r="XDP56"/>
      <c r="XDQ56"/>
      <c r="XDR56"/>
      <c r="XDS56"/>
      <c r="XDT56"/>
      <c r="XDU56"/>
      <c r="XDV56"/>
      <c r="XDW56"/>
      <c r="XDX56"/>
      <c r="XDY56"/>
      <c r="XDZ56"/>
      <c r="XEA56"/>
      <c r="XEB56"/>
      <c r="XEC56"/>
      <c r="XED56"/>
      <c r="XEE56"/>
      <c r="XEF56"/>
      <c r="XEG56"/>
      <c r="XEH56"/>
      <c r="XEI56"/>
      <c r="XEJ56"/>
      <c r="XEK56"/>
      <c r="XEL56"/>
      <c r="XEM56"/>
      <c r="XEN56"/>
      <c r="XEO56"/>
      <c r="XEP56"/>
      <c r="XEQ56"/>
      <c r="XER56"/>
      <c r="XES56"/>
      <c r="XET56"/>
      <c r="XEU56"/>
      <c r="XEV56"/>
      <c r="XEW56"/>
      <c r="XEX56"/>
      <c r="XEY56"/>
      <c r="XEZ56"/>
      <c r="XFA56"/>
      <c r="XFB56"/>
      <c r="XFC56"/>
    </row>
    <row r="57" spans="2:16383">
      <c r="B57" t="s">
        <v>103</v>
      </c>
      <c r="C57" s="7">
        <f>+INDEX(Model!$A:$AQ,MATCH("EBITDA",Model!$A:$A,0),MATCH(DCF!C$51,Model!$3:$3,0))</f>
        <v>-53.980217126009109</v>
      </c>
      <c r="D57" s="7">
        <f>+INDEX(Model!$A:$AQ,MATCH("EBITDA",Model!$A:$A,0),MATCH(DCF!D$51,Model!$3:$3,0))</f>
        <v>-7.0251235798969844</v>
      </c>
      <c r="E57" s="7">
        <f>+INDEX(Model!$A:$AQ,MATCH("EBITDA",Model!$A:$A,0),MATCH(DCF!E$51,Model!$3:$3,0))</f>
        <v>45.8204536254255</v>
      </c>
      <c r="F57" s="7">
        <f>+INDEX(Model!$A:$AQ,MATCH("EBITDA",Model!$A:$A,0),MATCH(DCF!F$51,Model!$3:$3,0))</f>
        <v>129.8177913805651</v>
      </c>
      <c r="G57" s="7">
        <f>+INDEX(Model!$A:$AQ,MATCH("EBITDA",Model!$A:$A,0),MATCH(DCF!G$51,Model!$3:$3,0))</f>
        <v>250.80821452474066</v>
      </c>
      <c r="H57" s="7">
        <f>+INDEX(Model!$A:$AQ,MATCH("EBITDA",Model!$A:$A,0),MATCH(DCF!H$51,Model!$3:$3,0))</f>
        <v>413.32895069547254</v>
      </c>
      <c r="I57" s="7">
        <f>+INDEX(Model!$A:$AQ,MATCH("EBITDA",Model!$A:$A,0),MATCH(DCF!I$51,Model!$3:$3,0))</f>
        <v>624.43580715599944</v>
      </c>
      <c r="J57" s="7">
        <f>+INDEX(Model!$A:$AQ,MATCH("EBITDA",Model!$A:$A,0),MATCH(DCF!J$51,Model!$3:$3,0))</f>
        <v>883.8233671921015</v>
      </c>
      <c r="K57" s="7">
        <f>+INDEX(Model!$A:$AQ,MATCH("EBITDA",Model!$A:$A,0),MATCH(DCF!K$51,Model!$3:$3,0))</f>
        <v>1146.738908113884</v>
      </c>
      <c r="L57" s="7">
        <f>+INDEX(Model!$A:$AQ,MATCH("EBITDA",Model!$A:$A,0),MATCH(DCF!L$51,Model!$3:$3,0))</f>
        <v>1400.873861051366</v>
      </c>
      <c r="M57" s="58">
        <f>+L57*(1+$K$36)</f>
        <v>1463.9131847986773</v>
      </c>
      <c r="AH57" s="15"/>
      <c r="AI57" s="15"/>
      <c r="AJ57" s="15"/>
      <c r="AK57" s="15"/>
      <c r="AL57" s="15"/>
      <c r="AM57" s="15"/>
      <c r="AN57" s="15"/>
      <c r="AO57" s="15"/>
      <c r="AP57" s="15"/>
      <c r="AQ57" s="15"/>
      <c r="AR57" s="15"/>
      <c r="AS57" s="15"/>
      <c r="AT57" s="15"/>
      <c r="AU57" s="15"/>
      <c r="AV57" s="15"/>
      <c r="AW57" s="15"/>
      <c r="AX57" s="15"/>
      <c r="AY57" s="15"/>
      <c r="AZ57" s="15"/>
      <c r="BA57" s="15"/>
      <c r="BB57" s="15"/>
      <c r="BC57" s="15"/>
      <c r="BD57" s="15"/>
      <c r="BE57" s="15"/>
      <c r="BF57" s="15"/>
      <c r="BG57" s="15"/>
      <c r="BH57" s="15"/>
      <c r="BI57" s="15"/>
      <c r="BJ57" s="15"/>
      <c r="BK57" s="15"/>
      <c r="BL57" s="15"/>
      <c r="BM57" s="15"/>
      <c r="BN57" s="15"/>
      <c r="BO57" s="15"/>
      <c r="BP57" s="15"/>
      <c r="BQ57" s="15"/>
      <c r="BR57" s="15"/>
      <c r="BS57" s="15"/>
      <c r="BT57" s="15"/>
      <c r="BU57" s="15"/>
      <c r="BV57" s="15"/>
      <c r="BW57" s="15"/>
      <c r="BX57" s="15"/>
      <c r="BY57" s="15"/>
      <c r="BZ57" s="15"/>
      <c r="CA57" s="15"/>
      <c r="CB57" s="15"/>
      <c r="CC57" s="15"/>
      <c r="CD57" s="15"/>
      <c r="CE57" s="15"/>
      <c r="CF57" s="15"/>
      <c r="CG57" s="15"/>
      <c r="CH57" s="15"/>
      <c r="CI57" s="15"/>
      <c r="CJ57" s="15"/>
      <c r="CK57" s="15"/>
      <c r="CL57" s="15"/>
      <c r="CM57" s="15"/>
      <c r="CN57" s="15"/>
      <c r="CO57" s="15"/>
      <c r="CP57" s="15"/>
      <c r="CQ57" s="15"/>
      <c r="CR57" s="15"/>
      <c r="CS57" s="15"/>
      <c r="CT57" s="15"/>
      <c r="CU57" s="15"/>
      <c r="CV57" s="15"/>
      <c r="CW57" s="15"/>
      <c r="CX57" s="15"/>
      <c r="CY57" s="15"/>
      <c r="CZ57" s="15"/>
      <c r="DA57" s="15"/>
      <c r="DB57" s="15"/>
      <c r="DC57" s="15"/>
      <c r="DD57" s="15"/>
      <c r="DE57" s="15"/>
      <c r="DF57" s="15"/>
      <c r="DG57" s="15"/>
      <c r="DH57" s="15"/>
      <c r="DI57" s="15"/>
      <c r="DJ57" s="15"/>
      <c r="DK57" s="15"/>
      <c r="DL57" s="15"/>
      <c r="DM57" s="15"/>
      <c r="DN57" s="15"/>
      <c r="DO57" s="15"/>
      <c r="DP57" s="15"/>
      <c r="DQ57" s="15"/>
      <c r="DR57" s="15"/>
      <c r="DS57" s="15"/>
      <c r="DT57" s="15"/>
      <c r="DU57" s="15"/>
      <c r="DV57" s="15"/>
      <c r="DW57" s="15"/>
      <c r="DX57" s="15"/>
      <c r="DY57" s="15"/>
      <c r="DZ57" s="15"/>
      <c r="EA57" s="15"/>
      <c r="EB57" s="15"/>
      <c r="EC57" s="15"/>
      <c r="ED57" s="15"/>
      <c r="EE57" s="15"/>
      <c r="EF57" s="15"/>
      <c r="EG57" s="15"/>
      <c r="EH57" s="15"/>
      <c r="EI57" s="15"/>
      <c r="EJ57" s="15"/>
      <c r="EK57" s="15"/>
      <c r="EL57" s="15"/>
      <c r="EM57" s="15"/>
      <c r="EN57" s="15"/>
      <c r="EO57" s="15"/>
      <c r="EP57" s="15"/>
      <c r="EQ57" s="15"/>
      <c r="ER57" s="15"/>
      <c r="ES57" s="15"/>
      <c r="ET57" s="15"/>
      <c r="EU57" s="15"/>
      <c r="EV57" s="15"/>
      <c r="EW57" s="15"/>
      <c r="EX57" s="15"/>
      <c r="EY57" s="15"/>
      <c r="EZ57" s="15"/>
      <c r="FA57" s="15"/>
      <c r="FB57" s="15"/>
      <c r="FC57" s="15"/>
      <c r="FD57" s="15"/>
      <c r="FE57" s="15"/>
      <c r="FF57" s="15"/>
      <c r="FG57" s="15"/>
      <c r="FH57" s="15"/>
      <c r="FI57" s="15"/>
      <c r="FJ57" s="15"/>
      <c r="FK57" s="15"/>
      <c r="FL57" s="15"/>
      <c r="FM57" s="15"/>
      <c r="FN57" s="15"/>
      <c r="FO57" s="15"/>
      <c r="FP57" s="15"/>
      <c r="FQ57" s="15"/>
      <c r="FR57" s="15"/>
      <c r="FS57" s="15"/>
      <c r="FT57" s="15"/>
      <c r="FU57" s="15"/>
      <c r="FV57" s="15"/>
      <c r="FW57" s="15"/>
      <c r="FX57" s="15"/>
      <c r="FY57" s="15"/>
      <c r="FZ57" s="15"/>
      <c r="GA57" s="15"/>
      <c r="GB57" s="15"/>
      <c r="GC57" s="15"/>
      <c r="GD57" s="15"/>
      <c r="GE57" s="15"/>
      <c r="GF57" s="15"/>
      <c r="GG57" s="15"/>
      <c r="GH57" s="15"/>
      <c r="GI57" s="15"/>
      <c r="GJ57" s="15"/>
      <c r="GK57" s="15"/>
      <c r="GL57" s="15"/>
      <c r="GM57" s="15"/>
      <c r="GN57" s="15"/>
      <c r="GO57" s="15"/>
      <c r="GP57" s="15"/>
      <c r="GQ57" s="15"/>
      <c r="GR57" s="15"/>
      <c r="GS57" s="15"/>
      <c r="GT57" s="15"/>
      <c r="GU57" s="15"/>
      <c r="GV57" s="15"/>
      <c r="GW57" s="15"/>
      <c r="GX57" s="15"/>
      <c r="GY57" s="15"/>
      <c r="GZ57" s="15"/>
      <c r="HA57" s="15"/>
      <c r="HB57" s="15"/>
      <c r="HC57" s="15"/>
      <c r="HD57" s="15"/>
      <c r="HE57" s="15"/>
      <c r="HF57" s="15"/>
      <c r="HG57" s="15"/>
      <c r="HH57" s="15"/>
      <c r="HI57" s="15"/>
      <c r="HJ57" s="15"/>
      <c r="HK57" s="15"/>
      <c r="HL57" s="15"/>
      <c r="HM57" s="15"/>
      <c r="HN57" s="15"/>
      <c r="HO57" s="15"/>
      <c r="HP57" s="15"/>
      <c r="HQ57" s="15"/>
      <c r="HR57" s="15"/>
      <c r="HS57" s="15"/>
      <c r="HT57" s="15"/>
      <c r="HU57" s="15"/>
      <c r="HV57" s="15"/>
      <c r="HW57" s="15"/>
      <c r="HX57" s="15"/>
      <c r="HY57" s="15"/>
      <c r="HZ57" s="15"/>
      <c r="IA57" s="15"/>
      <c r="IB57" s="15"/>
      <c r="IC57" s="15"/>
      <c r="ID57" s="15"/>
      <c r="IE57" s="15"/>
      <c r="IF57" s="15"/>
      <c r="IG57" s="15"/>
      <c r="IH57" s="15"/>
      <c r="II57" s="15"/>
      <c r="IJ57" s="15"/>
      <c r="IK57" s="15"/>
      <c r="IL57" s="15"/>
      <c r="IM57" s="15"/>
      <c r="IN57" s="15"/>
      <c r="IO57" s="15"/>
      <c r="IP57" s="15"/>
      <c r="IQ57" s="15"/>
      <c r="IR57" s="15"/>
      <c r="IS57" s="15"/>
      <c r="IT57" s="15"/>
      <c r="IU57" s="15"/>
      <c r="IV57" s="15"/>
      <c r="IW57" s="15"/>
      <c r="IX57" s="15"/>
      <c r="IY57" s="15"/>
      <c r="IZ57" s="15"/>
      <c r="JA57" s="15"/>
      <c r="JB57" s="15"/>
      <c r="JC57" s="15"/>
      <c r="JD57" s="15"/>
      <c r="JE57" s="15"/>
      <c r="JF57" s="15"/>
      <c r="JG57" s="15"/>
      <c r="JH57" s="15"/>
      <c r="JI57" s="15"/>
      <c r="JJ57" s="15"/>
      <c r="JK57" s="15"/>
      <c r="JL57" s="15"/>
      <c r="JM57" s="15"/>
      <c r="JN57" s="15"/>
      <c r="JO57" s="15"/>
      <c r="JP57" s="15"/>
      <c r="JQ57" s="15"/>
      <c r="JR57" s="15"/>
      <c r="JS57" s="15"/>
      <c r="JT57" s="15"/>
      <c r="JU57" s="15"/>
      <c r="JV57" s="15"/>
      <c r="JW57" s="15"/>
      <c r="JX57" s="15"/>
      <c r="JY57" s="15"/>
      <c r="JZ57" s="15"/>
      <c r="KA57" s="15"/>
      <c r="KB57" s="15"/>
      <c r="KC57" s="15"/>
      <c r="KD57" s="15"/>
      <c r="KE57" s="15"/>
      <c r="KF57" s="15"/>
      <c r="KG57" s="15"/>
      <c r="KH57" s="15"/>
      <c r="KI57" s="15"/>
      <c r="KJ57" s="15"/>
      <c r="KK57" s="15"/>
      <c r="KL57" s="15"/>
      <c r="KM57" s="15"/>
      <c r="KN57" s="15"/>
      <c r="KO57" s="15"/>
      <c r="KP57" s="15"/>
      <c r="KQ57" s="15"/>
      <c r="KR57" s="15"/>
      <c r="KS57" s="15"/>
      <c r="KT57" s="15"/>
      <c r="KU57" s="15"/>
      <c r="KV57" s="15"/>
      <c r="KW57" s="15"/>
      <c r="KX57" s="15"/>
      <c r="KY57" s="15"/>
      <c r="KZ57" s="15"/>
      <c r="LA57" s="15"/>
      <c r="LB57" s="15"/>
      <c r="LC57" s="15"/>
      <c r="LD57" s="15"/>
      <c r="LE57" s="15"/>
      <c r="LF57" s="15"/>
      <c r="LG57" s="15"/>
      <c r="LH57" s="15"/>
      <c r="LI57" s="15"/>
      <c r="LJ57" s="15"/>
      <c r="LK57" s="15"/>
      <c r="LL57" s="15"/>
      <c r="LM57" s="15"/>
      <c r="LN57" s="15"/>
      <c r="LO57" s="15"/>
      <c r="LP57" s="15"/>
      <c r="LQ57" s="15"/>
      <c r="LR57" s="15"/>
      <c r="LS57" s="15"/>
      <c r="LT57" s="15"/>
      <c r="LU57" s="15"/>
      <c r="LV57" s="15"/>
      <c r="LW57" s="15"/>
      <c r="LX57" s="15"/>
      <c r="LY57" s="15"/>
      <c r="LZ57" s="15"/>
      <c r="MA57" s="15"/>
      <c r="MB57" s="15"/>
      <c r="MC57" s="15"/>
      <c r="MD57" s="15"/>
      <c r="ME57" s="15"/>
      <c r="MF57" s="15"/>
      <c r="MG57" s="15"/>
      <c r="MH57" s="15"/>
      <c r="MI57" s="15"/>
      <c r="MJ57" s="15"/>
      <c r="MK57" s="15"/>
      <c r="ML57" s="15"/>
      <c r="MM57" s="15"/>
      <c r="MN57" s="15"/>
      <c r="MO57" s="15"/>
      <c r="MP57" s="15"/>
      <c r="MQ57" s="15"/>
      <c r="MR57" s="15"/>
      <c r="MS57" s="15"/>
      <c r="MT57" s="15"/>
      <c r="MU57" s="15"/>
      <c r="MV57" s="15"/>
      <c r="MW57" s="15"/>
      <c r="MX57" s="15"/>
      <c r="MY57" s="15"/>
      <c r="MZ57" s="15"/>
      <c r="NA57" s="15"/>
      <c r="NB57" s="15"/>
      <c r="NC57" s="15"/>
      <c r="ND57" s="15"/>
      <c r="NE57" s="15"/>
      <c r="NF57" s="15"/>
      <c r="NG57" s="15"/>
      <c r="NH57" s="15"/>
      <c r="NI57" s="15"/>
      <c r="NJ57" s="15"/>
      <c r="NK57" s="15"/>
      <c r="NL57" s="15"/>
      <c r="NM57" s="15"/>
      <c r="NN57" s="15"/>
      <c r="NO57" s="15"/>
      <c r="NP57" s="15"/>
      <c r="NQ57" s="15"/>
      <c r="NR57" s="15"/>
      <c r="NS57" s="15"/>
      <c r="NT57" s="15"/>
      <c r="NU57" s="15"/>
      <c r="NV57" s="15"/>
      <c r="NW57" s="15"/>
      <c r="NX57" s="15"/>
      <c r="NY57" s="15"/>
      <c r="NZ57" s="15"/>
      <c r="OA57" s="15"/>
      <c r="OB57" s="15"/>
      <c r="OC57" s="15"/>
      <c r="OD57" s="15"/>
      <c r="OE57" s="15"/>
      <c r="OF57" s="15"/>
      <c r="OG57" s="15"/>
      <c r="OH57" s="15"/>
      <c r="OI57" s="15"/>
      <c r="OJ57" s="15"/>
      <c r="OK57" s="15"/>
      <c r="OL57" s="15"/>
      <c r="OM57" s="15"/>
      <c r="ON57" s="15"/>
      <c r="OO57" s="15"/>
      <c r="OP57" s="15"/>
      <c r="OQ57" s="15"/>
      <c r="OR57" s="15"/>
      <c r="OS57" s="15"/>
      <c r="OT57" s="15"/>
      <c r="OU57" s="15"/>
      <c r="OV57" s="15"/>
      <c r="OW57" s="15"/>
      <c r="OX57" s="15"/>
      <c r="OY57" s="15"/>
      <c r="OZ57" s="15"/>
      <c r="PA57" s="15"/>
      <c r="PB57" s="15"/>
      <c r="PC57" s="15"/>
      <c r="PD57" s="15"/>
      <c r="PE57" s="15"/>
      <c r="PF57" s="15"/>
      <c r="PG57" s="15"/>
      <c r="PH57" s="15"/>
      <c r="PI57" s="15"/>
      <c r="PJ57" s="15"/>
      <c r="PK57" s="15"/>
      <c r="PL57" s="15"/>
      <c r="PM57" s="15"/>
      <c r="PN57" s="15"/>
      <c r="PO57" s="15"/>
      <c r="PP57" s="15"/>
      <c r="PQ57" s="15"/>
      <c r="PR57" s="15"/>
      <c r="PS57" s="15"/>
      <c r="PT57" s="15"/>
      <c r="PU57" s="15"/>
      <c r="PV57" s="15"/>
      <c r="PW57" s="15"/>
      <c r="PX57" s="15"/>
      <c r="PY57" s="15"/>
      <c r="PZ57" s="15"/>
      <c r="QA57" s="15"/>
      <c r="QB57" s="15"/>
      <c r="QC57" s="15"/>
      <c r="QD57" s="15"/>
      <c r="QE57" s="15"/>
      <c r="QF57" s="15"/>
      <c r="QG57" s="15"/>
      <c r="QH57" s="15"/>
      <c r="QI57" s="15"/>
      <c r="QJ57" s="15"/>
      <c r="QK57" s="15"/>
      <c r="QL57" s="15"/>
      <c r="QM57" s="15"/>
      <c r="QN57" s="15"/>
      <c r="QO57" s="15"/>
      <c r="QP57" s="15"/>
      <c r="QQ57" s="15"/>
      <c r="QR57" s="15"/>
      <c r="QS57" s="15"/>
      <c r="QT57" s="15"/>
      <c r="QU57" s="15"/>
      <c r="QV57" s="15"/>
      <c r="QW57" s="15"/>
      <c r="QX57" s="15"/>
      <c r="QY57" s="15"/>
      <c r="QZ57" s="15"/>
      <c r="RA57" s="15"/>
      <c r="RB57" s="15"/>
      <c r="RC57" s="15"/>
      <c r="RD57" s="15"/>
      <c r="RE57" s="15"/>
      <c r="RF57" s="15"/>
      <c r="RG57" s="15"/>
      <c r="RH57" s="15"/>
      <c r="RI57" s="15"/>
      <c r="RJ57" s="15"/>
      <c r="RK57" s="15"/>
      <c r="RL57" s="15"/>
      <c r="RM57" s="15"/>
      <c r="RN57" s="15"/>
      <c r="RO57" s="15"/>
      <c r="RP57" s="15"/>
      <c r="RQ57" s="15"/>
      <c r="RR57" s="15"/>
      <c r="RS57" s="15"/>
      <c r="RT57" s="15"/>
      <c r="RU57" s="15"/>
      <c r="RV57" s="15"/>
      <c r="RW57" s="15"/>
      <c r="RX57" s="15"/>
      <c r="RY57" s="15"/>
      <c r="RZ57" s="15"/>
      <c r="SA57" s="15"/>
      <c r="SB57" s="15"/>
      <c r="SC57" s="15"/>
      <c r="SD57" s="15"/>
      <c r="SE57" s="15"/>
      <c r="SF57" s="15"/>
      <c r="SG57" s="15"/>
      <c r="SH57" s="15"/>
      <c r="SI57" s="15"/>
      <c r="SJ57" s="15"/>
      <c r="SK57" s="15"/>
      <c r="SL57" s="15"/>
      <c r="SM57" s="15"/>
      <c r="SN57" s="15"/>
      <c r="SO57" s="15"/>
      <c r="SP57" s="15"/>
      <c r="SQ57" s="15"/>
      <c r="SR57" s="15"/>
      <c r="SS57" s="15"/>
      <c r="ST57" s="15"/>
      <c r="SU57" s="15"/>
      <c r="SV57" s="15"/>
      <c r="SW57" s="15"/>
      <c r="SX57" s="15"/>
      <c r="SY57" s="15"/>
      <c r="SZ57" s="15"/>
      <c r="TA57" s="15"/>
      <c r="TB57" s="15"/>
      <c r="TC57" s="15"/>
      <c r="TD57" s="15"/>
      <c r="TE57" s="15"/>
      <c r="TF57" s="15"/>
      <c r="TG57" s="15"/>
      <c r="TH57" s="15"/>
      <c r="TI57" s="15"/>
      <c r="TJ57" s="15"/>
      <c r="TK57" s="15"/>
      <c r="TL57" s="15"/>
      <c r="TM57" s="15"/>
      <c r="TN57" s="15"/>
      <c r="TO57" s="15"/>
      <c r="TP57" s="15"/>
      <c r="TQ57" s="15"/>
      <c r="TR57" s="15"/>
      <c r="TS57" s="15"/>
      <c r="TT57" s="15"/>
      <c r="TU57" s="15"/>
      <c r="TV57" s="15"/>
      <c r="TW57" s="15"/>
      <c r="TX57" s="15"/>
      <c r="TY57" s="15"/>
      <c r="TZ57" s="15"/>
      <c r="UA57" s="15"/>
      <c r="UB57" s="15"/>
      <c r="UC57" s="15"/>
      <c r="UD57" s="15"/>
      <c r="UE57" s="15"/>
      <c r="UF57" s="15"/>
      <c r="UG57" s="15"/>
      <c r="UH57" s="15"/>
      <c r="UI57" s="15"/>
      <c r="UJ57" s="15"/>
      <c r="UK57" s="15"/>
      <c r="UL57" s="15"/>
      <c r="UM57" s="15"/>
      <c r="UN57" s="15"/>
      <c r="UO57" s="15"/>
      <c r="UP57" s="15"/>
      <c r="UQ57" s="15"/>
      <c r="UR57" s="15"/>
      <c r="US57" s="15"/>
      <c r="UT57" s="15"/>
      <c r="UU57" s="15"/>
      <c r="UV57" s="15"/>
      <c r="UW57" s="15"/>
      <c r="UX57" s="15"/>
      <c r="UY57" s="15"/>
      <c r="UZ57" s="15"/>
      <c r="VA57" s="15"/>
      <c r="VB57" s="15"/>
      <c r="VC57" s="15"/>
      <c r="VD57" s="15"/>
      <c r="VE57" s="15"/>
      <c r="VF57" s="15"/>
      <c r="VG57" s="15"/>
      <c r="VH57" s="15"/>
      <c r="VI57" s="15"/>
      <c r="VJ57" s="15"/>
      <c r="VK57" s="15"/>
      <c r="VL57" s="15"/>
      <c r="VM57" s="15"/>
      <c r="VN57" s="15"/>
      <c r="VO57" s="15"/>
      <c r="VP57" s="15"/>
      <c r="VQ57" s="15"/>
      <c r="VR57" s="15"/>
      <c r="VS57" s="15"/>
      <c r="VT57" s="15"/>
      <c r="VU57" s="15"/>
      <c r="VV57" s="15"/>
      <c r="VW57" s="15"/>
      <c r="VX57" s="15"/>
      <c r="VY57" s="15"/>
      <c r="VZ57" s="15"/>
      <c r="WA57" s="15"/>
      <c r="WB57" s="15"/>
      <c r="WC57" s="15"/>
      <c r="WD57" s="15"/>
      <c r="WE57" s="15"/>
      <c r="WF57" s="15"/>
      <c r="WG57" s="15"/>
      <c r="WH57" s="15"/>
      <c r="WI57" s="15"/>
      <c r="WJ57" s="15"/>
      <c r="WK57" s="15"/>
      <c r="WL57" s="15"/>
      <c r="WM57" s="15"/>
      <c r="WN57" s="15"/>
      <c r="WO57" s="15"/>
      <c r="WP57" s="15"/>
      <c r="WQ57" s="15"/>
      <c r="WR57" s="15"/>
      <c r="WS57" s="15"/>
      <c r="WT57" s="15"/>
      <c r="WU57" s="15"/>
      <c r="WV57" s="15"/>
      <c r="WW57" s="15"/>
      <c r="WX57" s="15"/>
      <c r="WY57" s="15"/>
      <c r="WZ57" s="15"/>
      <c r="XA57" s="15"/>
      <c r="XB57" s="15"/>
      <c r="XC57" s="15"/>
      <c r="XD57" s="15"/>
      <c r="XE57" s="15"/>
      <c r="XF57" s="15"/>
      <c r="XG57" s="15"/>
      <c r="XH57" s="15"/>
      <c r="XI57" s="15"/>
      <c r="XJ57" s="15"/>
      <c r="XK57" s="15"/>
      <c r="XL57" s="15"/>
      <c r="XM57" s="15"/>
      <c r="XN57" s="15"/>
      <c r="XO57" s="15"/>
      <c r="XP57" s="15"/>
      <c r="XQ57" s="15"/>
      <c r="XR57" s="15"/>
      <c r="XS57" s="15"/>
      <c r="XT57" s="15"/>
      <c r="XU57" s="15"/>
      <c r="XV57" s="15"/>
      <c r="XW57" s="15"/>
      <c r="XX57" s="15"/>
      <c r="XY57" s="15"/>
      <c r="XZ57" s="15"/>
      <c r="YA57" s="15"/>
      <c r="YB57" s="15"/>
      <c r="YC57" s="15"/>
      <c r="YD57" s="15"/>
      <c r="YE57" s="15"/>
      <c r="YF57" s="15"/>
      <c r="YG57" s="15"/>
      <c r="YH57" s="15"/>
      <c r="YI57" s="15"/>
      <c r="YJ57" s="15"/>
      <c r="YK57" s="15"/>
      <c r="YL57" s="15"/>
      <c r="YM57" s="15"/>
      <c r="YN57" s="15"/>
      <c r="YO57" s="15"/>
      <c r="YP57" s="15"/>
      <c r="YQ57" s="15"/>
      <c r="YR57" s="15"/>
      <c r="YS57" s="15"/>
      <c r="YT57" s="15"/>
      <c r="YU57" s="15"/>
      <c r="YV57" s="15"/>
      <c r="YW57" s="15"/>
      <c r="YX57" s="15"/>
      <c r="YY57" s="15"/>
      <c r="YZ57" s="15"/>
      <c r="ZA57" s="15"/>
      <c r="ZB57" s="15"/>
      <c r="ZC57" s="15"/>
      <c r="ZD57" s="15"/>
      <c r="ZE57" s="15"/>
      <c r="ZF57" s="15"/>
      <c r="ZG57" s="15"/>
      <c r="ZH57" s="15"/>
      <c r="ZI57" s="15"/>
      <c r="ZJ57" s="15"/>
      <c r="ZK57" s="15"/>
      <c r="ZL57" s="15"/>
      <c r="ZM57" s="15"/>
      <c r="ZN57" s="15"/>
      <c r="ZO57" s="15"/>
      <c r="ZP57" s="15"/>
      <c r="ZQ57" s="15"/>
      <c r="ZR57" s="15"/>
      <c r="ZS57" s="15"/>
      <c r="ZT57" s="15"/>
      <c r="ZU57" s="15"/>
      <c r="ZV57" s="15"/>
      <c r="ZW57" s="15"/>
      <c r="ZX57" s="15"/>
      <c r="ZY57" s="15"/>
      <c r="ZZ57" s="15"/>
      <c r="AAA57" s="15"/>
      <c r="AAB57" s="15"/>
      <c r="AAC57" s="15"/>
      <c r="AAD57" s="15"/>
      <c r="AAE57" s="15"/>
      <c r="AAF57" s="15"/>
      <c r="AAG57" s="15"/>
      <c r="AAH57" s="15"/>
      <c r="AAI57" s="15"/>
      <c r="AAJ57" s="15"/>
      <c r="AAK57" s="15"/>
      <c r="AAL57" s="15"/>
      <c r="AAM57" s="15"/>
      <c r="AAN57" s="15"/>
      <c r="AAO57" s="15"/>
      <c r="AAP57" s="15"/>
      <c r="AAQ57" s="15"/>
      <c r="AAR57" s="15"/>
      <c r="AAS57" s="15"/>
      <c r="AAT57" s="15"/>
      <c r="AAU57" s="15"/>
      <c r="AAV57" s="15"/>
      <c r="AAW57" s="15"/>
      <c r="AAX57" s="15"/>
      <c r="AAY57" s="15"/>
      <c r="AAZ57" s="15"/>
      <c r="ABA57" s="15"/>
      <c r="ABB57" s="15"/>
      <c r="ABC57" s="15"/>
      <c r="ABD57" s="15"/>
      <c r="ABE57" s="15"/>
      <c r="ABF57" s="15"/>
      <c r="ABG57" s="15"/>
      <c r="ABH57" s="15"/>
      <c r="ABI57" s="15"/>
      <c r="ABJ57" s="15"/>
      <c r="ABK57" s="15"/>
      <c r="ABL57" s="15"/>
      <c r="ABM57" s="15"/>
      <c r="ABN57" s="15"/>
      <c r="ABO57" s="15"/>
      <c r="ABP57" s="15"/>
      <c r="ABQ57" s="15"/>
      <c r="ABR57" s="15"/>
      <c r="ABS57" s="15"/>
      <c r="ABT57" s="15"/>
      <c r="ABU57" s="15"/>
      <c r="ABV57" s="15"/>
      <c r="ABW57" s="15"/>
      <c r="ABX57" s="15"/>
      <c r="ABY57" s="15"/>
      <c r="ABZ57" s="15"/>
      <c r="ACA57" s="15"/>
      <c r="ACB57" s="15"/>
      <c r="ACC57" s="15"/>
      <c r="ACD57" s="15"/>
      <c r="ACE57" s="15"/>
      <c r="ACF57" s="15"/>
      <c r="ACG57" s="15"/>
      <c r="ACH57" s="15"/>
      <c r="ACI57" s="15"/>
      <c r="ACJ57" s="15"/>
      <c r="ACK57" s="15"/>
      <c r="ACL57" s="15"/>
      <c r="ACM57" s="15"/>
      <c r="ACN57" s="15"/>
      <c r="ACO57" s="15"/>
      <c r="ACP57" s="15"/>
      <c r="ACQ57" s="15"/>
      <c r="ACR57" s="15"/>
      <c r="ACS57" s="15"/>
      <c r="ACT57" s="15"/>
      <c r="ACU57" s="15"/>
      <c r="ACV57" s="15"/>
      <c r="ACW57" s="15"/>
      <c r="ACX57" s="15"/>
      <c r="ACY57" s="15"/>
      <c r="ACZ57" s="15"/>
      <c r="ADA57" s="15"/>
      <c r="ADB57" s="15"/>
      <c r="ADC57" s="15"/>
      <c r="ADD57" s="15"/>
      <c r="ADE57" s="15"/>
      <c r="ADF57" s="15"/>
      <c r="ADG57" s="15"/>
      <c r="ADH57" s="15"/>
      <c r="ADI57" s="15"/>
      <c r="ADJ57" s="15"/>
      <c r="ADK57" s="15"/>
      <c r="ADL57" s="15"/>
      <c r="ADM57" s="15"/>
      <c r="ADN57" s="15"/>
      <c r="ADO57" s="15"/>
      <c r="ADP57" s="15"/>
      <c r="ADQ57" s="15"/>
      <c r="ADR57" s="15"/>
      <c r="ADS57" s="15"/>
      <c r="ADT57" s="15"/>
      <c r="ADU57" s="15"/>
      <c r="ADV57" s="15"/>
      <c r="ADW57" s="15"/>
      <c r="ADX57" s="15"/>
      <c r="ADY57" s="15"/>
      <c r="ADZ57" s="15"/>
      <c r="AEA57" s="15"/>
      <c r="AEB57" s="15"/>
      <c r="AEC57" s="15"/>
      <c r="AED57" s="15"/>
      <c r="AEE57" s="15"/>
      <c r="AEF57" s="15"/>
      <c r="AEG57" s="15"/>
      <c r="AEH57" s="15"/>
      <c r="AEI57" s="15"/>
      <c r="AEJ57" s="15"/>
      <c r="AEK57" s="15"/>
      <c r="AEL57" s="15"/>
      <c r="AEM57" s="15"/>
      <c r="AEN57" s="15"/>
      <c r="AEO57" s="15"/>
      <c r="AEP57" s="15"/>
      <c r="AEQ57" s="15"/>
      <c r="AER57" s="15"/>
      <c r="AES57" s="15"/>
      <c r="AET57" s="15"/>
      <c r="AEU57" s="15"/>
      <c r="AEV57" s="15"/>
      <c r="AEW57" s="15"/>
      <c r="AEX57" s="15"/>
      <c r="AEY57" s="15"/>
      <c r="AEZ57" s="15"/>
      <c r="AFA57" s="15"/>
      <c r="AFB57" s="15"/>
      <c r="AFC57" s="15"/>
      <c r="AFD57" s="15"/>
      <c r="AFE57" s="15"/>
      <c r="AFF57" s="15"/>
      <c r="AFG57" s="15"/>
      <c r="AFH57" s="15"/>
      <c r="AFI57" s="15"/>
      <c r="AFJ57" s="15"/>
      <c r="AFK57" s="15"/>
      <c r="AFL57" s="15"/>
      <c r="AFM57" s="15"/>
      <c r="AFN57" s="15"/>
      <c r="AFO57" s="15"/>
      <c r="AFP57" s="15"/>
      <c r="AFQ57" s="15"/>
      <c r="AFR57" s="15"/>
      <c r="AFS57" s="15"/>
      <c r="AFT57" s="15"/>
      <c r="AFU57" s="15"/>
      <c r="AFV57" s="15"/>
      <c r="AFW57" s="15"/>
      <c r="AFX57" s="15"/>
      <c r="AFY57" s="15"/>
      <c r="AFZ57" s="15"/>
      <c r="AGA57" s="15"/>
      <c r="AGB57" s="15"/>
      <c r="AGC57" s="15"/>
      <c r="AGD57" s="15"/>
      <c r="AGE57" s="15"/>
      <c r="AGF57" s="15"/>
      <c r="AGG57" s="15"/>
      <c r="AGH57" s="15"/>
      <c r="AGI57" s="15"/>
      <c r="AGJ57" s="15"/>
      <c r="AGK57" s="15"/>
      <c r="AGL57" s="15"/>
      <c r="AGM57" s="15"/>
      <c r="AGN57" s="15"/>
      <c r="AGO57" s="15"/>
      <c r="AGP57" s="15"/>
      <c r="AGQ57" s="15"/>
      <c r="AGR57" s="15"/>
      <c r="AGS57" s="15"/>
      <c r="AGT57" s="15"/>
      <c r="AGU57" s="15"/>
      <c r="AGV57" s="15"/>
      <c r="AGW57" s="15"/>
      <c r="AGX57" s="15"/>
      <c r="AGY57" s="15"/>
      <c r="AGZ57" s="15"/>
      <c r="AHA57" s="15"/>
      <c r="AHB57" s="15"/>
      <c r="AHC57" s="15"/>
      <c r="AHD57" s="15"/>
      <c r="AHE57" s="15"/>
      <c r="AHF57" s="15"/>
      <c r="AHG57" s="15"/>
      <c r="AHH57" s="15"/>
      <c r="AHI57" s="15"/>
      <c r="AHJ57" s="15"/>
      <c r="AHK57" s="15"/>
      <c r="AHL57" s="15"/>
      <c r="AHM57" s="15"/>
      <c r="AHN57" s="15"/>
      <c r="AHO57" s="15"/>
      <c r="AHP57" s="15"/>
      <c r="AHQ57" s="15"/>
      <c r="AHR57" s="15"/>
      <c r="AHS57" s="15"/>
      <c r="AHT57" s="15"/>
      <c r="AHU57" s="15"/>
      <c r="AHV57" s="15"/>
      <c r="AHW57" s="15"/>
      <c r="AHX57" s="15"/>
      <c r="AHY57" s="15"/>
      <c r="AHZ57" s="15"/>
      <c r="AIA57" s="15"/>
      <c r="AIB57" s="15"/>
      <c r="AIC57" s="15"/>
      <c r="AID57" s="15"/>
      <c r="AIE57" s="15"/>
      <c r="AIF57" s="15"/>
      <c r="AIG57" s="15"/>
      <c r="AIH57" s="15"/>
      <c r="AII57" s="15"/>
      <c r="AIJ57" s="15"/>
      <c r="AIK57" s="15"/>
      <c r="AIL57" s="15"/>
      <c r="AIM57" s="15"/>
      <c r="AIN57" s="15"/>
      <c r="AIO57" s="15"/>
      <c r="AIP57" s="15"/>
      <c r="AIQ57" s="15"/>
      <c r="AIR57" s="15"/>
      <c r="AIS57" s="15"/>
      <c r="AIT57" s="15"/>
      <c r="AIU57" s="15"/>
      <c r="AIV57" s="15"/>
      <c r="AIW57" s="15"/>
      <c r="AIX57" s="15"/>
      <c r="AIY57" s="15"/>
      <c r="AIZ57" s="15"/>
      <c r="AJA57" s="15"/>
      <c r="AJB57" s="15"/>
      <c r="AJC57" s="15"/>
      <c r="AJD57" s="15"/>
      <c r="AJE57" s="15"/>
      <c r="AJF57" s="15"/>
      <c r="AJG57" s="15"/>
      <c r="AJH57" s="15"/>
      <c r="AJI57" s="15"/>
      <c r="AJJ57" s="15"/>
      <c r="AJK57" s="15"/>
      <c r="AJL57" s="15"/>
      <c r="AJM57" s="15"/>
      <c r="AJN57" s="15"/>
      <c r="AJO57" s="15"/>
      <c r="AJP57" s="15"/>
      <c r="AJQ57" s="15"/>
      <c r="AJR57" s="15"/>
      <c r="AJS57" s="15"/>
      <c r="AJT57" s="15"/>
      <c r="AJU57" s="15"/>
      <c r="AJV57" s="15"/>
      <c r="AJW57" s="15"/>
      <c r="AJX57" s="15"/>
      <c r="AJY57" s="15"/>
      <c r="AJZ57" s="15"/>
      <c r="AKA57" s="15"/>
      <c r="AKB57" s="15"/>
      <c r="AKC57" s="15"/>
      <c r="AKD57" s="15"/>
      <c r="AKE57" s="15"/>
      <c r="AKF57" s="15"/>
      <c r="AKG57" s="15"/>
      <c r="AKH57" s="15"/>
      <c r="AKI57" s="15"/>
      <c r="AKJ57" s="15"/>
      <c r="AKK57" s="15"/>
      <c r="AKL57" s="15"/>
      <c r="AKM57" s="15"/>
      <c r="AKN57" s="15"/>
      <c r="AKO57" s="15"/>
      <c r="AKP57" s="15"/>
      <c r="AKQ57" s="15"/>
      <c r="AKR57" s="15"/>
      <c r="AKS57" s="15"/>
      <c r="AKT57" s="15"/>
      <c r="AKU57" s="15"/>
      <c r="AKV57" s="15"/>
      <c r="AKW57" s="15"/>
      <c r="AKX57" s="15"/>
      <c r="AKY57" s="15"/>
      <c r="AKZ57" s="15"/>
      <c r="ALA57" s="15"/>
      <c r="ALB57" s="15"/>
      <c r="ALC57" s="15"/>
      <c r="ALD57" s="15"/>
      <c r="ALE57" s="15"/>
      <c r="ALF57" s="15"/>
      <c r="ALG57" s="15"/>
      <c r="ALH57" s="15"/>
      <c r="ALI57" s="15"/>
      <c r="ALJ57" s="15"/>
      <c r="ALK57" s="15"/>
      <c r="ALL57" s="15"/>
      <c r="ALM57" s="15"/>
      <c r="ALN57" s="15"/>
      <c r="ALO57" s="15"/>
      <c r="ALP57" s="15"/>
      <c r="ALQ57" s="15"/>
      <c r="ALR57" s="15"/>
      <c r="ALS57" s="15"/>
      <c r="ALT57" s="15"/>
      <c r="ALU57" s="15"/>
      <c r="ALV57" s="15"/>
      <c r="ALW57" s="15"/>
      <c r="ALX57" s="15"/>
      <c r="ALY57" s="15"/>
      <c r="ALZ57" s="15"/>
      <c r="AMA57" s="15"/>
      <c r="AMB57" s="15"/>
      <c r="AMC57" s="15"/>
      <c r="AMD57" s="15"/>
      <c r="AME57" s="15"/>
      <c r="AMF57" s="15"/>
      <c r="AMG57" s="15"/>
      <c r="AMH57" s="15"/>
      <c r="AMI57" s="15"/>
      <c r="AMJ57" s="15"/>
      <c r="AMK57" s="15"/>
      <c r="AML57" s="15"/>
      <c r="AMM57" s="15"/>
      <c r="AMN57" s="15"/>
      <c r="AMO57" s="15"/>
      <c r="AMP57" s="15"/>
      <c r="AMQ57" s="15"/>
      <c r="AMR57" s="15"/>
      <c r="AMS57" s="15"/>
      <c r="AMT57" s="15"/>
      <c r="AMU57" s="15"/>
      <c r="AMV57" s="15"/>
      <c r="AMW57" s="15"/>
      <c r="AMX57" s="15"/>
      <c r="AMY57" s="15"/>
      <c r="AMZ57" s="15"/>
      <c r="ANA57" s="15"/>
      <c r="ANB57" s="15"/>
      <c r="ANC57" s="15"/>
      <c r="AND57" s="15"/>
      <c r="ANE57" s="15"/>
      <c r="ANF57" s="15"/>
      <c r="ANG57" s="15"/>
      <c r="ANH57" s="15"/>
      <c r="ANI57" s="15"/>
      <c r="ANJ57" s="15"/>
      <c r="ANK57" s="15"/>
      <c r="ANL57" s="15"/>
      <c r="ANM57" s="15"/>
      <c r="ANN57" s="15"/>
      <c r="ANO57" s="15"/>
      <c r="ANP57" s="15"/>
      <c r="ANQ57" s="15"/>
      <c r="ANR57" s="15"/>
      <c r="ANS57" s="15"/>
      <c r="ANT57" s="15"/>
      <c r="ANU57" s="15"/>
      <c r="ANV57" s="15"/>
      <c r="ANW57" s="15"/>
      <c r="ANX57" s="15"/>
      <c r="ANY57" s="15"/>
      <c r="ANZ57" s="15"/>
      <c r="AOA57" s="15"/>
      <c r="AOB57" s="15"/>
      <c r="AOC57" s="15"/>
      <c r="AOD57" s="15"/>
      <c r="AOE57" s="15"/>
      <c r="AOF57" s="15"/>
      <c r="AOG57" s="15"/>
      <c r="AOH57" s="15"/>
      <c r="AOI57" s="15"/>
      <c r="AOJ57" s="15"/>
      <c r="AOK57" s="15"/>
      <c r="AOL57" s="15"/>
      <c r="AOM57" s="15"/>
      <c r="AON57" s="15"/>
      <c r="AOO57" s="15"/>
      <c r="AOP57" s="15"/>
      <c r="AOQ57" s="15"/>
      <c r="AOR57" s="15"/>
      <c r="AOS57" s="15"/>
      <c r="AOT57" s="15"/>
      <c r="AOU57" s="15"/>
      <c r="AOV57" s="15"/>
      <c r="AOW57" s="15"/>
      <c r="AOX57" s="15"/>
      <c r="AOY57" s="15"/>
      <c r="AOZ57" s="15"/>
      <c r="APA57" s="15"/>
      <c r="APB57" s="15"/>
      <c r="APC57" s="15"/>
      <c r="APD57" s="15"/>
      <c r="APE57" s="15"/>
      <c r="APF57" s="15"/>
      <c r="APG57" s="15"/>
      <c r="APH57" s="15"/>
      <c r="API57" s="15"/>
      <c r="APJ57" s="15"/>
      <c r="APK57" s="15"/>
      <c r="APL57" s="15"/>
      <c r="APM57" s="15"/>
      <c r="APN57" s="15"/>
      <c r="APO57" s="15"/>
      <c r="APP57" s="15"/>
      <c r="APQ57" s="15"/>
      <c r="APR57" s="15"/>
      <c r="APS57" s="15"/>
      <c r="APT57" s="15"/>
      <c r="APU57" s="15"/>
      <c r="APV57" s="15"/>
      <c r="APW57" s="15"/>
      <c r="APX57" s="15"/>
      <c r="APY57" s="15"/>
      <c r="APZ57" s="15"/>
      <c r="AQA57" s="15"/>
      <c r="AQB57" s="15"/>
      <c r="AQC57" s="15"/>
      <c r="AQD57" s="15"/>
      <c r="AQE57" s="15"/>
      <c r="AQF57" s="15"/>
      <c r="AQG57" s="15"/>
      <c r="AQH57" s="15"/>
      <c r="AQI57" s="15"/>
      <c r="AQJ57" s="15"/>
      <c r="AQK57" s="15"/>
      <c r="AQL57" s="15"/>
      <c r="AQM57" s="15"/>
      <c r="AQN57" s="15"/>
      <c r="AQO57" s="15"/>
      <c r="AQP57" s="15"/>
      <c r="AQQ57" s="15"/>
      <c r="AQR57" s="15"/>
      <c r="AQS57" s="15"/>
      <c r="AQT57" s="15"/>
      <c r="AQU57" s="15"/>
      <c r="AQV57" s="15"/>
      <c r="AQW57" s="15"/>
      <c r="AQX57" s="15"/>
      <c r="AQY57" s="15"/>
      <c r="AQZ57" s="15"/>
      <c r="ARA57" s="15"/>
      <c r="ARB57" s="15"/>
      <c r="ARC57" s="15"/>
      <c r="ARD57" s="15"/>
      <c r="ARE57" s="15"/>
      <c r="ARF57" s="15"/>
      <c r="ARG57" s="15"/>
      <c r="ARH57" s="15"/>
      <c r="ARI57" s="15"/>
      <c r="ARJ57" s="15"/>
      <c r="ARK57" s="15"/>
      <c r="ARL57" s="15"/>
      <c r="ARM57" s="15"/>
      <c r="ARN57" s="15"/>
      <c r="ARO57" s="15"/>
      <c r="ARP57" s="15"/>
      <c r="ARQ57" s="15"/>
      <c r="ARR57" s="15"/>
      <c r="ARS57" s="15"/>
      <c r="ART57" s="15"/>
      <c r="ARU57" s="15"/>
      <c r="ARV57" s="15"/>
      <c r="ARW57" s="15"/>
      <c r="ARX57" s="15"/>
      <c r="ARY57" s="15"/>
      <c r="ARZ57" s="15"/>
      <c r="ASA57" s="15"/>
      <c r="ASB57" s="15"/>
      <c r="ASC57" s="15"/>
      <c r="ASD57" s="15"/>
      <c r="ASE57" s="15"/>
      <c r="ASF57" s="15"/>
      <c r="ASG57" s="15"/>
      <c r="ASH57" s="15"/>
      <c r="ASI57" s="15"/>
      <c r="ASJ57" s="15"/>
      <c r="ASK57" s="15"/>
      <c r="ASL57" s="15"/>
      <c r="ASM57" s="15"/>
      <c r="ASN57" s="15"/>
      <c r="ASO57" s="15"/>
      <c r="ASP57" s="15"/>
      <c r="ASQ57" s="15"/>
      <c r="ASR57" s="15"/>
      <c r="ASS57" s="15"/>
      <c r="AST57" s="15"/>
      <c r="ASU57" s="15"/>
      <c r="ASV57" s="15"/>
      <c r="ASW57" s="15"/>
      <c r="ASX57" s="15"/>
      <c r="ASY57" s="15"/>
      <c r="ASZ57" s="15"/>
      <c r="ATA57" s="15"/>
      <c r="ATB57" s="15"/>
      <c r="ATC57" s="15"/>
      <c r="ATD57" s="15"/>
      <c r="ATE57" s="15"/>
      <c r="ATF57" s="15"/>
      <c r="ATG57" s="15"/>
      <c r="ATH57" s="15"/>
      <c r="ATI57" s="15"/>
      <c r="ATJ57" s="15"/>
      <c r="ATK57" s="15"/>
      <c r="ATL57" s="15"/>
      <c r="ATM57" s="15"/>
      <c r="ATN57" s="15"/>
      <c r="ATO57" s="15"/>
      <c r="ATP57" s="15"/>
      <c r="ATQ57" s="15"/>
      <c r="ATR57" s="15"/>
      <c r="ATS57" s="15"/>
      <c r="ATT57" s="15"/>
      <c r="ATU57" s="15"/>
      <c r="ATV57" s="15"/>
      <c r="ATW57" s="15"/>
      <c r="ATX57" s="15"/>
      <c r="ATY57" s="15"/>
      <c r="ATZ57" s="15"/>
      <c r="AUA57" s="15"/>
      <c r="AUB57" s="15"/>
      <c r="AUC57" s="15"/>
      <c r="AUD57" s="15"/>
      <c r="AUE57" s="15"/>
      <c r="AUF57" s="15"/>
      <c r="AUG57" s="15"/>
      <c r="AUH57" s="15"/>
      <c r="AUI57" s="15"/>
      <c r="AUJ57" s="15"/>
      <c r="AUK57" s="15"/>
      <c r="AUL57" s="15"/>
      <c r="AUM57" s="15"/>
      <c r="AUN57" s="15"/>
      <c r="AUO57" s="15"/>
      <c r="AUP57" s="15"/>
      <c r="AUQ57" s="15"/>
      <c r="AUR57" s="15"/>
      <c r="AUS57" s="15"/>
      <c r="AUT57" s="15"/>
      <c r="AUU57" s="15"/>
      <c r="AUV57" s="15"/>
      <c r="AUW57" s="15"/>
      <c r="AUX57" s="15"/>
      <c r="AUY57" s="15"/>
      <c r="AUZ57" s="15"/>
      <c r="AVA57" s="15"/>
      <c r="AVB57" s="15"/>
      <c r="AVC57" s="15"/>
      <c r="AVD57" s="15"/>
      <c r="AVE57" s="15"/>
      <c r="AVF57" s="15"/>
      <c r="AVG57" s="15"/>
      <c r="AVH57" s="15"/>
      <c r="AVI57" s="15"/>
      <c r="AVJ57" s="15"/>
      <c r="AVK57" s="15"/>
      <c r="AVL57" s="15"/>
      <c r="AVM57" s="15"/>
      <c r="AVN57" s="15"/>
      <c r="AVO57" s="15"/>
      <c r="AVP57" s="15"/>
      <c r="AVQ57" s="15"/>
      <c r="AVR57" s="15"/>
      <c r="AVS57" s="15"/>
      <c r="AVT57" s="15"/>
      <c r="AVU57" s="15"/>
      <c r="AVV57" s="15"/>
      <c r="AVW57" s="15"/>
      <c r="AVX57" s="15"/>
      <c r="AVY57" s="15"/>
      <c r="AVZ57" s="15"/>
      <c r="AWA57" s="15"/>
      <c r="AWB57" s="15"/>
      <c r="AWC57" s="15"/>
      <c r="AWD57" s="15"/>
      <c r="AWE57" s="15"/>
      <c r="AWF57" s="15"/>
      <c r="AWG57" s="15"/>
      <c r="AWH57" s="15"/>
      <c r="AWI57" s="15"/>
      <c r="AWJ57" s="15"/>
      <c r="AWK57" s="15"/>
      <c r="AWL57" s="15"/>
      <c r="AWM57" s="15"/>
      <c r="AWN57" s="15"/>
      <c r="AWO57" s="15"/>
      <c r="AWP57" s="15"/>
      <c r="AWQ57" s="15"/>
      <c r="AWR57" s="15"/>
      <c r="AWS57" s="15"/>
      <c r="AWT57" s="15"/>
      <c r="AWU57" s="15"/>
      <c r="AWV57" s="15"/>
      <c r="AWW57" s="15"/>
      <c r="AWX57" s="15"/>
      <c r="AWY57" s="15"/>
      <c r="AWZ57" s="15"/>
      <c r="AXA57" s="15"/>
      <c r="AXB57" s="15"/>
      <c r="AXC57" s="15"/>
      <c r="AXD57" s="15"/>
      <c r="AXE57" s="15"/>
      <c r="AXF57" s="15"/>
      <c r="AXG57" s="15"/>
      <c r="AXH57" s="15"/>
      <c r="AXI57" s="15"/>
      <c r="AXJ57" s="15"/>
      <c r="AXK57" s="15"/>
      <c r="AXL57" s="15"/>
      <c r="AXM57" s="15"/>
      <c r="AXN57" s="15"/>
      <c r="AXO57" s="15"/>
      <c r="AXP57" s="15"/>
      <c r="AXQ57" s="15"/>
      <c r="AXR57" s="15"/>
      <c r="AXS57" s="15"/>
      <c r="AXT57" s="15"/>
      <c r="AXU57" s="15"/>
      <c r="AXV57" s="15"/>
      <c r="AXW57" s="15"/>
      <c r="AXX57" s="15"/>
      <c r="AXY57" s="15"/>
      <c r="AXZ57" s="15"/>
      <c r="AYA57" s="15"/>
      <c r="AYB57" s="15"/>
      <c r="AYC57" s="15"/>
      <c r="AYD57" s="15"/>
      <c r="AYE57" s="15"/>
      <c r="AYF57" s="15"/>
      <c r="AYG57" s="15"/>
      <c r="AYH57" s="15"/>
      <c r="AYI57" s="15"/>
      <c r="AYJ57" s="15"/>
      <c r="AYK57" s="15"/>
      <c r="AYL57" s="15"/>
      <c r="AYM57" s="15"/>
      <c r="AYN57" s="15"/>
      <c r="AYO57" s="15"/>
      <c r="AYP57" s="15"/>
      <c r="AYQ57" s="15"/>
      <c r="AYR57" s="15"/>
      <c r="AYS57" s="15"/>
      <c r="AYT57" s="15"/>
      <c r="AYU57" s="15"/>
      <c r="AYV57" s="15"/>
      <c r="AYW57" s="15"/>
      <c r="AYX57" s="15"/>
      <c r="AYY57" s="15"/>
      <c r="AYZ57" s="15"/>
      <c r="AZA57" s="15"/>
      <c r="AZB57" s="15"/>
      <c r="AZC57" s="15"/>
      <c r="AZD57" s="15"/>
      <c r="AZE57" s="15"/>
      <c r="AZF57" s="15"/>
      <c r="AZG57" s="15"/>
      <c r="AZH57" s="15"/>
      <c r="AZI57" s="15"/>
      <c r="AZJ57" s="15"/>
      <c r="AZK57" s="15"/>
      <c r="AZL57" s="15"/>
      <c r="AZM57" s="15"/>
      <c r="AZN57" s="15"/>
      <c r="AZO57" s="15"/>
      <c r="AZP57" s="15"/>
      <c r="AZQ57" s="15"/>
      <c r="AZR57" s="15"/>
      <c r="AZS57" s="15"/>
      <c r="AZT57" s="15"/>
      <c r="AZU57" s="15"/>
      <c r="AZV57" s="15"/>
      <c r="AZW57" s="15"/>
      <c r="AZX57" s="15"/>
      <c r="AZY57" s="15"/>
      <c r="AZZ57" s="15"/>
      <c r="BAA57" s="15"/>
      <c r="BAB57" s="15"/>
      <c r="BAC57" s="15"/>
      <c r="BAD57" s="15"/>
      <c r="BAE57" s="15"/>
      <c r="BAF57" s="15"/>
      <c r="BAG57" s="15"/>
      <c r="BAH57" s="15"/>
      <c r="BAI57" s="15"/>
      <c r="BAJ57" s="15"/>
      <c r="BAK57" s="15"/>
      <c r="BAL57" s="15"/>
      <c r="BAM57" s="15"/>
      <c r="BAN57" s="15"/>
      <c r="BAO57" s="15"/>
      <c r="BAP57" s="15"/>
      <c r="BAQ57" s="15"/>
      <c r="BAR57" s="15"/>
      <c r="BAS57" s="15"/>
      <c r="BAT57" s="15"/>
      <c r="BAU57" s="15"/>
      <c r="BAV57" s="15"/>
      <c r="BAW57" s="15"/>
      <c r="BAX57" s="15"/>
      <c r="BAY57" s="15"/>
      <c r="BAZ57" s="15"/>
      <c r="BBA57" s="15"/>
      <c r="BBB57" s="15"/>
      <c r="BBC57" s="15"/>
      <c r="BBD57" s="15"/>
      <c r="BBE57" s="15"/>
      <c r="BBF57" s="15"/>
      <c r="BBG57" s="15"/>
      <c r="BBH57" s="15"/>
      <c r="BBI57" s="15"/>
      <c r="BBJ57" s="15"/>
      <c r="BBK57" s="15"/>
      <c r="BBL57" s="15"/>
      <c r="BBM57" s="15"/>
      <c r="BBN57" s="15"/>
      <c r="BBO57" s="15"/>
      <c r="BBP57" s="15"/>
      <c r="BBQ57" s="15"/>
      <c r="BBR57" s="15"/>
      <c r="BBS57" s="15"/>
      <c r="BBT57" s="15"/>
      <c r="BBU57" s="15"/>
      <c r="BBV57" s="15"/>
      <c r="BBW57" s="15"/>
      <c r="BBX57" s="15"/>
      <c r="BBY57" s="15"/>
      <c r="BBZ57" s="15"/>
      <c r="BCA57" s="15"/>
      <c r="BCB57" s="15"/>
      <c r="BCC57" s="15"/>
      <c r="BCD57" s="15"/>
      <c r="BCE57" s="15"/>
      <c r="BCF57" s="15"/>
      <c r="BCG57" s="15"/>
      <c r="BCH57" s="15"/>
      <c r="BCI57" s="15"/>
      <c r="BCJ57" s="15"/>
      <c r="BCK57" s="15"/>
      <c r="BCL57" s="15"/>
      <c r="BCM57" s="15"/>
      <c r="BCN57" s="15"/>
      <c r="BCO57" s="15"/>
      <c r="BCP57" s="15"/>
      <c r="BCQ57" s="15"/>
      <c r="BCR57" s="15"/>
      <c r="BCS57" s="15"/>
      <c r="BCT57" s="15"/>
      <c r="BCU57" s="15"/>
      <c r="BCV57" s="15"/>
      <c r="BCW57" s="15"/>
      <c r="BCX57" s="15"/>
      <c r="BCY57" s="15"/>
      <c r="BCZ57" s="15"/>
      <c r="BDA57" s="15"/>
      <c r="BDB57" s="15"/>
      <c r="BDC57" s="15"/>
      <c r="BDD57" s="15"/>
      <c r="BDE57" s="15"/>
      <c r="BDF57" s="15"/>
      <c r="BDG57" s="15"/>
      <c r="BDH57" s="15"/>
      <c r="BDI57" s="15"/>
      <c r="BDJ57" s="15"/>
      <c r="BDK57" s="15"/>
      <c r="BDL57" s="15"/>
      <c r="BDM57" s="15"/>
      <c r="BDN57" s="15"/>
      <c r="BDO57" s="15"/>
      <c r="BDP57" s="15"/>
      <c r="BDQ57" s="15"/>
      <c r="BDR57" s="15"/>
      <c r="BDS57" s="15"/>
      <c r="BDT57" s="15"/>
      <c r="BDU57" s="15"/>
      <c r="BDV57" s="15"/>
      <c r="BDW57" s="15"/>
      <c r="BDX57" s="15"/>
      <c r="BDY57" s="15"/>
      <c r="BDZ57" s="15"/>
      <c r="BEA57" s="15"/>
      <c r="BEB57" s="15"/>
      <c r="BEC57" s="15"/>
      <c r="BED57" s="15"/>
      <c r="BEE57" s="15"/>
      <c r="BEF57" s="15"/>
      <c r="BEG57" s="15"/>
      <c r="BEH57" s="15"/>
      <c r="BEI57" s="15"/>
      <c r="BEJ57" s="15"/>
      <c r="BEK57" s="15"/>
      <c r="BEL57" s="15"/>
      <c r="BEM57" s="15"/>
      <c r="BEN57" s="15"/>
      <c r="BEO57" s="15"/>
      <c r="BEP57" s="15"/>
      <c r="BEQ57" s="15"/>
      <c r="BER57" s="15"/>
      <c r="BES57" s="15"/>
      <c r="BET57" s="15"/>
      <c r="BEU57" s="15"/>
      <c r="BEV57" s="15"/>
      <c r="BEW57" s="15"/>
      <c r="BEX57" s="15"/>
      <c r="BEY57" s="15"/>
      <c r="BEZ57" s="15"/>
      <c r="BFA57" s="15"/>
      <c r="BFB57" s="15"/>
      <c r="BFC57" s="15"/>
      <c r="BFD57" s="15"/>
      <c r="BFE57" s="15"/>
      <c r="BFF57" s="15"/>
      <c r="BFG57" s="15"/>
      <c r="BFH57" s="15"/>
      <c r="BFI57" s="15"/>
      <c r="BFJ57" s="15"/>
      <c r="BFK57" s="15"/>
      <c r="BFL57" s="15"/>
      <c r="BFM57" s="15"/>
      <c r="BFN57" s="15"/>
      <c r="BFO57" s="15"/>
      <c r="BFP57" s="15"/>
      <c r="BFQ57" s="15"/>
      <c r="BFR57" s="15"/>
      <c r="BFS57" s="15"/>
      <c r="BFT57" s="15"/>
      <c r="BFU57" s="15"/>
      <c r="BFV57" s="15"/>
      <c r="BFW57" s="15"/>
      <c r="BFX57" s="15"/>
      <c r="BFY57" s="15"/>
      <c r="BFZ57" s="15"/>
      <c r="BGA57" s="15"/>
      <c r="BGB57" s="15"/>
      <c r="BGC57" s="15"/>
      <c r="BGD57" s="15"/>
      <c r="BGE57" s="15"/>
      <c r="BGF57" s="15"/>
      <c r="BGG57" s="15"/>
      <c r="BGH57" s="15"/>
      <c r="BGI57" s="15"/>
      <c r="BGJ57" s="15"/>
      <c r="BGK57" s="15"/>
      <c r="BGL57" s="15"/>
      <c r="BGM57" s="15"/>
      <c r="BGN57" s="15"/>
      <c r="BGO57" s="15"/>
      <c r="BGP57" s="15"/>
      <c r="BGQ57" s="15"/>
      <c r="BGR57" s="15"/>
      <c r="BGS57" s="15"/>
      <c r="BGT57" s="15"/>
      <c r="BGU57" s="15"/>
      <c r="BGV57" s="15"/>
      <c r="BGW57" s="15"/>
      <c r="BGX57" s="15"/>
      <c r="BGY57" s="15"/>
      <c r="BGZ57" s="15"/>
      <c r="BHA57" s="15"/>
      <c r="BHB57" s="15"/>
      <c r="BHC57" s="15"/>
      <c r="BHD57" s="15"/>
      <c r="BHE57" s="15"/>
      <c r="BHF57" s="15"/>
      <c r="BHG57" s="15"/>
      <c r="BHH57" s="15"/>
      <c r="BHI57" s="15"/>
      <c r="BHJ57" s="15"/>
      <c r="BHK57" s="15"/>
      <c r="BHL57" s="15"/>
      <c r="BHM57" s="15"/>
      <c r="BHN57" s="15"/>
      <c r="BHO57" s="15"/>
      <c r="BHP57" s="15"/>
      <c r="BHQ57" s="15"/>
      <c r="BHR57" s="15"/>
      <c r="BHS57" s="15"/>
      <c r="BHT57" s="15"/>
      <c r="BHU57" s="15"/>
      <c r="BHV57" s="15"/>
      <c r="BHW57" s="15"/>
      <c r="BHX57" s="15"/>
      <c r="BHY57" s="15"/>
      <c r="BHZ57" s="15"/>
      <c r="BIA57" s="15"/>
      <c r="BIB57" s="15"/>
      <c r="BIC57" s="15"/>
      <c r="BID57" s="15"/>
      <c r="BIE57" s="15"/>
      <c r="BIF57" s="15"/>
      <c r="BIG57" s="15"/>
      <c r="BIH57" s="15"/>
      <c r="BII57" s="15"/>
      <c r="BIJ57" s="15"/>
      <c r="BIK57" s="15"/>
      <c r="BIL57" s="15"/>
      <c r="BIM57" s="15"/>
      <c r="BIN57" s="15"/>
      <c r="BIO57" s="15"/>
      <c r="BIP57" s="15"/>
      <c r="BIQ57" s="15"/>
      <c r="BIR57" s="15"/>
      <c r="BIS57" s="15"/>
      <c r="BIT57" s="15"/>
      <c r="BIU57" s="15"/>
      <c r="BIV57" s="15"/>
      <c r="BIW57" s="15"/>
      <c r="BIX57" s="15"/>
      <c r="BIY57" s="15"/>
      <c r="BIZ57" s="15"/>
      <c r="BJA57" s="15"/>
      <c r="BJB57" s="15"/>
      <c r="BJC57" s="15"/>
      <c r="BJD57" s="15"/>
      <c r="BJE57" s="15"/>
      <c r="BJF57" s="15"/>
      <c r="BJG57" s="15"/>
      <c r="BJH57" s="15"/>
      <c r="BJI57" s="15"/>
      <c r="BJJ57" s="15"/>
      <c r="BJK57" s="15"/>
      <c r="BJL57" s="15"/>
      <c r="BJM57" s="15"/>
      <c r="BJN57" s="15"/>
      <c r="BJO57" s="15"/>
      <c r="BJP57" s="15"/>
      <c r="BJQ57" s="15"/>
      <c r="BJR57" s="15"/>
      <c r="BJS57" s="15"/>
      <c r="BJT57" s="15"/>
      <c r="BJU57" s="15"/>
      <c r="BJV57" s="15"/>
      <c r="BJW57" s="15"/>
      <c r="BJX57" s="15"/>
      <c r="BJY57" s="15"/>
      <c r="BJZ57" s="15"/>
      <c r="BKA57" s="15"/>
      <c r="BKB57" s="15"/>
      <c r="BKC57" s="15"/>
      <c r="BKD57" s="15"/>
      <c r="BKE57" s="15"/>
      <c r="BKF57" s="15"/>
      <c r="BKG57" s="15"/>
      <c r="BKH57" s="15"/>
      <c r="BKI57" s="15"/>
      <c r="BKJ57" s="15"/>
      <c r="BKK57" s="15"/>
      <c r="BKL57" s="15"/>
      <c r="BKM57" s="15"/>
      <c r="BKN57" s="15"/>
      <c r="BKO57" s="15"/>
      <c r="BKP57" s="15"/>
      <c r="BKQ57" s="15"/>
      <c r="BKR57" s="15"/>
      <c r="BKS57" s="15"/>
      <c r="BKT57" s="15"/>
      <c r="BKU57" s="15"/>
      <c r="BKV57" s="15"/>
      <c r="BKW57" s="15"/>
      <c r="BKX57" s="15"/>
      <c r="BKY57" s="15"/>
      <c r="BKZ57" s="15"/>
      <c r="BLA57" s="15"/>
      <c r="BLB57" s="15"/>
      <c r="BLC57" s="15"/>
      <c r="BLD57" s="15"/>
      <c r="BLE57" s="15"/>
      <c r="BLF57" s="15"/>
      <c r="BLG57" s="15"/>
      <c r="BLH57" s="15"/>
      <c r="BLI57" s="15"/>
      <c r="BLJ57" s="15"/>
      <c r="BLK57" s="15"/>
      <c r="BLL57" s="15"/>
      <c r="BLM57" s="15"/>
      <c r="BLN57" s="15"/>
      <c r="BLO57" s="15"/>
      <c r="BLP57" s="15"/>
      <c r="BLQ57" s="15"/>
      <c r="BLR57" s="15"/>
      <c r="BLS57" s="15"/>
      <c r="BLT57" s="15"/>
      <c r="BLU57" s="15"/>
      <c r="BLV57" s="15"/>
      <c r="BLW57" s="15"/>
      <c r="BLX57" s="15"/>
      <c r="BLY57" s="15"/>
      <c r="BLZ57" s="15"/>
      <c r="BMA57" s="15"/>
      <c r="BMB57" s="15"/>
      <c r="BMC57" s="15"/>
      <c r="BMD57" s="15"/>
      <c r="BME57" s="15"/>
      <c r="BMF57" s="15"/>
      <c r="BMG57" s="15"/>
      <c r="BMH57" s="15"/>
      <c r="BMI57" s="15"/>
      <c r="BMJ57" s="15"/>
      <c r="BMK57" s="15"/>
      <c r="BML57" s="15"/>
      <c r="BMM57" s="15"/>
      <c r="BMN57" s="15"/>
      <c r="BMO57" s="15"/>
      <c r="BMP57" s="15"/>
      <c r="BMQ57" s="15"/>
      <c r="BMR57" s="15"/>
      <c r="BMS57" s="15"/>
      <c r="BMT57" s="15"/>
      <c r="BMU57" s="15"/>
      <c r="BMV57" s="15"/>
      <c r="BMW57" s="15"/>
      <c r="BMX57" s="15"/>
      <c r="BMY57" s="15"/>
      <c r="BMZ57" s="15"/>
      <c r="BNA57" s="15"/>
      <c r="BNB57" s="15"/>
      <c r="BNC57" s="15"/>
      <c r="BND57" s="15"/>
      <c r="BNE57" s="15"/>
      <c r="BNF57" s="15"/>
      <c r="BNG57" s="15"/>
      <c r="BNH57" s="15"/>
      <c r="BNI57" s="15"/>
      <c r="BNJ57" s="15"/>
      <c r="BNK57" s="15"/>
      <c r="BNL57" s="15"/>
      <c r="BNM57" s="15"/>
      <c r="BNN57" s="15"/>
      <c r="BNO57" s="15"/>
      <c r="BNP57" s="15"/>
      <c r="BNQ57" s="15"/>
      <c r="BNR57" s="15"/>
      <c r="BNS57" s="15"/>
      <c r="BNT57" s="15"/>
      <c r="BNU57" s="15"/>
      <c r="BNV57" s="15"/>
      <c r="BNW57" s="15"/>
      <c r="BNX57" s="15"/>
      <c r="BNY57" s="15"/>
      <c r="BNZ57" s="15"/>
      <c r="BOA57" s="15"/>
      <c r="BOB57" s="15"/>
      <c r="BOC57" s="15"/>
      <c r="BOD57" s="15"/>
      <c r="BOE57" s="15"/>
      <c r="BOF57" s="15"/>
      <c r="BOG57" s="15"/>
      <c r="BOH57" s="15"/>
      <c r="BOI57" s="15"/>
      <c r="BOJ57" s="15"/>
      <c r="BOK57" s="15"/>
      <c r="BOL57" s="15"/>
      <c r="BOM57" s="15"/>
      <c r="BON57" s="15"/>
      <c r="BOO57" s="15"/>
      <c r="BOP57" s="15"/>
      <c r="BOQ57" s="15"/>
      <c r="BOR57" s="15"/>
      <c r="BOS57" s="15"/>
      <c r="BOT57" s="15"/>
      <c r="BOU57" s="15"/>
      <c r="BOV57" s="15"/>
      <c r="BOW57" s="15"/>
      <c r="BOX57" s="15"/>
      <c r="BOY57" s="15"/>
      <c r="BOZ57" s="15"/>
      <c r="BPA57" s="15"/>
      <c r="BPB57" s="15"/>
      <c r="BPC57" s="15"/>
      <c r="BPD57" s="15"/>
      <c r="BPE57" s="15"/>
      <c r="BPF57" s="15"/>
      <c r="BPG57" s="15"/>
      <c r="BPH57" s="15"/>
      <c r="BPI57" s="15"/>
      <c r="BPJ57" s="15"/>
      <c r="BPK57" s="15"/>
      <c r="BPL57" s="15"/>
      <c r="BPM57" s="15"/>
      <c r="BPN57" s="15"/>
      <c r="BPO57" s="15"/>
      <c r="BPP57" s="15"/>
      <c r="BPQ57" s="15"/>
      <c r="BPR57" s="15"/>
      <c r="BPS57" s="15"/>
      <c r="BPT57" s="15"/>
      <c r="BPU57" s="15"/>
      <c r="BPV57" s="15"/>
      <c r="BPW57" s="15"/>
      <c r="BPX57" s="15"/>
      <c r="BPY57" s="15"/>
      <c r="BPZ57" s="15"/>
      <c r="BQA57" s="15"/>
      <c r="BQB57" s="15"/>
      <c r="BQC57" s="15"/>
      <c r="BQD57" s="15"/>
      <c r="BQE57" s="15"/>
      <c r="BQF57" s="15"/>
      <c r="BQG57" s="15"/>
      <c r="BQH57" s="15"/>
      <c r="BQI57" s="15"/>
      <c r="BQJ57" s="15"/>
      <c r="BQK57" s="15"/>
      <c r="BQL57" s="15"/>
      <c r="BQM57" s="15"/>
      <c r="BQN57" s="15"/>
      <c r="BQO57" s="15"/>
      <c r="BQP57" s="15"/>
      <c r="BQQ57" s="15"/>
      <c r="BQR57" s="15"/>
      <c r="BQS57" s="15"/>
      <c r="BQT57" s="15"/>
      <c r="BQU57" s="15"/>
      <c r="BQV57" s="15"/>
      <c r="BQW57" s="15"/>
      <c r="BQX57" s="15"/>
      <c r="BQY57" s="15"/>
      <c r="BQZ57" s="15"/>
      <c r="BRA57" s="15"/>
      <c r="BRB57" s="15"/>
      <c r="BRC57" s="15"/>
      <c r="BRD57" s="15"/>
      <c r="BRE57" s="15"/>
      <c r="BRF57" s="15"/>
      <c r="BRG57" s="15"/>
      <c r="BRH57" s="15"/>
      <c r="BRI57" s="15"/>
      <c r="BRJ57" s="15"/>
      <c r="BRK57" s="15"/>
      <c r="BRL57" s="15"/>
      <c r="BRM57" s="15"/>
      <c r="BRN57" s="15"/>
      <c r="BRO57" s="15"/>
      <c r="BRP57" s="15"/>
      <c r="BRQ57" s="15"/>
      <c r="BRR57" s="15"/>
      <c r="BRS57" s="15"/>
      <c r="BRT57" s="15"/>
      <c r="BRU57" s="15"/>
      <c r="BRV57" s="15"/>
      <c r="BRW57" s="15"/>
      <c r="BRX57" s="15"/>
      <c r="BRY57" s="15"/>
      <c r="BRZ57" s="15"/>
      <c r="BSA57" s="15"/>
      <c r="BSB57" s="15"/>
      <c r="BSC57" s="15"/>
      <c r="BSD57" s="15"/>
      <c r="BSE57" s="15"/>
      <c r="BSF57" s="15"/>
      <c r="BSG57" s="15"/>
      <c r="BSH57" s="15"/>
      <c r="BSI57" s="15"/>
      <c r="BSJ57" s="15"/>
      <c r="BSK57" s="15"/>
      <c r="BSL57" s="15"/>
      <c r="BSM57" s="15"/>
      <c r="BSN57" s="15"/>
      <c r="BSO57" s="15"/>
      <c r="BSP57" s="15"/>
      <c r="BSQ57" s="15"/>
      <c r="BSR57" s="15"/>
      <c r="BSS57" s="15"/>
      <c r="BST57" s="15"/>
      <c r="BSU57" s="15"/>
      <c r="BSV57" s="15"/>
      <c r="BSW57" s="15"/>
      <c r="BSX57" s="15"/>
      <c r="BSY57" s="15"/>
      <c r="BSZ57" s="15"/>
      <c r="BTA57" s="15"/>
      <c r="BTB57" s="15"/>
      <c r="BTC57" s="15"/>
      <c r="BTD57" s="15"/>
      <c r="BTE57" s="15"/>
      <c r="BTF57" s="15"/>
      <c r="BTG57" s="15"/>
      <c r="BTH57" s="15"/>
      <c r="BTI57" s="15"/>
      <c r="BTJ57" s="15"/>
      <c r="BTK57" s="15"/>
      <c r="BTL57" s="15"/>
      <c r="BTM57" s="15"/>
      <c r="BTN57" s="15"/>
      <c r="BTO57" s="15"/>
      <c r="BTP57" s="15"/>
      <c r="BTQ57" s="15"/>
      <c r="BTR57" s="15"/>
      <c r="BTS57" s="15"/>
      <c r="BTT57" s="15"/>
      <c r="BTU57" s="15"/>
      <c r="BTV57" s="15"/>
      <c r="BTW57" s="15"/>
      <c r="BTX57" s="15"/>
      <c r="BTY57" s="15"/>
      <c r="BTZ57" s="15"/>
      <c r="BUA57" s="15"/>
      <c r="BUB57" s="15"/>
      <c r="BUC57" s="15"/>
      <c r="BUD57" s="15"/>
      <c r="BUE57" s="15"/>
      <c r="BUF57" s="15"/>
      <c r="BUG57" s="15"/>
      <c r="BUH57" s="15"/>
      <c r="BUI57" s="15"/>
      <c r="BUJ57" s="15"/>
      <c r="BUK57" s="15"/>
      <c r="BUL57" s="15"/>
      <c r="BUM57" s="15"/>
      <c r="BUN57" s="15"/>
      <c r="BUO57" s="15"/>
      <c r="BUP57" s="15"/>
      <c r="BUQ57" s="15"/>
      <c r="BUR57" s="15"/>
      <c r="BUS57" s="15"/>
      <c r="BUT57" s="15"/>
      <c r="BUU57" s="15"/>
      <c r="BUV57" s="15"/>
      <c r="BUW57" s="15"/>
      <c r="BUX57" s="15"/>
      <c r="BUY57" s="15"/>
      <c r="BUZ57" s="15"/>
      <c r="BVA57" s="15"/>
      <c r="BVB57" s="15"/>
      <c r="BVC57" s="15"/>
      <c r="BVD57" s="15"/>
      <c r="BVE57" s="15"/>
      <c r="BVF57" s="15"/>
      <c r="BVG57" s="15"/>
      <c r="BVH57" s="15"/>
      <c r="BVI57" s="15"/>
      <c r="BVJ57" s="15"/>
      <c r="BVK57" s="15"/>
      <c r="BVL57" s="15"/>
      <c r="BVM57" s="15"/>
      <c r="BVN57" s="15"/>
      <c r="BVO57" s="15"/>
      <c r="BVP57" s="15"/>
      <c r="BVQ57" s="15"/>
      <c r="BVR57" s="15"/>
      <c r="BVS57" s="15"/>
      <c r="BVT57" s="15"/>
      <c r="BVU57" s="15"/>
      <c r="BVV57" s="15"/>
      <c r="BVW57" s="15"/>
      <c r="BVX57" s="15"/>
      <c r="BVY57" s="15"/>
      <c r="BVZ57" s="15"/>
      <c r="BWA57" s="15"/>
      <c r="BWB57" s="15"/>
      <c r="BWC57" s="15"/>
      <c r="BWD57" s="15"/>
      <c r="BWE57" s="15"/>
      <c r="BWF57" s="15"/>
      <c r="BWG57" s="15"/>
      <c r="BWH57" s="15"/>
      <c r="BWI57" s="15"/>
      <c r="BWJ57" s="15"/>
      <c r="BWK57" s="15"/>
      <c r="BWL57" s="15"/>
      <c r="BWM57" s="15"/>
      <c r="BWN57" s="15"/>
      <c r="BWO57" s="15"/>
      <c r="BWP57" s="15"/>
      <c r="BWQ57" s="15"/>
      <c r="BWR57" s="15"/>
      <c r="BWS57" s="15"/>
      <c r="BWT57" s="15"/>
      <c r="BWU57" s="15"/>
      <c r="BWV57" s="15"/>
      <c r="BWW57" s="15"/>
      <c r="BWX57" s="15"/>
      <c r="BWY57" s="15"/>
      <c r="BWZ57" s="15"/>
      <c r="BXA57" s="15"/>
      <c r="BXB57" s="15"/>
      <c r="BXC57" s="15"/>
      <c r="BXD57" s="15"/>
      <c r="BXE57" s="15"/>
      <c r="BXF57" s="15"/>
      <c r="BXG57" s="15"/>
      <c r="BXH57" s="15"/>
      <c r="BXI57" s="15"/>
      <c r="BXJ57" s="15"/>
      <c r="BXK57" s="15"/>
      <c r="BXL57" s="15"/>
      <c r="BXM57" s="15"/>
      <c r="BXN57" s="15"/>
      <c r="BXO57" s="15"/>
      <c r="BXP57" s="15"/>
      <c r="BXQ57" s="15"/>
      <c r="BXR57" s="15"/>
      <c r="BXS57" s="15"/>
      <c r="BXT57" s="15"/>
      <c r="BXU57" s="15"/>
      <c r="BXV57" s="15"/>
      <c r="BXW57" s="15"/>
      <c r="BXX57" s="15"/>
      <c r="BXY57" s="15"/>
      <c r="BXZ57" s="15"/>
      <c r="BYA57" s="15"/>
      <c r="BYB57" s="15"/>
      <c r="BYC57" s="15"/>
      <c r="BYD57" s="15"/>
      <c r="BYE57" s="15"/>
      <c r="BYF57" s="15"/>
      <c r="BYG57" s="15"/>
      <c r="BYH57" s="15"/>
      <c r="BYI57" s="15"/>
      <c r="BYJ57" s="15"/>
      <c r="BYK57" s="15"/>
      <c r="BYL57" s="15"/>
      <c r="BYM57" s="15"/>
      <c r="BYN57" s="15"/>
      <c r="BYO57" s="15"/>
      <c r="BYP57" s="15"/>
      <c r="BYQ57" s="15"/>
      <c r="BYR57" s="15"/>
      <c r="BYS57" s="15"/>
      <c r="BYT57" s="15"/>
      <c r="BYU57" s="15"/>
      <c r="BYV57" s="15"/>
      <c r="BYW57" s="15"/>
      <c r="BYX57" s="15"/>
      <c r="BYY57" s="15"/>
      <c r="BYZ57" s="15"/>
      <c r="BZA57" s="15"/>
      <c r="BZB57" s="15"/>
      <c r="BZC57" s="15"/>
      <c r="BZD57" s="15"/>
      <c r="BZE57" s="15"/>
      <c r="BZF57" s="15"/>
      <c r="BZG57" s="15"/>
      <c r="BZH57" s="15"/>
      <c r="BZI57" s="15"/>
      <c r="BZJ57" s="15"/>
      <c r="BZK57" s="15"/>
      <c r="BZL57" s="15"/>
      <c r="BZM57" s="15"/>
      <c r="BZN57" s="15"/>
      <c r="BZO57" s="15"/>
      <c r="BZP57" s="15"/>
      <c r="BZQ57" s="15"/>
      <c r="BZR57" s="15"/>
      <c r="BZS57" s="15"/>
      <c r="BZT57" s="15"/>
      <c r="BZU57" s="15"/>
      <c r="BZV57" s="15"/>
      <c r="BZW57" s="15"/>
      <c r="BZX57" s="15"/>
      <c r="BZY57" s="15"/>
      <c r="BZZ57" s="15"/>
      <c r="CAA57" s="15"/>
      <c r="CAB57" s="15"/>
      <c r="CAC57" s="15"/>
      <c r="CAD57" s="15"/>
      <c r="CAE57" s="15"/>
      <c r="CAF57" s="15"/>
      <c r="CAG57" s="15"/>
      <c r="CAH57" s="15"/>
      <c r="CAI57" s="15"/>
      <c r="CAJ57" s="15"/>
      <c r="CAK57" s="15"/>
      <c r="CAL57" s="15"/>
      <c r="CAM57" s="15"/>
      <c r="CAN57" s="15"/>
      <c r="CAO57" s="15"/>
      <c r="CAP57" s="15"/>
      <c r="CAQ57" s="15"/>
      <c r="CAR57" s="15"/>
      <c r="CAS57" s="15"/>
      <c r="CAT57" s="15"/>
      <c r="CAU57" s="15"/>
      <c r="CAV57" s="15"/>
      <c r="CAW57" s="15"/>
      <c r="CAX57" s="15"/>
      <c r="CAY57" s="15"/>
      <c r="CAZ57" s="15"/>
      <c r="CBA57" s="15"/>
      <c r="CBB57" s="15"/>
      <c r="CBC57" s="15"/>
      <c r="CBD57" s="15"/>
      <c r="CBE57" s="15"/>
      <c r="CBF57" s="15"/>
      <c r="CBG57" s="15"/>
      <c r="CBH57" s="15"/>
      <c r="CBI57" s="15"/>
      <c r="CBJ57" s="15"/>
      <c r="CBK57" s="15"/>
      <c r="CBL57" s="15"/>
      <c r="CBM57" s="15"/>
      <c r="CBN57" s="15"/>
      <c r="CBO57" s="15"/>
      <c r="CBP57" s="15"/>
      <c r="CBQ57" s="15"/>
      <c r="CBR57" s="15"/>
      <c r="CBS57" s="15"/>
      <c r="CBT57" s="15"/>
      <c r="CBU57" s="15"/>
      <c r="CBV57" s="15"/>
      <c r="CBW57" s="15"/>
      <c r="CBX57" s="15"/>
      <c r="CBY57" s="15"/>
      <c r="CBZ57" s="15"/>
      <c r="CCA57" s="15"/>
      <c r="CCB57" s="15"/>
      <c r="CCC57" s="15"/>
      <c r="CCD57" s="15"/>
      <c r="CCE57" s="15"/>
      <c r="CCF57" s="15"/>
      <c r="CCG57" s="15"/>
      <c r="CCH57" s="15"/>
      <c r="CCI57" s="15"/>
      <c r="CCJ57" s="15"/>
      <c r="CCK57" s="15"/>
      <c r="CCL57" s="15"/>
      <c r="CCM57" s="15"/>
      <c r="CCN57" s="15"/>
      <c r="CCO57" s="15"/>
      <c r="CCP57" s="15"/>
      <c r="CCQ57" s="15"/>
      <c r="CCR57" s="15"/>
      <c r="CCS57" s="15"/>
      <c r="CCT57" s="15"/>
      <c r="CCU57" s="15"/>
      <c r="CCV57" s="15"/>
      <c r="CCW57" s="15"/>
      <c r="CCX57" s="15"/>
      <c r="CCY57" s="15"/>
      <c r="CCZ57" s="15"/>
      <c r="CDA57" s="15"/>
      <c r="CDB57" s="15"/>
      <c r="CDC57" s="15"/>
      <c r="CDD57" s="15"/>
      <c r="CDE57" s="15"/>
      <c r="CDF57" s="15"/>
      <c r="CDG57" s="15"/>
      <c r="CDH57" s="15"/>
      <c r="CDI57" s="15"/>
      <c r="CDJ57" s="15"/>
      <c r="CDK57" s="15"/>
      <c r="CDL57" s="15"/>
      <c r="CDM57" s="15"/>
      <c r="CDN57" s="15"/>
      <c r="CDO57" s="15"/>
      <c r="CDP57" s="15"/>
      <c r="CDQ57" s="15"/>
      <c r="CDR57" s="15"/>
      <c r="CDS57" s="15"/>
      <c r="CDT57" s="15"/>
      <c r="CDU57" s="15"/>
      <c r="CDV57" s="15"/>
      <c r="CDW57" s="15"/>
      <c r="CDX57" s="15"/>
      <c r="CDY57" s="15"/>
      <c r="CDZ57" s="15"/>
      <c r="CEA57" s="15"/>
      <c r="CEB57" s="15"/>
      <c r="CEC57" s="15"/>
      <c r="CED57" s="15"/>
      <c r="CEE57" s="15"/>
      <c r="CEF57" s="15"/>
      <c r="CEG57" s="15"/>
      <c r="CEH57" s="15"/>
      <c r="CEI57" s="15"/>
      <c r="CEJ57" s="15"/>
      <c r="CEK57" s="15"/>
      <c r="CEL57" s="15"/>
      <c r="CEM57" s="15"/>
      <c r="CEN57" s="15"/>
      <c r="CEO57" s="15"/>
      <c r="CEP57" s="15"/>
      <c r="CEQ57" s="15"/>
      <c r="CER57" s="15"/>
      <c r="CES57" s="15"/>
      <c r="CET57" s="15"/>
      <c r="CEU57" s="15"/>
      <c r="CEV57" s="15"/>
      <c r="CEW57" s="15"/>
      <c r="CEX57" s="15"/>
      <c r="CEY57" s="15"/>
      <c r="CEZ57" s="15"/>
      <c r="CFA57" s="15"/>
      <c r="CFB57" s="15"/>
      <c r="CFC57" s="15"/>
      <c r="CFD57" s="15"/>
      <c r="CFE57" s="15"/>
      <c r="CFF57" s="15"/>
      <c r="CFG57" s="15"/>
      <c r="CFH57" s="15"/>
      <c r="CFI57" s="15"/>
      <c r="CFJ57" s="15"/>
      <c r="CFK57" s="15"/>
      <c r="CFL57" s="15"/>
      <c r="CFM57" s="15"/>
      <c r="CFN57" s="15"/>
      <c r="CFO57" s="15"/>
      <c r="CFP57" s="15"/>
      <c r="CFQ57" s="15"/>
      <c r="CFR57" s="15"/>
      <c r="CFS57" s="15"/>
      <c r="CFT57" s="15"/>
      <c r="CFU57" s="15"/>
      <c r="CFV57" s="15"/>
      <c r="CFW57" s="15"/>
      <c r="CFX57" s="15"/>
      <c r="CFY57" s="15"/>
      <c r="CFZ57" s="15"/>
      <c r="CGA57" s="15"/>
      <c r="CGB57" s="15"/>
      <c r="CGC57" s="15"/>
      <c r="CGD57" s="15"/>
      <c r="CGE57" s="15"/>
      <c r="CGF57" s="15"/>
      <c r="CGG57" s="15"/>
      <c r="CGH57" s="15"/>
      <c r="CGI57" s="15"/>
      <c r="CGJ57" s="15"/>
      <c r="CGK57" s="15"/>
      <c r="CGL57" s="15"/>
      <c r="CGM57" s="15"/>
      <c r="CGN57" s="15"/>
      <c r="CGO57" s="15"/>
      <c r="CGP57" s="15"/>
      <c r="CGQ57" s="15"/>
      <c r="CGR57" s="15"/>
      <c r="CGS57" s="15"/>
      <c r="CGT57" s="15"/>
      <c r="CGU57" s="15"/>
      <c r="CGV57" s="15"/>
      <c r="CGW57" s="15"/>
      <c r="CGX57" s="15"/>
      <c r="CGY57" s="15"/>
      <c r="CGZ57" s="15"/>
      <c r="CHA57" s="15"/>
      <c r="CHB57" s="15"/>
      <c r="CHC57" s="15"/>
      <c r="CHD57" s="15"/>
      <c r="CHE57" s="15"/>
      <c r="CHF57" s="15"/>
      <c r="CHG57" s="15"/>
      <c r="CHH57" s="15"/>
      <c r="CHI57" s="15"/>
      <c r="CHJ57" s="15"/>
      <c r="CHK57" s="15"/>
      <c r="CHL57" s="15"/>
      <c r="CHM57" s="15"/>
      <c r="CHN57" s="15"/>
      <c r="CHO57" s="15"/>
      <c r="CHP57" s="15"/>
      <c r="CHQ57" s="15"/>
      <c r="CHR57" s="15"/>
      <c r="CHS57" s="15"/>
      <c r="CHT57" s="15"/>
      <c r="CHU57" s="15"/>
      <c r="CHV57" s="15"/>
      <c r="CHW57" s="15"/>
      <c r="CHX57" s="15"/>
      <c r="CHY57" s="15"/>
      <c r="CHZ57" s="15"/>
      <c r="CIA57" s="15"/>
      <c r="CIB57" s="15"/>
      <c r="CIC57" s="15"/>
      <c r="CID57" s="15"/>
      <c r="CIE57" s="15"/>
      <c r="CIF57" s="15"/>
      <c r="CIG57" s="15"/>
      <c r="CIH57" s="15"/>
      <c r="CII57" s="15"/>
      <c r="CIJ57" s="15"/>
      <c r="CIK57" s="15"/>
      <c r="CIL57" s="15"/>
      <c r="CIM57" s="15"/>
      <c r="CIN57" s="15"/>
      <c r="CIO57" s="15"/>
      <c r="CIP57" s="15"/>
      <c r="CIQ57" s="15"/>
      <c r="CIR57" s="15"/>
      <c r="CIS57" s="15"/>
      <c r="CIT57" s="15"/>
      <c r="CIU57" s="15"/>
      <c r="CIV57" s="15"/>
      <c r="CIW57" s="15"/>
      <c r="CIX57" s="15"/>
      <c r="CIY57" s="15"/>
      <c r="CIZ57" s="15"/>
      <c r="CJA57" s="15"/>
      <c r="CJB57" s="15"/>
      <c r="CJC57" s="15"/>
      <c r="CJD57" s="15"/>
      <c r="CJE57" s="15"/>
      <c r="CJF57" s="15"/>
      <c r="CJG57" s="15"/>
      <c r="CJH57" s="15"/>
      <c r="CJI57" s="15"/>
      <c r="CJJ57" s="15"/>
      <c r="CJK57" s="15"/>
      <c r="CJL57" s="15"/>
      <c r="CJM57" s="15"/>
      <c r="CJN57" s="15"/>
      <c r="CJO57" s="15"/>
      <c r="CJP57" s="15"/>
      <c r="CJQ57" s="15"/>
      <c r="CJR57" s="15"/>
      <c r="CJS57" s="15"/>
      <c r="CJT57" s="15"/>
      <c r="CJU57" s="15"/>
      <c r="CJV57" s="15"/>
      <c r="CJW57" s="15"/>
      <c r="CJX57" s="15"/>
      <c r="CJY57" s="15"/>
      <c r="CJZ57" s="15"/>
      <c r="CKA57" s="15"/>
      <c r="CKB57" s="15"/>
      <c r="CKC57" s="15"/>
      <c r="CKD57" s="15"/>
      <c r="CKE57" s="15"/>
      <c r="CKF57" s="15"/>
      <c r="CKG57" s="15"/>
      <c r="CKH57" s="15"/>
      <c r="CKI57" s="15"/>
      <c r="CKJ57" s="15"/>
      <c r="CKK57" s="15"/>
      <c r="CKL57" s="15"/>
      <c r="CKM57" s="15"/>
      <c r="CKN57" s="15"/>
      <c r="CKO57" s="15"/>
      <c r="CKP57" s="15"/>
      <c r="CKQ57" s="15"/>
      <c r="CKR57" s="15"/>
      <c r="CKS57" s="15"/>
      <c r="CKT57" s="15"/>
      <c r="CKU57" s="15"/>
      <c r="CKV57" s="15"/>
      <c r="CKW57" s="15"/>
      <c r="CKX57" s="15"/>
      <c r="CKY57" s="15"/>
      <c r="CKZ57" s="15"/>
      <c r="CLA57" s="15"/>
      <c r="CLB57" s="15"/>
      <c r="CLC57" s="15"/>
      <c r="CLD57" s="15"/>
      <c r="CLE57" s="15"/>
      <c r="CLF57" s="15"/>
      <c r="CLG57" s="15"/>
      <c r="CLH57" s="15"/>
      <c r="CLI57" s="15"/>
      <c r="CLJ57" s="15"/>
      <c r="CLK57" s="15"/>
      <c r="CLL57" s="15"/>
      <c r="CLM57" s="15"/>
      <c r="CLN57" s="15"/>
      <c r="CLO57" s="15"/>
      <c r="CLP57" s="15"/>
      <c r="CLQ57" s="15"/>
      <c r="CLR57" s="15"/>
      <c r="CLS57" s="15"/>
      <c r="CLT57" s="15"/>
      <c r="CLU57" s="15"/>
      <c r="CLV57" s="15"/>
      <c r="CLW57" s="15"/>
      <c r="CLX57" s="15"/>
      <c r="CLY57" s="15"/>
      <c r="CLZ57" s="15"/>
      <c r="CMA57" s="15"/>
      <c r="CMB57" s="15"/>
      <c r="CMC57" s="15"/>
      <c r="CMD57" s="15"/>
      <c r="CME57" s="15"/>
      <c r="CMF57" s="15"/>
      <c r="CMG57" s="15"/>
      <c r="CMH57" s="15"/>
      <c r="CMI57" s="15"/>
      <c r="CMJ57" s="15"/>
      <c r="CMK57" s="15"/>
      <c r="CML57" s="15"/>
      <c r="CMM57" s="15"/>
      <c r="CMN57" s="15"/>
      <c r="CMO57" s="15"/>
      <c r="CMP57" s="15"/>
      <c r="CMQ57" s="15"/>
      <c r="CMR57" s="15"/>
      <c r="CMS57" s="15"/>
      <c r="CMT57" s="15"/>
      <c r="CMU57" s="15"/>
      <c r="CMV57" s="15"/>
      <c r="CMW57" s="15"/>
      <c r="CMX57" s="15"/>
      <c r="CMY57" s="15"/>
      <c r="CMZ57" s="15"/>
      <c r="CNA57" s="15"/>
      <c r="CNB57" s="15"/>
      <c r="CNC57" s="15"/>
      <c r="CND57" s="15"/>
      <c r="CNE57" s="15"/>
      <c r="CNF57" s="15"/>
      <c r="CNG57" s="15"/>
      <c r="CNH57" s="15"/>
      <c r="CNI57" s="15"/>
      <c r="CNJ57" s="15"/>
      <c r="CNK57" s="15"/>
      <c r="CNL57" s="15"/>
      <c r="CNM57" s="15"/>
      <c r="CNN57" s="15"/>
      <c r="CNO57" s="15"/>
      <c r="CNP57" s="15"/>
      <c r="CNQ57" s="15"/>
      <c r="CNR57" s="15"/>
      <c r="CNS57" s="15"/>
      <c r="CNT57" s="15"/>
      <c r="CNU57" s="15"/>
      <c r="CNV57" s="15"/>
      <c r="CNW57" s="15"/>
      <c r="CNX57" s="15"/>
      <c r="CNY57" s="15"/>
      <c r="CNZ57" s="15"/>
      <c r="COA57" s="15"/>
      <c r="COB57" s="15"/>
      <c r="COC57" s="15"/>
      <c r="COD57" s="15"/>
      <c r="COE57" s="15"/>
      <c r="COF57" s="15"/>
      <c r="COG57" s="15"/>
      <c r="COH57" s="15"/>
      <c r="COI57" s="15"/>
      <c r="COJ57" s="15"/>
      <c r="COK57" s="15"/>
      <c r="COL57" s="15"/>
      <c r="COM57" s="15"/>
      <c r="CON57" s="15"/>
      <c r="COO57" s="15"/>
      <c r="COP57" s="15"/>
      <c r="COQ57" s="15"/>
      <c r="COR57" s="15"/>
      <c r="COS57" s="15"/>
      <c r="COT57" s="15"/>
      <c r="COU57" s="15"/>
      <c r="COV57" s="15"/>
      <c r="COW57" s="15"/>
      <c r="COX57" s="15"/>
      <c r="COY57" s="15"/>
      <c r="COZ57" s="15"/>
      <c r="CPA57" s="15"/>
      <c r="CPB57" s="15"/>
      <c r="CPC57" s="15"/>
      <c r="CPD57" s="15"/>
      <c r="CPE57" s="15"/>
      <c r="CPF57" s="15"/>
      <c r="CPG57" s="15"/>
      <c r="CPH57" s="15"/>
      <c r="CPI57" s="15"/>
      <c r="CPJ57" s="15"/>
      <c r="CPK57" s="15"/>
      <c r="CPL57" s="15"/>
      <c r="CPM57" s="15"/>
      <c r="CPN57" s="15"/>
      <c r="CPO57" s="15"/>
      <c r="CPP57" s="15"/>
      <c r="CPQ57" s="15"/>
      <c r="CPR57" s="15"/>
      <c r="CPS57" s="15"/>
      <c r="CPT57" s="15"/>
      <c r="CPU57" s="15"/>
      <c r="CPV57" s="15"/>
      <c r="CPW57" s="15"/>
      <c r="CPX57" s="15"/>
      <c r="CPY57" s="15"/>
      <c r="CPZ57" s="15"/>
      <c r="CQA57" s="15"/>
      <c r="CQB57" s="15"/>
      <c r="CQC57" s="15"/>
      <c r="CQD57" s="15"/>
      <c r="CQE57" s="15"/>
      <c r="CQF57" s="15"/>
      <c r="CQG57" s="15"/>
      <c r="CQH57" s="15"/>
      <c r="CQI57" s="15"/>
      <c r="CQJ57" s="15"/>
      <c r="CQK57" s="15"/>
      <c r="CQL57" s="15"/>
      <c r="CQM57" s="15"/>
      <c r="CQN57" s="15"/>
      <c r="CQO57" s="15"/>
      <c r="CQP57" s="15"/>
      <c r="CQQ57" s="15"/>
      <c r="CQR57" s="15"/>
      <c r="CQS57" s="15"/>
      <c r="CQT57" s="15"/>
      <c r="CQU57" s="15"/>
      <c r="CQV57" s="15"/>
      <c r="CQW57" s="15"/>
      <c r="CQX57" s="15"/>
      <c r="CQY57" s="15"/>
      <c r="CQZ57" s="15"/>
      <c r="CRA57" s="15"/>
      <c r="CRB57" s="15"/>
      <c r="CRC57" s="15"/>
      <c r="CRD57" s="15"/>
      <c r="CRE57" s="15"/>
      <c r="CRF57" s="15"/>
      <c r="CRG57" s="15"/>
      <c r="CRH57" s="15"/>
      <c r="CRI57" s="15"/>
      <c r="CRJ57" s="15"/>
      <c r="CRK57" s="15"/>
      <c r="CRL57" s="15"/>
      <c r="CRM57" s="15"/>
      <c r="CRN57" s="15"/>
      <c r="CRO57" s="15"/>
      <c r="CRP57" s="15"/>
      <c r="CRQ57" s="15"/>
      <c r="CRR57" s="15"/>
      <c r="CRS57" s="15"/>
      <c r="CRT57" s="15"/>
      <c r="CRU57" s="15"/>
      <c r="CRV57" s="15"/>
      <c r="CRW57" s="15"/>
      <c r="CRX57" s="15"/>
      <c r="CRY57" s="15"/>
      <c r="CRZ57" s="15"/>
      <c r="CSA57" s="15"/>
      <c r="CSB57" s="15"/>
      <c r="CSC57" s="15"/>
      <c r="CSD57" s="15"/>
      <c r="CSE57" s="15"/>
      <c r="CSF57" s="15"/>
      <c r="CSG57" s="15"/>
      <c r="CSH57" s="15"/>
      <c r="CSI57" s="15"/>
      <c r="CSJ57" s="15"/>
      <c r="CSK57" s="15"/>
      <c r="CSL57" s="15"/>
      <c r="CSM57" s="15"/>
      <c r="CSN57" s="15"/>
      <c r="CSO57" s="15"/>
      <c r="CSP57" s="15"/>
      <c r="CSQ57" s="15"/>
      <c r="CSR57" s="15"/>
      <c r="CSS57" s="15"/>
      <c r="CST57" s="15"/>
      <c r="CSU57" s="15"/>
      <c r="CSV57" s="15"/>
      <c r="CSW57" s="15"/>
      <c r="CSX57" s="15"/>
      <c r="CSY57" s="15"/>
      <c r="CSZ57" s="15"/>
      <c r="CTA57" s="15"/>
      <c r="CTB57" s="15"/>
      <c r="CTC57" s="15"/>
      <c r="CTD57" s="15"/>
      <c r="CTE57" s="15"/>
      <c r="CTF57" s="15"/>
      <c r="CTG57" s="15"/>
      <c r="CTH57" s="15"/>
      <c r="CTI57" s="15"/>
      <c r="CTJ57" s="15"/>
      <c r="CTK57" s="15"/>
      <c r="CTL57" s="15"/>
      <c r="CTM57" s="15"/>
      <c r="CTN57" s="15"/>
      <c r="CTO57" s="15"/>
      <c r="CTP57" s="15"/>
      <c r="CTQ57" s="15"/>
      <c r="CTR57" s="15"/>
      <c r="CTS57" s="15"/>
      <c r="CTT57" s="15"/>
      <c r="CTU57" s="15"/>
      <c r="CTV57" s="15"/>
      <c r="CTW57" s="15"/>
      <c r="CTX57" s="15"/>
      <c r="CTY57" s="15"/>
      <c r="CTZ57" s="15"/>
      <c r="CUA57" s="15"/>
      <c r="CUB57" s="15"/>
      <c r="CUC57" s="15"/>
      <c r="CUD57" s="15"/>
      <c r="CUE57" s="15"/>
      <c r="CUF57" s="15"/>
      <c r="CUG57" s="15"/>
      <c r="CUH57" s="15"/>
      <c r="CUI57" s="15"/>
      <c r="CUJ57" s="15"/>
      <c r="CUK57" s="15"/>
      <c r="CUL57" s="15"/>
      <c r="CUM57" s="15"/>
      <c r="CUN57" s="15"/>
      <c r="CUO57" s="15"/>
      <c r="CUP57" s="15"/>
      <c r="CUQ57" s="15"/>
      <c r="CUR57" s="15"/>
      <c r="CUS57" s="15"/>
      <c r="CUT57" s="15"/>
      <c r="CUU57" s="15"/>
      <c r="CUV57" s="15"/>
      <c r="CUW57" s="15"/>
      <c r="CUX57" s="15"/>
      <c r="CUY57" s="15"/>
      <c r="CUZ57" s="15"/>
      <c r="CVA57" s="15"/>
      <c r="CVB57" s="15"/>
      <c r="CVC57" s="15"/>
      <c r="CVD57" s="15"/>
      <c r="CVE57" s="15"/>
      <c r="CVF57" s="15"/>
      <c r="CVG57" s="15"/>
      <c r="CVH57" s="15"/>
      <c r="CVI57" s="15"/>
      <c r="CVJ57" s="15"/>
      <c r="CVK57" s="15"/>
      <c r="CVL57" s="15"/>
      <c r="CVM57" s="15"/>
      <c r="CVN57" s="15"/>
      <c r="CVO57" s="15"/>
      <c r="CVP57" s="15"/>
      <c r="CVQ57" s="15"/>
      <c r="CVR57" s="15"/>
      <c r="CVS57" s="15"/>
      <c r="CVT57" s="15"/>
      <c r="CVU57" s="15"/>
      <c r="CVV57" s="15"/>
      <c r="CVW57" s="15"/>
      <c r="CVX57" s="15"/>
      <c r="CVY57" s="15"/>
      <c r="CVZ57" s="15"/>
      <c r="CWA57" s="15"/>
      <c r="CWB57" s="15"/>
      <c r="CWC57" s="15"/>
      <c r="CWD57" s="15"/>
      <c r="CWE57" s="15"/>
      <c r="CWF57" s="15"/>
      <c r="CWG57" s="15"/>
      <c r="CWH57" s="15"/>
      <c r="CWI57" s="15"/>
      <c r="CWJ57" s="15"/>
      <c r="CWK57" s="15"/>
      <c r="CWL57" s="15"/>
      <c r="CWM57" s="15"/>
      <c r="CWN57" s="15"/>
      <c r="CWO57" s="15"/>
      <c r="CWP57" s="15"/>
      <c r="CWQ57" s="15"/>
      <c r="CWR57" s="15"/>
      <c r="CWS57" s="15"/>
      <c r="CWT57" s="15"/>
      <c r="CWU57" s="15"/>
      <c r="CWV57" s="15"/>
      <c r="CWW57" s="15"/>
      <c r="CWX57" s="15"/>
      <c r="CWY57" s="15"/>
      <c r="CWZ57" s="15"/>
      <c r="CXA57" s="15"/>
      <c r="CXB57" s="15"/>
      <c r="CXC57" s="15"/>
      <c r="CXD57" s="15"/>
      <c r="CXE57" s="15"/>
      <c r="CXF57" s="15"/>
      <c r="CXG57" s="15"/>
      <c r="CXH57" s="15"/>
      <c r="CXI57" s="15"/>
      <c r="CXJ57" s="15"/>
      <c r="CXK57" s="15"/>
      <c r="CXL57" s="15"/>
      <c r="CXM57" s="15"/>
      <c r="CXN57" s="15"/>
      <c r="CXO57" s="15"/>
      <c r="CXP57" s="15"/>
      <c r="CXQ57" s="15"/>
      <c r="CXR57" s="15"/>
      <c r="CXS57" s="15"/>
      <c r="CXT57" s="15"/>
      <c r="CXU57" s="15"/>
      <c r="CXV57" s="15"/>
      <c r="CXW57" s="15"/>
      <c r="CXX57" s="15"/>
      <c r="CXY57" s="15"/>
      <c r="CXZ57" s="15"/>
      <c r="CYA57" s="15"/>
      <c r="CYB57" s="15"/>
      <c r="CYC57" s="15"/>
      <c r="CYD57" s="15"/>
      <c r="CYE57" s="15"/>
      <c r="CYF57" s="15"/>
      <c r="CYG57" s="15"/>
      <c r="CYH57" s="15"/>
      <c r="CYI57" s="15"/>
      <c r="CYJ57" s="15"/>
      <c r="CYK57" s="15"/>
      <c r="CYL57" s="15"/>
      <c r="CYM57" s="15"/>
      <c r="CYN57" s="15"/>
      <c r="CYO57" s="15"/>
      <c r="CYP57" s="15"/>
      <c r="CYQ57" s="15"/>
      <c r="CYR57" s="15"/>
      <c r="CYS57" s="15"/>
      <c r="CYT57" s="15"/>
      <c r="CYU57" s="15"/>
      <c r="CYV57" s="15"/>
      <c r="CYW57" s="15"/>
      <c r="CYX57" s="15"/>
      <c r="CYY57" s="15"/>
      <c r="CYZ57" s="15"/>
      <c r="CZA57" s="15"/>
      <c r="CZB57" s="15"/>
      <c r="CZC57" s="15"/>
      <c r="CZD57" s="15"/>
      <c r="CZE57" s="15"/>
      <c r="CZF57" s="15"/>
      <c r="CZG57" s="15"/>
      <c r="CZH57" s="15"/>
      <c r="CZI57" s="15"/>
      <c r="CZJ57" s="15"/>
      <c r="CZK57" s="15"/>
      <c r="CZL57" s="15"/>
      <c r="CZM57" s="15"/>
      <c r="CZN57" s="15"/>
      <c r="CZO57" s="15"/>
      <c r="CZP57" s="15"/>
      <c r="CZQ57" s="15"/>
      <c r="CZR57" s="15"/>
      <c r="CZS57" s="15"/>
      <c r="CZT57" s="15"/>
      <c r="CZU57" s="15"/>
      <c r="CZV57" s="15"/>
      <c r="CZW57" s="15"/>
      <c r="CZX57" s="15"/>
      <c r="CZY57" s="15"/>
      <c r="CZZ57" s="15"/>
      <c r="DAA57" s="15"/>
      <c r="DAB57" s="15"/>
      <c r="DAC57" s="15"/>
      <c r="DAD57" s="15"/>
      <c r="DAE57" s="15"/>
      <c r="DAF57" s="15"/>
      <c r="DAG57" s="15"/>
      <c r="DAH57" s="15"/>
      <c r="DAI57" s="15"/>
      <c r="DAJ57" s="15"/>
      <c r="DAK57" s="15"/>
      <c r="DAL57" s="15"/>
      <c r="DAM57" s="15"/>
      <c r="DAN57" s="15"/>
      <c r="DAO57" s="15"/>
      <c r="DAP57" s="15"/>
      <c r="DAQ57" s="15"/>
      <c r="DAR57" s="15"/>
      <c r="DAS57" s="15"/>
      <c r="DAT57" s="15"/>
      <c r="DAU57" s="15"/>
      <c r="DAV57" s="15"/>
      <c r="DAW57" s="15"/>
      <c r="DAX57" s="15"/>
      <c r="DAY57" s="15"/>
      <c r="DAZ57" s="15"/>
      <c r="DBA57" s="15"/>
      <c r="DBB57" s="15"/>
      <c r="DBC57" s="15"/>
      <c r="DBD57" s="15"/>
      <c r="DBE57" s="15"/>
      <c r="DBF57" s="15"/>
      <c r="DBG57" s="15"/>
      <c r="DBH57" s="15"/>
      <c r="DBI57" s="15"/>
      <c r="DBJ57" s="15"/>
      <c r="DBK57" s="15"/>
      <c r="DBL57" s="15"/>
      <c r="DBM57" s="15"/>
      <c r="DBN57" s="15"/>
      <c r="DBO57" s="15"/>
      <c r="DBP57" s="15"/>
      <c r="DBQ57" s="15"/>
      <c r="DBR57" s="15"/>
      <c r="DBS57" s="15"/>
      <c r="DBT57" s="15"/>
      <c r="DBU57" s="15"/>
      <c r="DBV57" s="15"/>
      <c r="DBW57" s="15"/>
      <c r="DBX57" s="15"/>
      <c r="DBY57" s="15"/>
      <c r="DBZ57" s="15"/>
      <c r="DCA57" s="15"/>
      <c r="DCB57" s="15"/>
      <c r="DCC57" s="15"/>
      <c r="DCD57" s="15"/>
      <c r="DCE57" s="15"/>
      <c r="DCF57" s="15"/>
      <c r="DCG57" s="15"/>
      <c r="DCH57" s="15"/>
      <c r="DCI57" s="15"/>
      <c r="DCJ57" s="15"/>
      <c r="DCK57" s="15"/>
      <c r="DCL57" s="15"/>
      <c r="DCM57" s="15"/>
      <c r="DCN57" s="15"/>
      <c r="DCO57" s="15"/>
      <c r="DCP57" s="15"/>
      <c r="DCQ57" s="15"/>
      <c r="DCR57" s="15"/>
      <c r="DCS57" s="15"/>
      <c r="DCT57" s="15"/>
      <c r="DCU57" s="15"/>
      <c r="DCV57" s="15"/>
      <c r="DCW57" s="15"/>
      <c r="DCX57" s="15"/>
      <c r="DCY57" s="15"/>
      <c r="DCZ57" s="15"/>
      <c r="DDA57" s="15"/>
      <c r="DDB57" s="15"/>
      <c r="DDC57" s="15"/>
      <c r="DDD57" s="15"/>
      <c r="DDE57" s="15"/>
      <c r="DDF57" s="15"/>
      <c r="DDG57" s="15"/>
      <c r="DDH57" s="15"/>
      <c r="DDI57" s="15"/>
      <c r="DDJ57" s="15"/>
      <c r="DDK57" s="15"/>
      <c r="DDL57" s="15"/>
      <c r="DDM57" s="15"/>
      <c r="DDN57" s="15"/>
      <c r="DDO57" s="15"/>
      <c r="DDP57" s="15"/>
      <c r="DDQ57" s="15"/>
      <c r="DDR57" s="15"/>
      <c r="DDS57" s="15"/>
      <c r="DDT57" s="15"/>
      <c r="DDU57" s="15"/>
      <c r="DDV57" s="15"/>
      <c r="DDW57" s="15"/>
      <c r="DDX57" s="15"/>
      <c r="DDY57" s="15"/>
      <c r="DDZ57" s="15"/>
      <c r="DEA57" s="15"/>
      <c r="DEB57" s="15"/>
      <c r="DEC57" s="15"/>
      <c r="DED57" s="15"/>
      <c r="DEE57" s="15"/>
      <c r="DEF57" s="15"/>
      <c r="DEG57" s="15"/>
      <c r="DEH57" s="15"/>
      <c r="DEI57" s="15"/>
      <c r="DEJ57" s="15"/>
      <c r="DEK57" s="15"/>
      <c r="DEL57" s="15"/>
      <c r="DEM57" s="15"/>
      <c r="DEN57" s="15"/>
      <c r="DEO57" s="15"/>
      <c r="DEP57" s="15"/>
      <c r="DEQ57" s="15"/>
      <c r="DER57" s="15"/>
      <c r="DES57" s="15"/>
      <c r="DET57" s="15"/>
      <c r="DEU57" s="15"/>
      <c r="DEV57" s="15"/>
      <c r="DEW57" s="15"/>
      <c r="DEX57" s="15"/>
      <c r="DEY57" s="15"/>
      <c r="DEZ57" s="15"/>
      <c r="DFA57" s="15"/>
      <c r="DFB57" s="15"/>
      <c r="DFC57" s="15"/>
      <c r="DFD57" s="15"/>
      <c r="DFE57" s="15"/>
      <c r="DFF57" s="15"/>
      <c r="DFG57" s="15"/>
      <c r="DFH57" s="15"/>
      <c r="DFI57" s="15"/>
      <c r="DFJ57" s="15"/>
      <c r="DFK57" s="15"/>
      <c r="DFL57" s="15"/>
      <c r="DFM57" s="15"/>
      <c r="DFN57" s="15"/>
      <c r="DFO57" s="15"/>
      <c r="DFP57" s="15"/>
      <c r="DFQ57" s="15"/>
      <c r="DFR57" s="15"/>
      <c r="DFS57" s="15"/>
      <c r="DFT57" s="15"/>
      <c r="DFU57" s="15"/>
      <c r="DFV57" s="15"/>
      <c r="DFW57" s="15"/>
      <c r="DFX57" s="15"/>
      <c r="DFY57" s="15"/>
      <c r="DFZ57" s="15"/>
      <c r="DGA57" s="15"/>
      <c r="DGB57" s="15"/>
      <c r="DGC57" s="15"/>
      <c r="DGD57" s="15"/>
      <c r="DGE57" s="15"/>
      <c r="DGF57" s="15"/>
      <c r="DGG57" s="15"/>
      <c r="DGH57" s="15"/>
      <c r="DGI57" s="15"/>
      <c r="DGJ57" s="15"/>
      <c r="DGK57" s="15"/>
      <c r="DGL57" s="15"/>
      <c r="DGM57" s="15"/>
      <c r="DGN57" s="15"/>
      <c r="DGO57" s="15"/>
      <c r="DGP57" s="15"/>
      <c r="DGQ57" s="15"/>
      <c r="DGR57" s="15"/>
      <c r="DGS57" s="15"/>
      <c r="DGT57" s="15"/>
      <c r="DGU57" s="15"/>
      <c r="DGV57" s="15"/>
      <c r="DGW57" s="15"/>
      <c r="DGX57" s="15"/>
      <c r="DGY57" s="15"/>
      <c r="DGZ57" s="15"/>
      <c r="DHA57" s="15"/>
      <c r="DHB57" s="15"/>
      <c r="DHC57" s="15"/>
      <c r="DHD57" s="15"/>
      <c r="DHE57" s="15"/>
      <c r="DHF57" s="15"/>
      <c r="DHG57" s="15"/>
      <c r="DHH57" s="15"/>
      <c r="DHI57" s="15"/>
      <c r="DHJ57" s="15"/>
      <c r="DHK57" s="15"/>
      <c r="DHL57" s="15"/>
      <c r="DHM57" s="15"/>
      <c r="DHN57" s="15"/>
      <c r="DHO57" s="15"/>
      <c r="DHP57" s="15"/>
      <c r="DHQ57" s="15"/>
      <c r="DHR57" s="15"/>
      <c r="DHS57" s="15"/>
      <c r="DHT57" s="15"/>
      <c r="DHU57" s="15"/>
      <c r="DHV57" s="15"/>
      <c r="DHW57" s="15"/>
      <c r="DHX57" s="15"/>
      <c r="DHY57" s="15"/>
      <c r="DHZ57" s="15"/>
      <c r="DIA57" s="15"/>
      <c r="DIB57" s="15"/>
      <c r="DIC57" s="15"/>
      <c r="DID57" s="15"/>
      <c r="DIE57" s="15"/>
      <c r="DIF57" s="15"/>
      <c r="DIG57" s="15"/>
      <c r="DIH57" s="15"/>
      <c r="DII57" s="15"/>
      <c r="DIJ57" s="15"/>
      <c r="DIK57" s="15"/>
      <c r="DIL57" s="15"/>
      <c r="DIM57" s="15"/>
      <c r="DIN57" s="15"/>
      <c r="DIO57" s="15"/>
      <c r="DIP57" s="15"/>
      <c r="DIQ57" s="15"/>
      <c r="DIR57" s="15"/>
      <c r="DIS57" s="15"/>
      <c r="DIT57" s="15"/>
      <c r="DIU57" s="15"/>
      <c r="DIV57" s="15"/>
      <c r="DIW57" s="15"/>
      <c r="DIX57" s="15"/>
      <c r="DIY57" s="15"/>
      <c r="DIZ57" s="15"/>
      <c r="DJA57" s="15"/>
      <c r="DJB57" s="15"/>
      <c r="DJC57" s="15"/>
      <c r="DJD57" s="15"/>
      <c r="DJE57" s="15"/>
      <c r="DJF57" s="15"/>
      <c r="DJG57" s="15"/>
      <c r="DJH57" s="15"/>
      <c r="DJI57" s="15"/>
      <c r="DJJ57" s="15"/>
      <c r="DJK57" s="15"/>
      <c r="DJL57" s="15"/>
      <c r="DJM57" s="15"/>
      <c r="DJN57" s="15"/>
      <c r="DJO57" s="15"/>
      <c r="DJP57" s="15"/>
      <c r="DJQ57" s="15"/>
      <c r="DJR57" s="15"/>
      <c r="DJS57" s="15"/>
      <c r="DJT57" s="15"/>
      <c r="DJU57" s="15"/>
      <c r="DJV57" s="15"/>
      <c r="DJW57" s="15"/>
      <c r="DJX57" s="15"/>
      <c r="DJY57" s="15"/>
      <c r="DJZ57" s="15"/>
      <c r="DKA57" s="15"/>
      <c r="DKB57" s="15"/>
      <c r="DKC57" s="15"/>
      <c r="DKD57" s="15"/>
      <c r="DKE57" s="15"/>
      <c r="DKF57" s="15"/>
      <c r="DKG57" s="15"/>
      <c r="DKH57" s="15"/>
      <c r="DKI57" s="15"/>
      <c r="DKJ57" s="15"/>
      <c r="DKK57" s="15"/>
      <c r="DKL57" s="15"/>
      <c r="DKM57" s="15"/>
      <c r="DKN57" s="15"/>
      <c r="DKO57" s="15"/>
      <c r="DKP57" s="15"/>
      <c r="DKQ57" s="15"/>
      <c r="DKR57" s="15"/>
      <c r="DKS57" s="15"/>
      <c r="DKT57" s="15"/>
      <c r="DKU57" s="15"/>
      <c r="DKV57" s="15"/>
      <c r="DKW57" s="15"/>
      <c r="DKX57" s="15"/>
      <c r="DKY57" s="15"/>
      <c r="DKZ57" s="15"/>
      <c r="DLA57" s="15"/>
      <c r="DLB57" s="15"/>
      <c r="DLC57" s="15"/>
      <c r="DLD57" s="15"/>
      <c r="DLE57" s="15"/>
      <c r="DLF57" s="15"/>
      <c r="DLG57" s="15"/>
      <c r="DLH57" s="15"/>
      <c r="DLI57" s="15"/>
      <c r="DLJ57" s="15"/>
      <c r="DLK57" s="15"/>
      <c r="DLL57" s="15"/>
      <c r="DLM57" s="15"/>
      <c r="DLN57" s="15"/>
      <c r="DLO57" s="15"/>
      <c r="DLP57" s="15"/>
      <c r="DLQ57" s="15"/>
      <c r="DLR57" s="15"/>
      <c r="DLS57" s="15"/>
      <c r="DLT57" s="15"/>
      <c r="DLU57" s="15"/>
      <c r="DLV57" s="15"/>
      <c r="DLW57" s="15"/>
      <c r="DLX57" s="15"/>
      <c r="DLY57" s="15"/>
      <c r="DLZ57" s="15"/>
      <c r="DMA57" s="15"/>
      <c r="DMB57" s="15"/>
      <c r="DMC57" s="15"/>
      <c r="DMD57" s="15"/>
      <c r="DME57" s="15"/>
      <c r="DMF57" s="15"/>
      <c r="DMG57" s="15"/>
      <c r="DMH57" s="15"/>
      <c r="DMI57" s="15"/>
      <c r="DMJ57" s="15"/>
      <c r="DMK57" s="15"/>
      <c r="DML57" s="15"/>
      <c r="DMM57" s="15"/>
      <c r="DMN57" s="15"/>
      <c r="DMO57" s="15"/>
      <c r="DMP57" s="15"/>
      <c r="DMQ57" s="15"/>
      <c r="DMR57" s="15"/>
      <c r="DMS57" s="15"/>
      <c r="DMT57" s="15"/>
      <c r="DMU57" s="15"/>
      <c r="DMV57" s="15"/>
      <c r="DMW57" s="15"/>
      <c r="DMX57" s="15"/>
      <c r="DMY57" s="15"/>
      <c r="DMZ57" s="15"/>
      <c r="DNA57" s="15"/>
      <c r="DNB57" s="15"/>
      <c r="DNC57" s="15"/>
      <c r="DND57" s="15"/>
      <c r="DNE57" s="15"/>
      <c r="DNF57" s="15"/>
      <c r="DNG57" s="15"/>
      <c r="DNH57" s="15"/>
      <c r="DNI57" s="15"/>
      <c r="DNJ57" s="15"/>
      <c r="DNK57" s="15"/>
      <c r="DNL57" s="15"/>
      <c r="DNM57" s="15"/>
      <c r="DNN57" s="15"/>
      <c r="DNO57" s="15"/>
      <c r="DNP57" s="15"/>
      <c r="DNQ57" s="15"/>
      <c r="DNR57" s="15"/>
      <c r="DNS57" s="15"/>
      <c r="DNT57" s="15"/>
      <c r="DNU57" s="15"/>
      <c r="DNV57" s="15"/>
      <c r="DNW57" s="15"/>
      <c r="DNX57" s="15"/>
      <c r="DNY57" s="15"/>
      <c r="DNZ57" s="15"/>
      <c r="DOA57" s="15"/>
      <c r="DOB57" s="15"/>
      <c r="DOC57" s="15"/>
      <c r="DOD57" s="15"/>
      <c r="DOE57" s="15"/>
      <c r="DOF57" s="15"/>
      <c r="DOG57" s="15"/>
      <c r="DOH57" s="15"/>
      <c r="DOI57" s="15"/>
      <c r="DOJ57" s="15"/>
      <c r="DOK57" s="15"/>
      <c r="DOL57" s="15"/>
      <c r="DOM57" s="15"/>
      <c r="DON57" s="15"/>
      <c r="DOO57" s="15"/>
      <c r="DOP57" s="15"/>
      <c r="DOQ57" s="15"/>
      <c r="DOR57" s="15"/>
      <c r="DOS57" s="15"/>
      <c r="DOT57" s="15"/>
      <c r="DOU57" s="15"/>
      <c r="DOV57" s="15"/>
      <c r="DOW57" s="15"/>
      <c r="DOX57" s="15"/>
      <c r="DOY57" s="15"/>
      <c r="DOZ57" s="15"/>
      <c r="DPA57" s="15"/>
      <c r="DPB57" s="15"/>
      <c r="DPC57" s="15"/>
      <c r="DPD57" s="15"/>
      <c r="DPE57" s="15"/>
      <c r="DPF57" s="15"/>
      <c r="DPG57" s="15"/>
      <c r="DPH57" s="15"/>
      <c r="DPI57" s="15"/>
      <c r="DPJ57" s="15"/>
      <c r="DPK57" s="15"/>
      <c r="DPL57" s="15"/>
      <c r="DPM57" s="15"/>
      <c r="DPN57" s="15"/>
      <c r="DPO57" s="15"/>
      <c r="DPP57" s="15"/>
      <c r="DPQ57" s="15"/>
      <c r="DPR57" s="15"/>
      <c r="DPS57" s="15"/>
      <c r="DPT57" s="15"/>
      <c r="DPU57" s="15"/>
      <c r="DPV57" s="15"/>
      <c r="DPW57" s="15"/>
      <c r="DPX57" s="15"/>
      <c r="DPY57" s="15"/>
      <c r="DPZ57" s="15"/>
      <c r="DQA57" s="15"/>
      <c r="DQB57" s="15"/>
      <c r="DQC57" s="15"/>
      <c r="DQD57" s="15"/>
      <c r="DQE57" s="15"/>
      <c r="DQF57" s="15"/>
      <c r="DQG57" s="15"/>
      <c r="DQH57" s="15"/>
      <c r="DQI57" s="15"/>
      <c r="DQJ57" s="15"/>
      <c r="DQK57" s="15"/>
      <c r="DQL57" s="15"/>
      <c r="DQM57" s="15"/>
      <c r="DQN57" s="15"/>
      <c r="DQO57" s="15"/>
      <c r="DQP57" s="15"/>
      <c r="DQQ57" s="15"/>
      <c r="DQR57" s="15"/>
      <c r="DQS57" s="15"/>
      <c r="DQT57" s="15"/>
      <c r="DQU57" s="15"/>
      <c r="DQV57" s="15"/>
      <c r="DQW57" s="15"/>
      <c r="DQX57" s="15"/>
      <c r="DQY57" s="15"/>
      <c r="DQZ57" s="15"/>
      <c r="DRA57" s="15"/>
      <c r="DRB57" s="15"/>
      <c r="DRC57" s="15"/>
      <c r="DRD57" s="15"/>
      <c r="DRE57" s="15"/>
      <c r="DRF57" s="15"/>
      <c r="DRG57" s="15"/>
      <c r="DRH57" s="15"/>
      <c r="DRI57" s="15"/>
      <c r="DRJ57" s="15"/>
      <c r="DRK57" s="15"/>
      <c r="DRL57" s="15"/>
      <c r="DRM57" s="15"/>
      <c r="DRN57" s="15"/>
      <c r="DRO57" s="15"/>
      <c r="DRP57" s="15"/>
      <c r="DRQ57" s="15"/>
      <c r="DRR57" s="15"/>
      <c r="DRS57" s="15"/>
      <c r="DRT57" s="15"/>
      <c r="DRU57" s="15"/>
      <c r="DRV57" s="15"/>
      <c r="DRW57" s="15"/>
      <c r="DRX57" s="15"/>
      <c r="DRY57" s="15"/>
      <c r="DRZ57" s="15"/>
      <c r="DSA57" s="15"/>
      <c r="DSB57" s="15"/>
      <c r="DSC57" s="15"/>
      <c r="DSD57" s="15"/>
      <c r="DSE57" s="15"/>
      <c r="DSF57" s="15"/>
      <c r="DSG57" s="15"/>
      <c r="DSH57" s="15"/>
      <c r="DSI57" s="15"/>
      <c r="DSJ57" s="15"/>
      <c r="DSK57" s="15"/>
      <c r="DSL57" s="15"/>
      <c r="DSM57" s="15"/>
      <c r="DSN57" s="15"/>
      <c r="DSO57" s="15"/>
      <c r="DSP57" s="15"/>
      <c r="DSQ57" s="15"/>
      <c r="DSR57" s="15"/>
      <c r="DSS57" s="15"/>
      <c r="DST57" s="15"/>
      <c r="DSU57" s="15"/>
      <c r="DSV57" s="15"/>
      <c r="DSW57" s="15"/>
      <c r="DSX57" s="15"/>
      <c r="DSY57" s="15"/>
      <c r="DSZ57" s="15"/>
      <c r="DTA57" s="15"/>
      <c r="DTB57" s="15"/>
      <c r="DTC57" s="15"/>
      <c r="DTD57" s="15"/>
      <c r="DTE57" s="15"/>
      <c r="DTF57" s="15"/>
      <c r="DTG57" s="15"/>
      <c r="DTH57" s="15"/>
      <c r="DTI57" s="15"/>
      <c r="DTJ57" s="15"/>
      <c r="DTK57" s="15"/>
      <c r="DTL57" s="15"/>
      <c r="DTM57" s="15"/>
      <c r="DTN57" s="15"/>
      <c r="DTO57" s="15"/>
      <c r="DTP57" s="15"/>
      <c r="DTQ57" s="15"/>
      <c r="DTR57" s="15"/>
      <c r="DTS57" s="15"/>
      <c r="DTT57" s="15"/>
      <c r="DTU57" s="15"/>
      <c r="DTV57" s="15"/>
      <c r="DTW57" s="15"/>
      <c r="DTX57" s="15"/>
      <c r="DTY57" s="15"/>
      <c r="DTZ57" s="15"/>
      <c r="DUA57" s="15"/>
      <c r="DUB57" s="15"/>
      <c r="DUC57" s="15"/>
      <c r="DUD57" s="15"/>
      <c r="DUE57" s="15"/>
      <c r="DUF57" s="15"/>
      <c r="DUG57" s="15"/>
      <c r="DUH57" s="15"/>
      <c r="DUI57" s="15"/>
      <c r="DUJ57" s="15"/>
      <c r="DUK57" s="15"/>
      <c r="DUL57" s="15"/>
      <c r="DUM57" s="15"/>
      <c r="DUN57" s="15"/>
      <c r="DUO57" s="15"/>
      <c r="DUP57" s="15"/>
      <c r="DUQ57" s="15"/>
      <c r="DUR57" s="15"/>
      <c r="DUS57" s="15"/>
      <c r="DUT57" s="15"/>
      <c r="DUU57" s="15"/>
      <c r="DUV57" s="15"/>
      <c r="DUW57" s="15"/>
      <c r="DUX57" s="15"/>
      <c r="DUY57" s="15"/>
      <c r="DUZ57" s="15"/>
      <c r="DVA57" s="15"/>
      <c r="DVB57" s="15"/>
      <c r="DVC57" s="15"/>
      <c r="DVD57" s="15"/>
      <c r="DVE57" s="15"/>
      <c r="DVF57" s="15"/>
      <c r="DVG57" s="15"/>
      <c r="DVH57" s="15"/>
      <c r="DVI57" s="15"/>
      <c r="DVJ57" s="15"/>
      <c r="DVK57" s="15"/>
      <c r="DVL57" s="15"/>
      <c r="DVM57" s="15"/>
      <c r="DVN57" s="15"/>
      <c r="DVO57" s="15"/>
      <c r="DVP57" s="15"/>
      <c r="DVQ57" s="15"/>
      <c r="DVR57" s="15"/>
      <c r="DVS57" s="15"/>
      <c r="DVT57" s="15"/>
      <c r="DVU57" s="15"/>
      <c r="DVV57" s="15"/>
      <c r="DVW57" s="15"/>
      <c r="DVX57" s="15"/>
      <c r="DVY57" s="15"/>
      <c r="DVZ57" s="15"/>
      <c r="DWA57" s="15"/>
      <c r="DWB57" s="15"/>
      <c r="DWC57" s="15"/>
      <c r="DWD57" s="15"/>
      <c r="DWE57" s="15"/>
      <c r="DWF57" s="15"/>
      <c r="DWG57" s="15"/>
      <c r="DWH57" s="15"/>
      <c r="DWI57" s="15"/>
      <c r="DWJ57" s="15"/>
      <c r="DWK57" s="15"/>
      <c r="DWL57" s="15"/>
      <c r="DWM57" s="15"/>
      <c r="DWN57" s="15"/>
      <c r="DWO57" s="15"/>
      <c r="DWP57" s="15"/>
      <c r="DWQ57" s="15"/>
      <c r="DWR57" s="15"/>
      <c r="DWS57" s="15"/>
      <c r="DWT57" s="15"/>
      <c r="DWU57" s="15"/>
      <c r="DWV57" s="15"/>
      <c r="DWW57" s="15"/>
      <c r="DWX57" s="15"/>
      <c r="DWY57" s="15"/>
      <c r="DWZ57" s="15"/>
      <c r="DXA57" s="15"/>
      <c r="DXB57" s="15"/>
      <c r="DXC57" s="15"/>
      <c r="DXD57" s="15"/>
      <c r="DXE57" s="15"/>
      <c r="DXF57" s="15"/>
      <c r="DXG57" s="15"/>
      <c r="DXH57" s="15"/>
      <c r="DXI57" s="15"/>
      <c r="DXJ57" s="15"/>
      <c r="DXK57" s="15"/>
      <c r="DXL57" s="15"/>
      <c r="DXM57" s="15"/>
      <c r="DXN57" s="15"/>
      <c r="DXO57" s="15"/>
      <c r="DXP57" s="15"/>
      <c r="DXQ57" s="15"/>
      <c r="DXR57" s="15"/>
      <c r="DXS57" s="15"/>
      <c r="DXT57" s="15"/>
      <c r="DXU57" s="15"/>
      <c r="DXV57" s="15"/>
      <c r="DXW57" s="15"/>
      <c r="DXX57" s="15"/>
      <c r="DXY57" s="15"/>
      <c r="DXZ57" s="15"/>
      <c r="DYA57" s="15"/>
      <c r="DYB57" s="15"/>
      <c r="DYC57" s="15"/>
      <c r="DYD57" s="15"/>
      <c r="DYE57" s="15"/>
      <c r="DYF57" s="15"/>
      <c r="DYG57" s="15"/>
      <c r="DYH57" s="15"/>
      <c r="DYI57" s="15"/>
      <c r="DYJ57" s="15"/>
      <c r="DYK57" s="15"/>
      <c r="DYL57" s="15"/>
      <c r="DYM57" s="15"/>
      <c r="DYN57" s="15"/>
      <c r="DYO57" s="15"/>
      <c r="DYP57" s="15"/>
      <c r="DYQ57" s="15"/>
      <c r="DYR57" s="15"/>
      <c r="DYS57" s="15"/>
      <c r="DYT57" s="15"/>
      <c r="DYU57" s="15"/>
      <c r="DYV57" s="15"/>
      <c r="DYW57" s="15"/>
      <c r="DYX57" s="15"/>
      <c r="DYY57" s="15"/>
      <c r="DYZ57" s="15"/>
      <c r="DZA57" s="15"/>
      <c r="DZB57" s="15"/>
      <c r="DZC57" s="15"/>
      <c r="DZD57" s="15"/>
      <c r="DZE57" s="15"/>
      <c r="DZF57" s="15"/>
      <c r="DZG57" s="15"/>
      <c r="DZH57" s="15"/>
      <c r="DZI57" s="15"/>
      <c r="DZJ57" s="15"/>
      <c r="DZK57" s="15"/>
      <c r="DZL57" s="15"/>
      <c r="DZM57" s="15"/>
      <c r="DZN57" s="15"/>
      <c r="DZO57" s="15"/>
      <c r="DZP57" s="15"/>
      <c r="DZQ57" s="15"/>
      <c r="DZR57" s="15"/>
      <c r="DZS57" s="15"/>
      <c r="DZT57" s="15"/>
      <c r="DZU57" s="15"/>
      <c r="DZV57" s="15"/>
      <c r="DZW57" s="15"/>
      <c r="DZX57" s="15"/>
      <c r="DZY57" s="15"/>
      <c r="DZZ57" s="15"/>
      <c r="EAA57" s="15"/>
      <c r="EAB57" s="15"/>
      <c r="EAC57" s="15"/>
      <c r="EAD57" s="15"/>
      <c r="EAE57" s="15"/>
      <c r="EAF57" s="15"/>
      <c r="EAG57" s="15"/>
      <c r="EAH57" s="15"/>
      <c r="EAI57" s="15"/>
      <c r="EAJ57" s="15"/>
      <c r="EAK57" s="15"/>
      <c r="EAL57" s="15"/>
      <c r="EAM57" s="15"/>
      <c r="EAN57" s="15"/>
      <c r="EAO57" s="15"/>
      <c r="EAP57" s="15"/>
      <c r="EAQ57" s="15"/>
      <c r="EAR57" s="15"/>
      <c r="EAS57" s="15"/>
      <c r="EAT57" s="15"/>
      <c r="EAU57" s="15"/>
      <c r="EAV57" s="15"/>
      <c r="EAW57" s="15"/>
      <c r="EAX57" s="15"/>
      <c r="EAY57" s="15"/>
      <c r="EAZ57" s="15"/>
      <c r="EBA57" s="15"/>
      <c r="EBB57" s="15"/>
      <c r="EBC57" s="15"/>
      <c r="EBD57" s="15"/>
      <c r="EBE57" s="15"/>
      <c r="EBF57" s="15"/>
      <c r="EBG57" s="15"/>
      <c r="EBH57" s="15"/>
      <c r="EBI57" s="15"/>
      <c r="EBJ57" s="15"/>
      <c r="EBK57" s="15"/>
      <c r="EBL57" s="15"/>
      <c r="EBM57" s="15"/>
      <c r="EBN57" s="15"/>
      <c r="EBO57" s="15"/>
      <c r="EBP57" s="15"/>
      <c r="EBQ57" s="15"/>
      <c r="EBR57" s="15"/>
      <c r="EBS57" s="15"/>
      <c r="EBT57" s="15"/>
      <c r="EBU57" s="15"/>
      <c r="EBV57" s="15"/>
      <c r="EBW57" s="15"/>
      <c r="EBX57" s="15"/>
      <c r="EBY57" s="15"/>
      <c r="EBZ57" s="15"/>
      <c r="ECA57" s="15"/>
      <c r="ECB57" s="15"/>
      <c r="ECC57" s="15"/>
      <c r="ECD57" s="15"/>
      <c r="ECE57" s="15"/>
      <c r="ECF57" s="15"/>
      <c r="ECG57" s="15"/>
      <c r="ECH57" s="15"/>
      <c r="ECI57" s="15"/>
      <c r="ECJ57" s="15"/>
      <c r="ECK57" s="15"/>
      <c r="ECL57" s="15"/>
      <c r="ECM57" s="15"/>
      <c r="ECN57" s="15"/>
      <c r="ECO57" s="15"/>
      <c r="ECP57" s="15"/>
      <c r="ECQ57" s="15"/>
      <c r="ECR57" s="15"/>
      <c r="ECS57" s="15"/>
      <c r="ECT57" s="15"/>
      <c r="ECU57" s="15"/>
      <c r="ECV57" s="15"/>
      <c r="ECW57" s="15"/>
      <c r="ECX57" s="15"/>
      <c r="ECY57" s="15"/>
      <c r="ECZ57" s="15"/>
      <c r="EDA57" s="15"/>
      <c r="EDB57" s="15"/>
      <c r="EDC57" s="15"/>
      <c r="EDD57" s="15"/>
      <c r="EDE57" s="15"/>
      <c r="EDF57" s="15"/>
      <c r="EDG57" s="15"/>
      <c r="EDH57" s="15"/>
      <c r="EDI57" s="15"/>
      <c r="EDJ57" s="15"/>
      <c r="EDK57" s="15"/>
      <c r="EDL57" s="15"/>
      <c r="EDM57" s="15"/>
      <c r="EDN57" s="15"/>
      <c r="EDO57" s="15"/>
      <c r="EDP57" s="15"/>
      <c r="EDQ57" s="15"/>
      <c r="EDR57" s="15"/>
      <c r="EDS57" s="15"/>
      <c r="EDT57" s="15"/>
      <c r="EDU57" s="15"/>
      <c r="EDV57" s="15"/>
      <c r="EDW57" s="15"/>
      <c r="EDX57" s="15"/>
      <c r="EDY57" s="15"/>
      <c r="EDZ57" s="15"/>
      <c r="EEA57" s="15"/>
      <c r="EEB57" s="15"/>
      <c r="EEC57" s="15"/>
      <c r="EED57" s="15"/>
      <c r="EEE57" s="15"/>
      <c r="EEF57" s="15"/>
      <c r="EEG57" s="15"/>
      <c r="EEH57" s="15"/>
      <c r="EEI57" s="15"/>
      <c r="EEJ57" s="15"/>
      <c r="EEK57" s="15"/>
      <c r="EEL57" s="15"/>
      <c r="EEM57" s="15"/>
      <c r="EEN57" s="15"/>
      <c r="EEO57" s="15"/>
      <c r="EEP57" s="15"/>
      <c r="EEQ57" s="15"/>
      <c r="EER57" s="15"/>
      <c r="EES57" s="15"/>
      <c r="EET57" s="15"/>
      <c r="EEU57" s="15"/>
      <c r="EEV57" s="15"/>
      <c r="EEW57" s="15"/>
      <c r="EEX57" s="15"/>
      <c r="EEY57" s="15"/>
      <c r="EEZ57" s="15"/>
      <c r="EFA57" s="15"/>
      <c r="EFB57" s="15"/>
      <c r="EFC57" s="15"/>
      <c r="EFD57" s="15"/>
      <c r="EFE57" s="15"/>
      <c r="EFF57" s="15"/>
      <c r="EFG57" s="15"/>
      <c r="EFH57" s="15"/>
      <c r="EFI57" s="15"/>
      <c r="EFJ57" s="15"/>
      <c r="EFK57" s="15"/>
      <c r="EFL57" s="15"/>
      <c r="EFM57" s="15"/>
      <c r="EFN57" s="15"/>
      <c r="EFO57" s="15"/>
      <c r="EFP57" s="15"/>
      <c r="EFQ57" s="15"/>
      <c r="EFR57" s="15"/>
      <c r="EFS57" s="15"/>
      <c r="EFT57" s="15"/>
      <c r="EFU57" s="15"/>
      <c r="EFV57" s="15"/>
      <c r="EFW57" s="15"/>
      <c r="EFX57" s="15"/>
      <c r="EFY57" s="15"/>
      <c r="EFZ57" s="15"/>
      <c r="EGA57" s="15"/>
      <c r="EGB57" s="15"/>
      <c r="EGC57" s="15"/>
      <c r="EGD57" s="15"/>
      <c r="EGE57" s="15"/>
      <c r="EGF57" s="15"/>
      <c r="EGG57" s="15"/>
      <c r="EGH57" s="15"/>
      <c r="EGI57" s="15"/>
      <c r="EGJ57" s="15"/>
      <c r="EGK57" s="15"/>
      <c r="EGL57" s="15"/>
      <c r="EGM57" s="15"/>
      <c r="EGN57" s="15"/>
      <c r="EGO57" s="15"/>
      <c r="EGP57" s="15"/>
      <c r="EGQ57" s="15"/>
      <c r="EGR57" s="15"/>
      <c r="EGS57" s="15"/>
      <c r="EGT57" s="15"/>
      <c r="EGU57" s="15"/>
      <c r="EGV57" s="15"/>
      <c r="EGW57" s="15"/>
      <c r="EGX57" s="15"/>
      <c r="EGY57" s="15"/>
      <c r="EGZ57" s="15"/>
      <c r="EHA57" s="15"/>
      <c r="EHB57" s="15"/>
      <c r="EHC57" s="15"/>
      <c r="EHD57" s="15"/>
      <c r="EHE57" s="15"/>
      <c r="EHF57" s="15"/>
      <c r="EHG57" s="15"/>
      <c r="EHH57" s="15"/>
      <c r="EHI57" s="15"/>
      <c r="EHJ57" s="15"/>
      <c r="EHK57" s="15"/>
      <c r="EHL57" s="15"/>
      <c r="EHM57" s="15"/>
      <c r="EHN57" s="15"/>
      <c r="EHO57" s="15"/>
      <c r="EHP57" s="15"/>
      <c r="EHQ57" s="15"/>
      <c r="EHR57" s="15"/>
      <c r="EHS57" s="15"/>
      <c r="EHT57" s="15"/>
      <c r="EHU57" s="15"/>
      <c r="EHV57" s="15"/>
      <c r="EHW57" s="15"/>
      <c r="EHX57" s="15"/>
      <c r="EHY57" s="15"/>
      <c r="EHZ57" s="15"/>
      <c r="EIA57" s="15"/>
      <c r="EIB57" s="15"/>
      <c r="EIC57" s="15"/>
      <c r="EID57" s="15"/>
      <c r="EIE57" s="15"/>
      <c r="EIF57" s="15"/>
      <c r="EIG57" s="15"/>
      <c r="EIH57" s="15"/>
      <c r="EII57" s="15"/>
      <c r="EIJ57" s="15"/>
      <c r="EIK57" s="15"/>
      <c r="EIL57" s="15"/>
      <c r="EIM57" s="15"/>
      <c r="EIN57" s="15"/>
      <c r="EIO57" s="15"/>
      <c r="EIP57" s="15"/>
      <c r="EIQ57" s="15"/>
      <c r="EIR57" s="15"/>
      <c r="EIS57" s="15"/>
      <c r="EIT57" s="15"/>
      <c r="EIU57" s="15"/>
      <c r="EIV57" s="15"/>
      <c r="EIW57" s="15"/>
      <c r="EIX57" s="15"/>
      <c r="EIY57" s="15"/>
      <c r="EIZ57" s="15"/>
      <c r="EJA57" s="15"/>
      <c r="EJB57" s="15"/>
      <c r="EJC57" s="15"/>
      <c r="EJD57" s="15"/>
      <c r="EJE57" s="15"/>
      <c r="EJF57" s="15"/>
      <c r="EJG57" s="15"/>
      <c r="EJH57" s="15"/>
      <c r="EJI57" s="15"/>
      <c r="EJJ57" s="15"/>
      <c r="EJK57" s="15"/>
      <c r="EJL57" s="15"/>
      <c r="EJM57" s="15"/>
      <c r="EJN57" s="15"/>
      <c r="EJO57" s="15"/>
      <c r="EJP57" s="15"/>
      <c r="EJQ57" s="15"/>
      <c r="EJR57" s="15"/>
      <c r="EJS57" s="15"/>
      <c r="EJT57" s="15"/>
      <c r="EJU57" s="15"/>
      <c r="EJV57" s="15"/>
      <c r="EJW57" s="15"/>
      <c r="EJX57" s="15"/>
      <c r="EJY57" s="15"/>
      <c r="EJZ57" s="15"/>
      <c r="EKA57" s="15"/>
      <c r="EKB57" s="15"/>
      <c r="EKC57" s="15"/>
      <c r="EKD57" s="15"/>
      <c r="EKE57" s="15"/>
      <c r="EKF57" s="15"/>
      <c r="EKG57" s="15"/>
      <c r="EKH57" s="15"/>
      <c r="EKI57" s="15"/>
      <c r="EKJ57" s="15"/>
      <c r="EKK57" s="15"/>
      <c r="EKL57" s="15"/>
      <c r="EKM57" s="15"/>
      <c r="EKN57" s="15"/>
      <c r="EKO57" s="15"/>
      <c r="EKP57" s="15"/>
      <c r="EKQ57" s="15"/>
      <c r="EKR57" s="15"/>
      <c r="EKS57" s="15"/>
      <c r="EKT57" s="15"/>
      <c r="EKU57" s="15"/>
      <c r="EKV57" s="15"/>
      <c r="EKW57" s="15"/>
      <c r="EKX57" s="15"/>
      <c r="EKY57" s="15"/>
      <c r="EKZ57" s="15"/>
      <c r="ELA57" s="15"/>
      <c r="ELB57" s="15"/>
      <c r="ELC57" s="15"/>
      <c r="ELD57" s="15"/>
      <c r="ELE57" s="15"/>
      <c r="ELF57" s="15"/>
      <c r="ELG57" s="15"/>
      <c r="ELH57" s="15"/>
      <c r="ELI57" s="15"/>
      <c r="ELJ57" s="15"/>
      <c r="ELK57" s="15"/>
      <c r="ELL57" s="15"/>
      <c r="ELM57" s="15"/>
      <c r="ELN57" s="15"/>
      <c r="ELO57" s="15"/>
      <c r="ELP57" s="15"/>
      <c r="ELQ57" s="15"/>
      <c r="ELR57" s="15"/>
      <c r="ELS57" s="15"/>
      <c r="ELT57" s="15"/>
      <c r="ELU57" s="15"/>
      <c r="ELV57" s="15"/>
      <c r="ELW57" s="15"/>
      <c r="ELX57" s="15"/>
      <c r="ELY57" s="15"/>
      <c r="ELZ57" s="15"/>
      <c r="EMA57" s="15"/>
      <c r="EMB57" s="15"/>
      <c r="EMC57" s="15"/>
      <c r="EMD57" s="15"/>
      <c r="EME57" s="15"/>
      <c r="EMF57" s="15"/>
      <c r="EMG57" s="15"/>
      <c r="EMH57" s="15"/>
      <c r="EMI57" s="15"/>
      <c r="EMJ57" s="15"/>
      <c r="EMK57" s="15"/>
      <c r="EML57" s="15"/>
      <c r="EMM57" s="15"/>
      <c r="EMN57" s="15"/>
      <c r="EMO57" s="15"/>
      <c r="EMP57" s="15"/>
      <c r="EMQ57" s="15"/>
      <c r="EMR57" s="15"/>
      <c r="EMS57" s="15"/>
      <c r="EMT57" s="15"/>
      <c r="EMU57" s="15"/>
      <c r="EMV57" s="15"/>
      <c r="EMW57" s="15"/>
      <c r="EMX57" s="15"/>
      <c r="EMY57" s="15"/>
      <c r="EMZ57" s="15"/>
      <c r="ENA57" s="15"/>
      <c r="ENB57" s="15"/>
      <c r="ENC57" s="15"/>
      <c r="END57" s="15"/>
      <c r="ENE57" s="15"/>
      <c r="ENF57" s="15"/>
      <c r="ENG57" s="15"/>
      <c r="ENH57" s="15"/>
      <c r="ENI57" s="15"/>
      <c r="ENJ57" s="15"/>
      <c r="ENK57" s="15"/>
      <c r="ENL57" s="15"/>
      <c r="ENM57" s="15"/>
      <c r="ENN57" s="15"/>
      <c r="ENO57" s="15"/>
      <c r="ENP57" s="15"/>
      <c r="ENQ57" s="15"/>
      <c r="ENR57" s="15"/>
      <c r="ENS57" s="15"/>
      <c r="ENT57" s="15"/>
      <c r="ENU57" s="15"/>
      <c r="ENV57" s="15"/>
      <c r="ENW57" s="15"/>
      <c r="ENX57" s="15"/>
      <c r="ENY57" s="15"/>
      <c r="ENZ57" s="15"/>
      <c r="EOA57" s="15"/>
      <c r="EOB57" s="15"/>
      <c r="EOC57" s="15"/>
      <c r="EOD57" s="15"/>
      <c r="EOE57" s="15"/>
      <c r="EOF57" s="15"/>
      <c r="EOG57" s="15"/>
      <c r="EOH57" s="15"/>
      <c r="EOI57" s="15"/>
      <c r="EOJ57" s="15"/>
      <c r="EOK57" s="15"/>
      <c r="EOL57" s="15"/>
      <c r="EOM57" s="15"/>
      <c r="EON57" s="15"/>
      <c r="EOO57" s="15"/>
      <c r="EOP57" s="15"/>
      <c r="EOQ57" s="15"/>
      <c r="EOR57" s="15"/>
      <c r="EOS57" s="15"/>
      <c r="EOT57" s="15"/>
      <c r="EOU57" s="15"/>
      <c r="EOV57" s="15"/>
      <c r="EOW57" s="15"/>
      <c r="EOX57" s="15"/>
      <c r="EOY57" s="15"/>
      <c r="EOZ57" s="15"/>
      <c r="EPA57" s="15"/>
      <c r="EPB57" s="15"/>
      <c r="EPC57" s="15"/>
      <c r="EPD57" s="15"/>
      <c r="EPE57" s="15"/>
      <c r="EPF57" s="15"/>
      <c r="EPG57" s="15"/>
      <c r="EPH57" s="15"/>
      <c r="EPI57" s="15"/>
      <c r="EPJ57" s="15"/>
      <c r="EPK57" s="15"/>
      <c r="EPL57" s="15"/>
      <c r="EPM57" s="15"/>
      <c r="EPN57" s="15"/>
      <c r="EPO57" s="15"/>
      <c r="EPP57" s="15"/>
      <c r="EPQ57" s="15"/>
      <c r="EPR57" s="15"/>
      <c r="EPS57" s="15"/>
      <c r="EPT57" s="15"/>
      <c r="EPU57" s="15"/>
      <c r="EPV57" s="15"/>
      <c r="EPW57" s="15"/>
      <c r="EPX57" s="15"/>
      <c r="EPY57" s="15"/>
      <c r="EPZ57" s="15"/>
      <c r="EQA57" s="15"/>
      <c r="EQB57" s="15"/>
      <c r="EQC57" s="15"/>
      <c r="EQD57" s="15"/>
      <c r="EQE57" s="15"/>
      <c r="EQF57" s="15"/>
      <c r="EQG57" s="15"/>
      <c r="EQH57" s="15"/>
      <c r="EQI57" s="15"/>
      <c r="EQJ57" s="15"/>
      <c r="EQK57" s="15"/>
      <c r="EQL57" s="15"/>
      <c r="EQM57" s="15"/>
      <c r="EQN57" s="15"/>
      <c r="EQO57" s="15"/>
      <c r="EQP57" s="15"/>
      <c r="EQQ57" s="15"/>
      <c r="EQR57" s="15"/>
      <c r="EQS57" s="15"/>
      <c r="EQT57" s="15"/>
      <c r="EQU57" s="15"/>
      <c r="EQV57" s="15"/>
      <c r="EQW57" s="15"/>
      <c r="EQX57" s="15"/>
      <c r="EQY57" s="15"/>
      <c r="EQZ57" s="15"/>
      <c r="ERA57" s="15"/>
      <c r="ERB57" s="15"/>
      <c r="ERC57" s="15"/>
      <c r="ERD57" s="15"/>
      <c r="ERE57" s="15"/>
      <c r="ERF57" s="15"/>
      <c r="ERG57" s="15"/>
      <c r="ERH57" s="15"/>
      <c r="ERI57" s="15"/>
      <c r="ERJ57" s="15"/>
      <c r="ERK57" s="15"/>
      <c r="ERL57" s="15"/>
      <c r="ERM57" s="15"/>
      <c r="ERN57" s="15"/>
      <c r="ERO57" s="15"/>
      <c r="ERP57" s="15"/>
      <c r="ERQ57" s="15"/>
      <c r="ERR57" s="15"/>
      <c r="ERS57" s="15"/>
      <c r="ERT57" s="15"/>
      <c r="ERU57" s="15"/>
      <c r="ERV57" s="15"/>
      <c r="ERW57" s="15"/>
      <c r="ERX57" s="15"/>
      <c r="ERY57" s="15"/>
      <c r="ERZ57" s="15"/>
      <c r="ESA57" s="15"/>
      <c r="ESB57" s="15"/>
      <c r="ESC57" s="15"/>
      <c r="ESD57" s="15"/>
      <c r="ESE57" s="15"/>
      <c r="ESF57" s="15"/>
      <c r="ESG57" s="15"/>
      <c r="ESH57" s="15"/>
      <c r="ESI57" s="15"/>
      <c r="ESJ57" s="15"/>
      <c r="ESK57" s="15"/>
      <c r="ESL57" s="15"/>
      <c r="ESM57" s="15"/>
      <c r="ESN57" s="15"/>
      <c r="ESO57" s="15"/>
      <c r="ESP57" s="15"/>
      <c r="ESQ57" s="15"/>
      <c r="ESR57" s="15"/>
      <c r="ESS57" s="15"/>
      <c r="EST57" s="15"/>
      <c r="ESU57" s="15"/>
      <c r="ESV57" s="15"/>
      <c r="ESW57" s="15"/>
      <c r="ESX57" s="15"/>
      <c r="ESY57" s="15"/>
      <c r="ESZ57" s="15"/>
      <c r="ETA57" s="15"/>
      <c r="ETB57" s="15"/>
      <c r="ETC57" s="15"/>
      <c r="ETD57" s="15"/>
      <c r="ETE57" s="15"/>
      <c r="ETF57" s="15"/>
      <c r="ETG57" s="15"/>
      <c r="ETH57" s="15"/>
      <c r="ETI57" s="15"/>
      <c r="ETJ57" s="15"/>
      <c r="ETK57" s="15"/>
      <c r="ETL57" s="15"/>
      <c r="ETM57" s="15"/>
      <c r="ETN57" s="15"/>
      <c r="ETO57" s="15"/>
      <c r="ETP57" s="15"/>
      <c r="ETQ57" s="15"/>
      <c r="ETR57" s="15"/>
      <c r="ETS57" s="15"/>
      <c r="ETT57" s="15"/>
      <c r="ETU57" s="15"/>
      <c r="ETV57" s="15"/>
      <c r="ETW57" s="15"/>
      <c r="ETX57" s="15"/>
      <c r="ETY57" s="15"/>
      <c r="ETZ57" s="15"/>
      <c r="EUA57" s="15"/>
      <c r="EUB57" s="15"/>
      <c r="EUC57" s="15"/>
      <c r="EUD57" s="15"/>
      <c r="EUE57" s="15"/>
      <c r="EUF57" s="15"/>
      <c r="EUG57" s="15"/>
      <c r="EUH57" s="15"/>
      <c r="EUI57" s="15"/>
      <c r="EUJ57" s="15"/>
      <c r="EUK57" s="15"/>
      <c r="EUL57" s="15"/>
      <c r="EUM57" s="15"/>
      <c r="EUN57" s="15"/>
      <c r="EUO57" s="15"/>
      <c r="EUP57" s="15"/>
      <c r="EUQ57" s="15"/>
      <c r="EUR57" s="15"/>
      <c r="EUS57" s="15"/>
      <c r="EUT57" s="15"/>
      <c r="EUU57" s="15"/>
      <c r="EUV57" s="15"/>
      <c r="EUW57" s="15"/>
      <c r="EUX57" s="15"/>
      <c r="EUY57" s="15"/>
      <c r="EUZ57" s="15"/>
      <c r="EVA57" s="15"/>
      <c r="EVB57" s="15"/>
      <c r="EVC57" s="15"/>
      <c r="EVD57" s="15"/>
      <c r="EVE57" s="15"/>
      <c r="EVF57" s="15"/>
      <c r="EVG57" s="15"/>
      <c r="EVH57" s="15"/>
      <c r="EVI57" s="15"/>
      <c r="EVJ57" s="15"/>
      <c r="EVK57" s="15"/>
      <c r="EVL57" s="15"/>
      <c r="EVM57" s="15"/>
      <c r="EVN57" s="15"/>
      <c r="EVO57" s="15"/>
      <c r="EVP57" s="15"/>
      <c r="EVQ57" s="15"/>
      <c r="EVR57" s="15"/>
      <c r="EVS57" s="15"/>
      <c r="EVT57" s="15"/>
      <c r="EVU57" s="15"/>
      <c r="EVV57" s="15"/>
      <c r="EVW57" s="15"/>
      <c r="EVX57" s="15"/>
      <c r="EVY57" s="15"/>
      <c r="EVZ57" s="15"/>
      <c r="EWA57" s="15"/>
      <c r="EWB57" s="15"/>
      <c r="EWC57" s="15"/>
      <c r="EWD57" s="15"/>
      <c r="EWE57" s="15"/>
      <c r="EWF57" s="15"/>
      <c r="EWG57" s="15"/>
      <c r="EWH57" s="15"/>
      <c r="EWI57" s="15"/>
      <c r="EWJ57" s="15"/>
      <c r="EWK57" s="15"/>
      <c r="EWL57" s="15"/>
      <c r="EWM57" s="15"/>
      <c r="EWN57" s="15"/>
      <c r="EWO57" s="15"/>
      <c r="EWP57" s="15"/>
      <c r="EWQ57" s="15"/>
      <c r="EWR57" s="15"/>
      <c r="EWS57" s="15"/>
      <c r="EWT57" s="15"/>
      <c r="EWU57" s="15"/>
      <c r="EWV57" s="15"/>
      <c r="EWW57" s="15"/>
      <c r="EWX57" s="15"/>
      <c r="EWY57" s="15"/>
      <c r="EWZ57" s="15"/>
      <c r="EXA57" s="15"/>
      <c r="EXB57" s="15"/>
      <c r="EXC57" s="15"/>
      <c r="EXD57" s="15"/>
      <c r="EXE57" s="15"/>
      <c r="EXF57" s="15"/>
      <c r="EXG57" s="15"/>
      <c r="EXH57" s="15"/>
      <c r="EXI57" s="15"/>
      <c r="EXJ57" s="15"/>
      <c r="EXK57" s="15"/>
      <c r="EXL57" s="15"/>
      <c r="EXM57" s="15"/>
      <c r="EXN57" s="15"/>
      <c r="EXO57" s="15"/>
      <c r="EXP57" s="15"/>
      <c r="EXQ57" s="15"/>
      <c r="EXR57" s="15"/>
      <c r="EXS57" s="15"/>
      <c r="EXT57" s="15"/>
      <c r="EXU57" s="15"/>
      <c r="EXV57" s="15"/>
      <c r="EXW57" s="15"/>
      <c r="EXX57" s="15"/>
      <c r="EXY57" s="15"/>
      <c r="EXZ57" s="15"/>
      <c r="EYA57" s="15"/>
      <c r="EYB57" s="15"/>
      <c r="EYC57" s="15"/>
      <c r="EYD57" s="15"/>
      <c r="EYE57" s="15"/>
      <c r="EYF57" s="15"/>
      <c r="EYG57" s="15"/>
      <c r="EYH57" s="15"/>
      <c r="EYI57" s="15"/>
      <c r="EYJ57" s="15"/>
      <c r="EYK57" s="15"/>
      <c r="EYL57" s="15"/>
      <c r="EYM57" s="15"/>
      <c r="EYN57" s="15"/>
      <c r="EYO57" s="15"/>
      <c r="EYP57" s="15"/>
      <c r="EYQ57" s="15"/>
      <c r="EYR57" s="15"/>
      <c r="EYS57" s="15"/>
      <c r="EYT57" s="15"/>
      <c r="EYU57" s="15"/>
      <c r="EYV57" s="15"/>
      <c r="EYW57" s="15"/>
      <c r="EYX57" s="15"/>
      <c r="EYY57" s="15"/>
      <c r="EYZ57" s="15"/>
      <c r="EZA57" s="15"/>
      <c r="EZB57" s="15"/>
      <c r="EZC57" s="15"/>
      <c r="EZD57" s="15"/>
      <c r="EZE57" s="15"/>
      <c r="EZF57" s="15"/>
      <c r="EZG57" s="15"/>
      <c r="EZH57" s="15"/>
      <c r="EZI57" s="15"/>
      <c r="EZJ57" s="15"/>
      <c r="EZK57" s="15"/>
      <c r="EZL57" s="15"/>
      <c r="EZM57" s="15"/>
      <c r="EZN57" s="15"/>
      <c r="EZO57" s="15"/>
      <c r="EZP57" s="15"/>
      <c r="EZQ57" s="15"/>
      <c r="EZR57" s="15"/>
      <c r="EZS57" s="15"/>
      <c r="EZT57" s="15"/>
      <c r="EZU57" s="15"/>
      <c r="EZV57" s="15"/>
      <c r="EZW57" s="15"/>
      <c r="EZX57" s="15"/>
      <c r="EZY57" s="15"/>
      <c r="EZZ57" s="15"/>
      <c r="FAA57" s="15"/>
      <c r="FAB57" s="15"/>
      <c r="FAC57" s="15"/>
      <c r="FAD57" s="15"/>
      <c r="FAE57" s="15"/>
      <c r="FAF57" s="15"/>
      <c r="FAG57" s="15"/>
      <c r="FAH57" s="15"/>
      <c r="FAI57" s="15"/>
      <c r="FAJ57" s="15"/>
      <c r="FAK57" s="15"/>
      <c r="FAL57" s="15"/>
      <c r="FAM57" s="15"/>
      <c r="FAN57" s="15"/>
      <c r="FAO57" s="15"/>
      <c r="FAP57" s="15"/>
      <c r="FAQ57" s="15"/>
      <c r="FAR57" s="15"/>
      <c r="FAS57" s="15"/>
      <c r="FAT57" s="15"/>
      <c r="FAU57" s="15"/>
      <c r="FAV57" s="15"/>
      <c r="FAW57" s="15"/>
      <c r="FAX57" s="15"/>
      <c r="FAY57" s="15"/>
      <c r="FAZ57" s="15"/>
      <c r="FBA57" s="15"/>
      <c r="FBB57" s="15"/>
      <c r="FBC57" s="15"/>
      <c r="FBD57" s="15"/>
      <c r="FBE57" s="15"/>
      <c r="FBF57" s="15"/>
      <c r="FBG57" s="15"/>
      <c r="FBH57" s="15"/>
      <c r="FBI57" s="15"/>
      <c r="FBJ57" s="15"/>
      <c r="FBK57" s="15"/>
      <c r="FBL57" s="15"/>
      <c r="FBM57" s="15"/>
      <c r="FBN57" s="15"/>
      <c r="FBO57" s="15"/>
      <c r="FBP57" s="15"/>
      <c r="FBQ57" s="15"/>
      <c r="FBR57" s="15"/>
      <c r="FBS57" s="15"/>
      <c r="FBT57" s="15"/>
      <c r="FBU57" s="15"/>
      <c r="FBV57" s="15"/>
      <c r="FBW57" s="15"/>
      <c r="FBX57" s="15"/>
      <c r="FBY57" s="15"/>
      <c r="FBZ57" s="15"/>
      <c r="FCA57" s="15"/>
      <c r="FCB57" s="15"/>
      <c r="FCC57" s="15"/>
      <c r="FCD57" s="15"/>
      <c r="FCE57" s="15"/>
      <c r="FCF57" s="15"/>
      <c r="FCG57" s="15"/>
      <c r="FCH57" s="15"/>
      <c r="FCI57" s="15"/>
      <c r="FCJ57" s="15"/>
      <c r="FCK57" s="15"/>
      <c r="FCL57" s="15"/>
      <c r="FCM57" s="15"/>
      <c r="FCN57" s="15"/>
      <c r="FCO57" s="15"/>
      <c r="FCP57" s="15"/>
      <c r="FCQ57" s="15"/>
      <c r="FCR57" s="15"/>
      <c r="FCS57" s="15"/>
      <c r="FCT57" s="15"/>
      <c r="FCU57" s="15"/>
      <c r="FCV57" s="15"/>
      <c r="FCW57" s="15"/>
      <c r="FCX57" s="15"/>
      <c r="FCY57" s="15"/>
      <c r="FCZ57" s="15"/>
      <c r="FDA57" s="15"/>
      <c r="FDB57" s="15"/>
      <c r="FDC57" s="15"/>
      <c r="FDD57" s="15"/>
      <c r="FDE57" s="15"/>
      <c r="FDF57" s="15"/>
      <c r="FDG57" s="15"/>
      <c r="FDH57" s="15"/>
      <c r="FDI57" s="15"/>
      <c r="FDJ57" s="15"/>
      <c r="FDK57" s="15"/>
      <c r="FDL57" s="15"/>
      <c r="FDM57" s="15"/>
      <c r="FDN57" s="15"/>
      <c r="FDO57" s="15"/>
      <c r="FDP57" s="15"/>
      <c r="FDQ57" s="15"/>
      <c r="FDR57" s="15"/>
      <c r="FDS57" s="15"/>
      <c r="FDT57" s="15"/>
      <c r="FDU57" s="15"/>
      <c r="FDV57" s="15"/>
      <c r="FDW57" s="15"/>
      <c r="FDX57" s="15"/>
      <c r="FDY57" s="15"/>
      <c r="FDZ57" s="15"/>
      <c r="FEA57" s="15"/>
      <c r="FEB57" s="15"/>
      <c r="FEC57" s="15"/>
      <c r="FED57" s="15"/>
      <c r="FEE57" s="15"/>
      <c r="FEF57" s="15"/>
      <c r="FEG57" s="15"/>
      <c r="FEH57" s="15"/>
      <c r="FEI57" s="15"/>
      <c r="FEJ57" s="15"/>
      <c r="FEK57" s="15"/>
      <c r="FEL57" s="15"/>
      <c r="FEM57" s="15"/>
      <c r="FEN57" s="15"/>
      <c r="FEO57" s="15"/>
      <c r="FEP57" s="15"/>
      <c r="FEQ57" s="15"/>
      <c r="FER57" s="15"/>
      <c r="FES57" s="15"/>
      <c r="FET57" s="15"/>
      <c r="FEU57" s="15"/>
      <c r="FEV57" s="15"/>
      <c r="FEW57" s="15"/>
      <c r="FEX57" s="15"/>
      <c r="FEY57" s="15"/>
      <c r="FEZ57" s="15"/>
      <c r="FFA57" s="15"/>
      <c r="FFB57" s="15"/>
      <c r="FFC57" s="15"/>
      <c r="FFD57" s="15"/>
      <c r="FFE57" s="15"/>
      <c r="FFF57" s="15"/>
      <c r="FFG57" s="15"/>
      <c r="FFH57" s="15"/>
      <c r="FFI57" s="15"/>
      <c r="FFJ57" s="15"/>
      <c r="FFK57" s="15"/>
      <c r="FFL57" s="15"/>
      <c r="FFM57" s="15"/>
      <c r="FFN57" s="15"/>
      <c r="FFO57" s="15"/>
      <c r="FFP57" s="15"/>
      <c r="FFQ57" s="15"/>
      <c r="FFR57" s="15"/>
      <c r="FFS57" s="15"/>
      <c r="FFT57" s="15"/>
      <c r="FFU57" s="15"/>
      <c r="FFV57" s="15"/>
      <c r="FFW57" s="15"/>
      <c r="FFX57" s="15"/>
      <c r="FFY57" s="15"/>
      <c r="FFZ57" s="15"/>
      <c r="FGA57" s="15"/>
      <c r="FGB57" s="15"/>
      <c r="FGC57" s="15"/>
      <c r="FGD57" s="15"/>
      <c r="FGE57" s="15"/>
      <c r="FGF57" s="15"/>
      <c r="FGG57" s="15"/>
      <c r="FGH57" s="15"/>
      <c r="FGI57" s="15"/>
      <c r="FGJ57" s="15"/>
      <c r="FGK57" s="15"/>
      <c r="FGL57" s="15"/>
      <c r="FGM57" s="15"/>
      <c r="FGN57" s="15"/>
      <c r="FGO57" s="15"/>
      <c r="FGP57" s="15"/>
      <c r="FGQ57" s="15"/>
      <c r="FGR57" s="15"/>
      <c r="FGS57" s="15"/>
      <c r="FGT57" s="15"/>
      <c r="FGU57" s="15"/>
      <c r="FGV57" s="15"/>
      <c r="FGW57" s="15"/>
      <c r="FGX57" s="15"/>
      <c r="FGY57" s="15"/>
      <c r="FGZ57" s="15"/>
      <c r="FHA57" s="15"/>
      <c r="FHB57" s="15"/>
      <c r="FHC57" s="15"/>
      <c r="FHD57" s="15"/>
      <c r="FHE57" s="15"/>
      <c r="FHF57" s="15"/>
      <c r="FHG57" s="15"/>
      <c r="FHH57" s="15"/>
      <c r="FHI57" s="15"/>
      <c r="FHJ57" s="15"/>
      <c r="FHK57" s="15"/>
      <c r="FHL57" s="15"/>
      <c r="FHM57" s="15"/>
      <c r="FHN57" s="15"/>
      <c r="FHO57" s="15"/>
      <c r="FHP57" s="15"/>
      <c r="FHQ57" s="15"/>
      <c r="FHR57" s="15"/>
      <c r="FHS57" s="15"/>
      <c r="FHT57" s="15"/>
      <c r="FHU57" s="15"/>
      <c r="FHV57" s="15"/>
      <c r="FHW57" s="15"/>
      <c r="FHX57" s="15"/>
      <c r="FHY57" s="15"/>
      <c r="FHZ57" s="15"/>
      <c r="FIA57" s="15"/>
      <c r="FIB57" s="15"/>
      <c r="FIC57" s="15"/>
      <c r="FID57" s="15"/>
      <c r="FIE57" s="15"/>
      <c r="FIF57" s="15"/>
      <c r="FIG57" s="15"/>
      <c r="FIH57" s="15"/>
      <c r="FII57" s="15"/>
      <c r="FIJ57" s="15"/>
      <c r="FIK57" s="15"/>
      <c r="FIL57" s="15"/>
      <c r="FIM57" s="15"/>
      <c r="FIN57" s="15"/>
      <c r="FIO57" s="15"/>
      <c r="FIP57" s="15"/>
      <c r="FIQ57" s="15"/>
      <c r="FIR57" s="15"/>
      <c r="FIS57" s="15"/>
      <c r="FIT57" s="15"/>
      <c r="FIU57" s="15"/>
      <c r="FIV57" s="15"/>
      <c r="FIW57" s="15"/>
      <c r="FIX57" s="15"/>
      <c r="FIY57" s="15"/>
      <c r="FIZ57" s="15"/>
      <c r="FJA57" s="15"/>
      <c r="FJB57" s="15"/>
      <c r="FJC57" s="15"/>
      <c r="FJD57" s="15"/>
      <c r="FJE57" s="15"/>
      <c r="FJF57" s="15"/>
      <c r="FJG57" s="15"/>
      <c r="FJH57" s="15"/>
      <c r="FJI57" s="15"/>
      <c r="FJJ57" s="15"/>
      <c r="FJK57" s="15"/>
      <c r="FJL57" s="15"/>
      <c r="FJM57" s="15"/>
      <c r="FJN57" s="15"/>
      <c r="FJO57" s="15"/>
      <c r="FJP57" s="15"/>
      <c r="FJQ57" s="15"/>
      <c r="FJR57" s="15"/>
      <c r="FJS57" s="15"/>
      <c r="FJT57" s="15"/>
      <c r="FJU57" s="15"/>
      <c r="FJV57" s="15"/>
      <c r="FJW57" s="15"/>
      <c r="FJX57" s="15"/>
      <c r="FJY57" s="15"/>
      <c r="FJZ57" s="15"/>
      <c r="FKA57" s="15"/>
      <c r="FKB57" s="15"/>
      <c r="FKC57" s="15"/>
      <c r="FKD57" s="15"/>
      <c r="FKE57" s="15"/>
      <c r="FKF57" s="15"/>
      <c r="FKG57" s="15"/>
      <c r="FKH57" s="15"/>
      <c r="FKI57" s="15"/>
      <c r="FKJ57" s="15"/>
      <c r="FKK57" s="15"/>
      <c r="FKL57" s="15"/>
      <c r="FKM57" s="15"/>
      <c r="FKN57" s="15"/>
      <c r="FKO57" s="15"/>
      <c r="FKP57" s="15"/>
      <c r="FKQ57" s="15"/>
      <c r="FKR57" s="15"/>
      <c r="FKS57" s="15"/>
      <c r="FKT57" s="15"/>
      <c r="FKU57" s="15"/>
      <c r="FKV57" s="15"/>
      <c r="FKW57" s="15"/>
      <c r="FKX57" s="15"/>
      <c r="FKY57" s="15"/>
      <c r="FKZ57" s="15"/>
      <c r="FLA57" s="15"/>
      <c r="FLB57" s="15"/>
      <c r="FLC57" s="15"/>
      <c r="FLD57" s="15"/>
      <c r="FLE57" s="15"/>
      <c r="FLF57" s="15"/>
      <c r="FLG57" s="15"/>
      <c r="FLH57" s="15"/>
      <c r="FLI57" s="15"/>
      <c r="FLJ57" s="15"/>
      <c r="FLK57" s="15"/>
      <c r="FLL57" s="15"/>
      <c r="FLM57" s="15"/>
      <c r="FLN57" s="15"/>
      <c r="FLO57" s="15"/>
      <c r="FLP57" s="15"/>
      <c r="FLQ57" s="15"/>
      <c r="FLR57" s="15"/>
      <c r="FLS57" s="15"/>
      <c r="FLT57" s="15"/>
      <c r="FLU57" s="15"/>
      <c r="FLV57" s="15"/>
      <c r="FLW57" s="15"/>
      <c r="FLX57" s="15"/>
      <c r="FLY57" s="15"/>
      <c r="FLZ57" s="15"/>
      <c r="FMA57" s="15"/>
      <c r="FMB57" s="15"/>
      <c r="FMC57" s="15"/>
      <c r="FMD57" s="15"/>
      <c r="FME57" s="15"/>
      <c r="FMF57" s="15"/>
      <c r="FMG57" s="15"/>
      <c r="FMH57" s="15"/>
      <c r="FMI57" s="15"/>
      <c r="FMJ57" s="15"/>
      <c r="FMK57" s="15"/>
      <c r="FML57" s="15"/>
      <c r="FMM57" s="15"/>
      <c r="FMN57" s="15"/>
      <c r="FMO57" s="15"/>
      <c r="FMP57" s="15"/>
      <c r="FMQ57" s="15"/>
      <c r="FMR57" s="15"/>
      <c r="FMS57" s="15"/>
      <c r="FMT57" s="15"/>
      <c r="FMU57" s="15"/>
      <c r="FMV57" s="15"/>
      <c r="FMW57" s="15"/>
      <c r="FMX57" s="15"/>
      <c r="FMY57" s="15"/>
      <c r="FMZ57" s="15"/>
      <c r="FNA57" s="15"/>
      <c r="FNB57" s="15"/>
      <c r="FNC57" s="15"/>
      <c r="FND57" s="15"/>
      <c r="FNE57" s="15"/>
      <c r="FNF57" s="15"/>
      <c r="FNG57" s="15"/>
      <c r="FNH57" s="15"/>
      <c r="FNI57" s="15"/>
      <c r="FNJ57" s="15"/>
      <c r="FNK57" s="15"/>
      <c r="FNL57" s="15"/>
      <c r="FNM57" s="15"/>
      <c r="FNN57" s="15"/>
      <c r="FNO57" s="15"/>
      <c r="FNP57" s="15"/>
      <c r="FNQ57" s="15"/>
      <c r="FNR57" s="15"/>
      <c r="FNS57" s="15"/>
      <c r="FNT57" s="15"/>
      <c r="FNU57" s="15"/>
      <c r="FNV57" s="15"/>
      <c r="FNW57" s="15"/>
      <c r="FNX57" s="15"/>
      <c r="FNY57" s="15"/>
      <c r="FNZ57" s="15"/>
      <c r="FOA57" s="15"/>
      <c r="FOB57" s="15"/>
      <c r="FOC57" s="15"/>
      <c r="FOD57" s="15"/>
      <c r="FOE57" s="15"/>
      <c r="FOF57" s="15"/>
      <c r="FOG57" s="15"/>
      <c r="FOH57" s="15"/>
      <c r="FOI57" s="15"/>
      <c r="FOJ57" s="15"/>
      <c r="FOK57" s="15"/>
      <c r="FOL57" s="15"/>
      <c r="FOM57" s="15"/>
      <c r="FON57" s="15"/>
      <c r="FOO57" s="15"/>
      <c r="FOP57" s="15"/>
      <c r="FOQ57" s="15"/>
      <c r="FOR57" s="15"/>
      <c r="FOS57" s="15"/>
      <c r="FOT57" s="15"/>
      <c r="FOU57" s="15"/>
      <c r="FOV57" s="15"/>
      <c r="FOW57" s="15"/>
      <c r="FOX57" s="15"/>
      <c r="FOY57" s="15"/>
      <c r="FOZ57" s="15"/>
      <c r="FPA57" s="15"/>
      <c r="FPB57" s="15"/>
      <c r="FPC57" s="15"/>
      <c r="FPD57" s="15"/>
      <c r="FPE57" s="15"/>
      <c r="FPF57" s="15"/>
      <c r="FPG57" s="15"/>
      <c r="FPH57" s="15"/>
      <c r="FPI57" s="15"/>
      <c r="FPJ57" s="15"/>
      <c r="FPK57" s="15"/>
      <c r="FPL57" s="15"/>
      <c r="FPM57" s="15"/>
      <c r="FPN57" s="15"/>
      <c r="FPO57" s="15"/>
      <c r="FPP57" s="15"/>
      <c r="FPQ57" s="15"/>
      <c r="FPR57" s="15"/>
      <c r="FPS57" s="15"/>
      <c r="FPT57" s="15"/>
      <c r="FPU57" s="15"/>
      <c r="FPV57" s="15"/>
      <c r="FPW57" s="15"/>
      <c r="FPX57" s="15"/>
      <c r="FPY57" s="15"/>
      <c r="FPZ57" s="15"/>
      <c r="FQA57" s="15"/>
      <c r="FQB57" s="15"/>
      <c r="FQC57" s="15"/>
      <c r="FQD57" s="15"/>
      <c r="FQE57" s="15"/>
      <c r="FQF57" s="15"/>
      <c r="FQG57" s="15"/>
      <c r="FQH57" s="15"/>
      <c r="FQI57" s="15"/>
      <c r="FQJ57" s="15"/>
      <c r="FQK57" s="15"/>
      <c r="FQL57" s="15"/>
      <c r="FQM57" s="15"/>
      <c r="FQN57" s="15"/>
      <c r="FQO57" s="15"/>
      <c r="FQP57" s="15"/>
      <c r="FQQ57" s="15"/>
      <c r="FQR57" s="15"/>
      <c r="FQS57" s="15"/>
      <c r="FQT57" s="15"/>
      <c r="FQU57" s="15"/>
      <c r="FQV57" s="15"/>
      <c r="FQW57" s="15"/>
      <c r="FQX57" s="15"/>
      <c r="FQY57" s="15"/>
      <c r="FQZ57" s="15"/>
      <c r="FRA57" s="15"/>
      <c r="FRB57" s="15"/>
      <c r="FRC57" s="15"/>
      <c r="FRD57" s="15"/>
      <c r="FRE57" s="15"/>
      <c r="FRF57" s="15"/>
      <c r="FRG57" s="15"/>
      <c r="FRH57" s="15"/>
      <c r="FRI57" s="15"/>
      <c r="FRJ57" s="15"/>
      <c r="FRK57" s="15"/>
      <c r="FRL57" s="15"/>
      <c r="FRM57" s="15"/>
      <c r="FRN57" s="15"/>
      <c r="FRO57" s="15"/>
      <c r="FRP57" s="15"/>
      <c r="FRQ57" s="15"/>
      <c r="FRR57" s="15"/>
      <c r="FRS57" s="15"/>
      <c r="FRT57" s="15"/>
      <c r="FRU57" s="15"/>
      <c r="FRV57" s="15"/>
      <c r="FRW57" s="15"/>
      <c r="FRX57" s="15"/>
      <c r="FRY57" s="15"/>
      <c r="FRZ57" s="15"/>
      <c r="FSA57" s="15"/>
      <c r="FSB57" s="15"/>
      <c r="FSC57" s="15"/>
      <c r="FSD57" s="15"/>
      <c r="FSE57" s="15"/>
      <c r="FSF57" s="15"/>
      <c r="FSG57" s="15"/>
      <c r="FSH57" s="15"/>
      <c r="FSI57" s="15"/>
      <c r="FSJ57" s="15"/>
      <c r="FSK57" s="15"/>
      <c r="FSL57" s="15"/>
      <c r="FSM57" s="15"/>
      <c r="FSN57" s="15"/>
      <c r="FSO57" s="15"/>
      <c r="FSP57" s="15"/>
      <c r="FSQ57" s="15"/>
      <c r="FSR57" s="15"/>
      <c r="FSS57" s="15"/>
      <c r="FST57" s="15"/>
      <c r="FSU57" s="15"/>
      <c r="FSV57" s="15"/>
      <c r="FSW57" s="15"/>
      <c r="FSX57" s="15"/>
      <c r="FSY57" s="15"/>
      <c r="FSZ57" s="15"/>
      <c r="FTA57" s="15"/>
      <c r="FTB57" s="15"/>
      <c r="FTC57" s="15"/>
      <c r="FTD57" s="15"/>
      <c r="FTE57" s="15"/>
      <c r="FTF57" s="15"/>
      <c r="FTG57" s="15"/>
      <c r="FTH57" s="15"/>
      <c r="FTI57" s="15"/>
      <c r="FTJ57" s="15"/>
      <c r="FTK57" s="15"/>
      <c r="FTL57" s="15"/>
      <c r="FTM57" s="15"/>
      <c r="FTN57" s="15"/>
      <c r="FTO57" s="15"/>
      <c r="FTP57" s="15"/>
      <c r="FTQ57" s="15"/>
      <c r="FTR57" s="15"/>
      <c r="FTS57" s="15"/>
      <c r="FTT57" s="15"/>
      <c r="FTU57" s="15"/>
      <c r="FTV57" s="15"/>
      <c r="FTW57" s="15"/>
      <c r="FTX57" s="15"/>
      <c r="FTY57" s="15"/>
      <c r="FTZ57" s="15"/>
      <c r="FUA57" s="15"/>
      <c r="FUB57" s="15"/>
      <c r="FUC57" s="15"/>
      <c r="FUD57" s="15"/>
      <c r="FUE57" s="15"/>
      <c r="FUF57" s="15"/>
      <c r="FUG57" s="15"/>
      <c r="FUH57" s="15"/>
      <c r="FUI57" s="15"/>
      <c r="FUJ57" s="15"/>
      <c r="FUK57" s="15"/>
      <c r="FUL57" s="15"/>
      <c r="FUM57" s="15"/>
      <c r="FUN57" s="15"/>
      <c r="FUO57" s="15"/>
      <c r="FUP57" s="15"/>
      <c r="FUQ57" s="15"/>
      <c r="FUR57" s="15"/>
      <c r="FUS57" s="15"/>
      <c r="FUT57" s="15"/>
      <c r="FUU57" s="15"/>
      <c r="FUV57" s="15"/>
      <c r="FUW57" s="15"/>
      <c r="FUX57" s="15"/>
      <c r="FUY57" s="15"/>
      <c r="FUZ57" s="15"/>
      <c r="FVA57" s="15"/>
      <c r="FVB57" s="15"/>
      <c r="FVC57" s="15"/>
      <c r="FVD57" s="15"/>
      <c r="FVE57" s="15"/>
      <c r="FVF57" s="15"/>
      <c r="FVG57" s="15"/>
      <c r="FVH57" s="15"/>
      <c r="FVI57" s="15"/>
      <c r="FVJ57" s="15"/>
      <c r="FVK57" s="15"/>
      <c r="FVL57" s="15"/>
      <c r="FVM57" s="15"/>
      <c r="FVN57" s="15"/>
      <c r="FVO57" s="15"/>
      <c r="FVP57" s="15"/>
      <c r="FVQ57" s="15"/>
      <c r="FVR57" s="15"/>
      <c r="FVS57" s="15"/>
      <c r="FVT57" s="15"/>
      <c r="FVU57" s="15"/>
      <c r="FVV57" s="15"/>
      <c r="FVW57" s="15"/>
      <c r="FVX57" s="15"/>
      <c r="FVY57" s="15"/>
      <c r="FVZ57" s="15"/>
      <c r="FWA57" s="15"/>
      <c r="FWB57" s="15"/>
      <c r="FWC57" s="15"/>
      <c r="FWD57" s="15"/>
      <c r="FWE57" s="15"/>
      <c r="FWF57" s="15"/>
      <c r="FWG57" s="15"/>
      <c r="FWH57" s="15"/>
      <c r="FWI57" s="15"/>
      <c r="FWJ57" s="15"/>
      <c r="FWK57" s="15"/>
      <c r="FWL57" s="15"/>
      <c r="FWM57" s="15"/>
      <c r="FWN57" s="15"/>
      <c r="FWO57" s="15"/>
      <c r="FWP57" s="15"/>
      <c r="FWQ57" s="15"/>
      <c r="FWR57" s="15"/>
      <c r="FWS57" s="15"/>
      <c r="FWT57" s="15"/>
      <c r="FWU57" s="15"/>
      <c r="FWV57" s="15"/>
      <c r="FWW57" s="15"/>
      <c r="FWX57" s="15"/>
      <c r="FWY57" s="15"/>
      <c r="FWZ57" s="15"/>
      <c r="FXA57" s="15"/>
      <c r="FXB57" s="15"/>
      <c r="FXC57" s="15"/>
      <c r="FXD57" s="15"/>
      <c r="FXE57" s="15"/>
      <c r="FXF57" s="15"/>
      <c r="FXG57" s="15"/>
      <c r="FXH57" s="15"/>
      <c r="FXI57" s="15"/>
      <c r="FXJ57" s="15"/>
      <c r="FXK57" s="15"/>
      <c r="FXL57" s="15"/>
      <c r="FXM57" s="15"/>
      <c r="FXN57" s="15"/>
      <c r="FXO57" s="15"/>
      <c r="FXP57" s="15"/>
      <c r="FXQ57" s="15"/>
      <c r="FXR57" s="15"/>
      <c r="FXS57" s="15"/>
      <c r="FXT57" s="15"/>
      <c r="FXU57" s="15"/>
      <c r="FXV57" s="15"/>
      <c r="FXW57" s="15"/>
      <c r="FXX57" s="15"/>
      <c r="FXY57" s="15"/>
      <c r="FXZ57" s="15"/>
      <c r="FYA57" s="15"/>
      <c r="FYB57" s="15"/>
      <c r="FYC57" s="15"/>
      <c r="FYD57" s="15"/>
      <c r="FYE57" s="15"/>
      <c r="FYF57" s="15"/>
      <c r="FYG57" s="15"/>
      <c r="FYH57" s="15"/>
      <c r="FYI57" s="15"/>
      <c r="FYJ57" s="15"/>
      <c r="FYK57" s="15"/>
      <c r="FYL57" s="15"/>
      <c r="FYM57" s="15"/>
      <c r="FYN57" s="15"/>
      <c r="FYO57" s="15"/>
      <c r="FYP57" s="15"/>
      <c r="FYQ57" s="15"/>
      <c r="FYR57" s="15"/>
      <c r="FYS57" s="15"/>
      <c r="FYT57" s="15"/>
      <c r="FYU57" s="15"/>
      <c r="FYV57" s="15"/>
      <c r="FYW57" s="15"/>
      <c r="FYX57" s="15"/>
      <c r="FYY57" s="15"/>
      <c r="FYZ57" s="15"/>
      <c r="FZA57" s="15"/>
      <c r="FZB57" s="15"/>
      <c r="FZC57" s="15"/>
      <c r="FZD57" s="15"/>
      <c r="FZE57" s="15"/>
      <c r="FZF57" s="15"/>
      <c r="FZG57" s="15"/>
      <c r="FZH57" s="15"/>
      <c r="FZI57" s="15"/>
      <c r="FZJ57" s="15"/>
      <c r="FZK57" s="15"/>
      <c r="FZL57" s="15"/>
      <c r="FZM57" s="15"/>
      <c r="FZN57" s="15"/>
      <c r="FZO57" s="15"/>
      <c r="FZP57" s="15"/>
      <c r="FZQ57" s="15"/>
      <c r="FZR57" s="15"/>
      <c r="FZS57" s="15"/>
      <c r="FZT57" s="15"/>
      <c r="FZU57" s="15"/>
      <c r="FZV57" s="15"/>
      <c r="FZW57" s="15"/>
      <c r="FZX57" s="15"/>
      <c r="FZY57" s="15"/>
      <c r="FZZ57" s="15"/>
      <c r="GAA57" s="15"/>
      <c r="GAB57" s="15"/>
      <c r="GAC57" s="15"/>
      <c r="GAD57" s="15"/>
      <c r="GAE57" s="15"/>
      <c r="GAF57" s="15"/>
      <c r="GAG57" s="15"/>
      <c r="GAH57" s="15"/>
      <c r="GAI57" s="15"/>
      <c r="GAJ57" s="15"/>
      <c r="GAK57" s="15"/>
      <c r="GAL57" s="15"/>
      <c r="GAM57" s="15"/>
      <c r="GAN57" s="15"/>
      <c r="GAO57" s="15"/>
      <c r="GAP57" s="15"/>
      <c r="GAQ57" s="15"/>
      <c r="GAR57" s="15"/>
      <c r="GAS57" s="15"/>
      <c r="GAT57" s="15"/>
      <c r="GAU57" s="15"/>
      <c r="GAV57" s="15"/>
      <c r="GAW57" s="15"/>
      <c r="GAX57" s="15"/>
      <c r="GAY57" s="15"/>
      <c r="GAZ57" s="15"/>
      <c r="GBA57" s="15"/>
      <c r="GBB57" s="15"/>
      <c r="GBC57" s="15"/>
      <c r="GBD57" s="15"/>
      <c r="GBE57" s="15"/>
      <c r="GBF57" s="15"/>
      <c r="GBG57" s="15"/>
      <c r="GBH57" s="15"/>
      <c r="GBI57" s="15"/>
      <c r="GBJ57" s="15"/>
      <c r="GBK57" s="15"/>
      <c r="GBL57" s="15"/>
      <c r="GBM57" s="15"/>
      <c r="GBN57" s="15"/>
      <c r="GBO57" s="15"/>
      <c r="GBP57" s="15"/>
      <c r="GBQ57" s="15"/>
      <c r="GBR57" s="15"/>
      <c r="GBS57" s="15"/>
      <c r="GBT57" s="15"/>
      <c r="GBU57" s="15"/>
      <c r="GBV57" s="15"/>
      <c r="GBW57" s="15"/>
      <c r="GBX57" s="15"/>
      <c r="GBY57" s="15"/>
      <c r="GBZ57" s="15"/>
      <c r="GCA57" s="15"/>
      <c r="GCB57" s="15"/>
      <c r="GCC57" s="15"/>
      <c r="GCD57" s="15"/>
      <c r="GCE57" s="15"/>
      <c r="GCF57" s="15"/>
      <c r="GCG57" s="15"/>
      <c r="GCH57" s="15"/>
      <c r="GCI57" s="15"/>
      <c r="GCJ57" s="15"/>
      <c r="GCK57" s="15"/>
      <c r="GCL57" s="15"/>
      <c r="GCM57" s="15"/>
      <c r="GCN57" s="15"/>
      <c r="GCO57" s="15"/>
      <c r="GCP57" s="15"/>
      <c r="GCQ57" s="15"/>
      <c r="GCR57" s="15"/>
      <c r="GCS57" s="15"/>
      <c r="GCT57" s="15"/>
      <c r="GCU57" s="15"/>
      <c r="GCV57" s="15"/>
      <c r="GCW57" s="15"/>
      <c r="GCX57" s="15"/>
      <c r="GCY57" s="15"/>
      <c r="GCZ57" s="15"/>
      <c r="GDA57" s="15"/>
      <c r="GDB57" s="15"/>
      <c r="GDC57" s="15"/>
      <c r="GDD57" s="15"/>
      <c r="GDE57" s="15"/>
      <c r="GDF57" s="15"/>
      <c r="GDG57" s="15"/>
      <c r="GDH57" s="15"/>
      <c r="GDI57" s="15"/>
      <c r="GDJ57" s="15"/>
      <c r="GDK57" s="15"/>
      <c r="GDL57" s="15"/>
      <c r="GDM57" s="15"/>
      <c r="GDN57" s="15"/>
      <c r="GDO57" s="15"/>
      <c r="GDP57" s="15"/>
      <c r="GDQ57" s="15"/>
      <c r="GDR57" s="15"/>
      <c r="GDS57" s="15"/>
      <c r="GDT57" s="15"/>
      <c r="GDU57" s="15"/>
      <c r="GDV57" s="15"/>
      <c r="GDW57" s="15"/>
      <c r="GDX57" s="15"/>
      <c r="GDY57" s="15"/>
      <c r="GDZ57" s="15"/>
      <c r="GEA57" s="15"/>
      <c r="GEB57" s="15"/>
      <c r="GEC57" s="15"/>
      <c r="GED57" s="15"/>
      <c r="GEE57" s="15"/>
      <c r="GEF57" s="15"/>
      <c r="GEG57" s="15"/>
      <c r="GEH57" s="15"/>
      <c r="GEI57" s="15"/>
      <c r="GEJ57" s="15"/>
      <c r="GEK57" s="15"/>
      <c r="GEL57" s="15"/>
      <c r="GEM57" s="15"/>
      <c r="GEN57" s="15"/>
      <c r="GEO57" s="15"/>
      <c r="GEP57" s="15"/>
      <c r="GEQ57" s="15"/>
      <c r="GER57" s="15"/>
      <c r="GES57" s="15"/>
      <c r="GET57" s="15"/>
      <c r="GEU57" s="15"/>
      <c r="GEV57" s="15"/>
      <c r="GEW57" s="15"/>
      <c r="GEX57" s="15"/>
      <c r="GEY57" s="15"/>
      <c r="GEZ57" s="15"/>
      <c r="GFA57" s="15"/>
      <c r="GFB57" s="15"/>
      <c r="GFC57" s="15"/>
      <c r="GFD57" s="15"/>
      <c r="GFE57" s="15"/>
      <c r="GFF57" s="15"/>
      <c r="GFG57" s="15"/>
      <c r="GFH57" s="15"/>
      <c r="GFI57" s="15"/>
      <c r="GFJ57" s="15"/>
      <c r="GFK57" s="15"/>
      <c r="GFL57" s="15"/>
      <c r="GFM57" s="15"/>
      <c r="GFN57" s="15"/>
      <c r="GFO57" s="15"/>
      <c r="GFP57" s="15"/>
      <c r="GFQ57" s="15"/>
      <c r="GFR57" s="15"/>
      <c r="GFS57" s="15"/>
      <c r="GFT57" s="15"/>
      <c r="GFU57" s="15"/>
      <c r="GFV57" s="15"/>
      <c r="GFW57" s="15"/>
      <c r="GFX57" s="15"/>
      <c r="GFY57" s="15"/>
      <c r="GFZ57" s="15"/>
      <c r="GGA57" s="15"/>
      <c r="GGB57" s="15"/>
      <c r="GGC57" s="15"/>
      <c r="GGD57" s="15"/>
      <c r="GGE57" s="15"/>
      <c r="GGF57" s="15"/>
      <c r="GGG57" s="15"/>
      <c r="GGH57" s="15"/>
      <c r="GGI57" s="15"/>
      <c r="GGJ57" s="15"/>
      <c r="GGK57" s="15"/>
      <c r="GGL57" s="15"/>
      <c r="GGM57" s="15"/>
      <c r="GGN57" s="15"/>
      <c r="GGO57" s="15"/>
      <c r="GGP57" s="15"/>
      <c r="GGQ57" s="15"/>
      <c r="GGR57" s="15"/>
      <c r="GGS57" s="15"/>
      <c r="GGT57" s="15"/>
      <c r="GGU57" s="15"/>
      <c r="GGV57" s="15"/>
      <c r="GGW57" s="15"/>
      <c r="GGX57" s="15"/>
      <c r="GGY57" s="15"/>
      <c r="GGZ57" s="15"/>
      <c r="GHA57" s="15"/>
      <c r="GHB57" s="15"/>
      <c r="GHC57" s="15"/>
      <c r="GHD57" s="15"/>
      <c r="GHE57" s="15"/>
      <c r="GHF57" s="15"/>
      <c r="GHG57" s="15"/>
      <c r="GHH57" s="15"/>
      <c r="GHI57" s="15"/>
      <c r="GHJ57" s="15"/>
      <c r="GHK57" s="15"/>
      <c r="GHL57" s="15"/>
      <c r="GHM57" s="15"/>
      <c r="GHN57" s="15"/>
      <c r="GHO57" s="15"/>
      <c r="GHP57" s="15"/>
      <c r="GHQ57" s="15"/>
      <c r="GHR57" s="15"/>
      <c r="GHS57" s="15"/>
      <c r="GHT57" s="15"/>
      <c r="GHU57" s="15"/>
      <c r="GHV57" s="15"/>
      <c r="GHW57" s="15"/>
      <c r="GHX57" s="15"/>
      <c r="GHY57" s="15"/>
      <c r="GHZ57" s="15"/>
      <c r="GIA57" s="15"/>
      <c r="GIB57" s="15"/>
      <c r="GIC57" s="15"/>
      <c r="GID57" s="15"/>
      <c r="GIE57" s="15"/>
      <c r="GIF57" s="15"/>
      <c r="GIG57" s="15"/>
      <c r="GIH57" s="15"/>
      <c r="GII57" s="15"/>
      <c r="GIJ57" s="15"/>
      <c r="GIK57" s="15"/>
      <c r="GIL57" s="15"/>
      <c r="GIM57" s="15"/>
      <c r="GIN57" s="15"/>
      <c r="GIO57" s="15"/>
      <c r="GIP57" s="15"/>
      <c r="GIQ57" s="15"/>
      <c r="GIR57" s="15"/>
      <c r="GIS57" s="15"/>
      <c r="GIT57" s="15"/>
      <c r="GIU57" s="15"/>
      <c r="GIV57" s="15"/>
      <c r="GIW57" s="15"/>
      <c r="GIX57" s="15"/>
      <c r="GIY57" s="15"/>
      <c r="GIZ57" s="15"/>
      <c r="GJA57" s="15"/>
      <c r="GJB57" s="15"/>
      <c r="GJC57" s="15"/>
      <c r="GJD57" s="15"/>
      <c r="GJE57" s="15"/>
      <c r="GJF57" s="15"/>
      <c r="GJG57" s="15"/>
      <c r="GJH57" s="15"/>
      <c r="GJI57" s="15"/>
      <c r="GJJ57" s="15"/>
      <c r="GJK57" s="15"/>
      <c r="GJL57" s="15"/>
      <c r="GJM57" s="15"/>
      <c r="GJN57" s="15"/>
      <c r="GJO57" s="15"/>
      <c r="GJP57" s="15"/>
      <c r="GJQ57" s="15"/>
      <c r="GJR57" s="15"/>
      <c r="GJS57" s="15"/>
      <c r="GJT57" s="15"/>
      <c r="GJU57" s="15"/>
      <c r="GJV57" s="15"/>
      <c r="GJW57" s="15"/>
      <c r="GJX57" s="15"/>
      <c r="GJY57" s="15"/>
      <c r="GJZ57" s="15"/>
      <c r="GKA57" s="15"/>
      <c r="GKB57" s="15"/>
      <c r="GKC57" s="15"/>
      <c r="GKD57" s="15"/>
      <c r="GKE57" s="15"/>
      <c r="GKF57" s="15"/>
      <c r="GKG57" s="15"/>
      <c r="GKH57" s="15"/>
      <c r="GKI57" s="15"/>
      <c r="GKJ57" s="15"/>
      <c r="GKK57" s="15"/>
      <c r="GKL57" s="15"/>
      <c r="GKM57" s="15"/>
      <c r="GKN57" s="15"/>
      <c r="GKO57" s="15"/>
      <c r="GKP57" s="15"/>
      <c r="GKQ57" s="15"/>
      <c r="GKR57" s="15"/>
      <c r="GKS57" s="15"/>
      <c r="GKT57" s="15"/>
      <c r="GKU57" s="15"/>
      <c r="GKV57" s="15"/>
      <c r="GKW57" s="15"/>
      <c r="GKX57" s="15"/>
      <c r="GKY57" s="15"/>
      <c r="GKZ57" s="15"/>
      <c r="GLA57" s="15"/>
      <c r="GLB57" s="15"/>
      <c r="GLC57" s="15"/>
      <c r="GLD57" s="15"/>
      <c r="GLE57" s="15"/>
      <c r="GLF57" s="15"/>
      <c r="GLG57" s="15"/>
      <c r="GLH57" s="15"/>
      <c r="GLI57" s="15"/>
      <c r="GLJ57" s="15"/>
      <c r="GLK57" s="15"/>
      <c r="GLL57" s="15"/>
      <c r="GLM57" s="15"/>
      <c r="GLN57" s="15"/>
      <c r="GLO57" s="15"/>
      <c r="GLP57" s="15"/>
      <c r="GLQ57" s="15"/>
      <c r="GLR57" s="15"/>
      <c r="GLS57" s="15"/>
      <c r="GLT57" s="15"/>
      <c r="GLU57" s="15"/>
      <c r="GLV57" s="15"/>
      <c r="GLW57" s="15"/>
      <c r="GLX57" s="15"/>
      <c r="GLY57" s="15"/>
      <c r="GLZ57" s="15"/>
      <c r="GMA57" s="15"/>
      <c r="GMB57" s="15"/>
      <c r="GMC57" s="15"/>
      <c r="GMD57" s="15"/>
      <c r="GME57" s="15"/>
      <c r="GMF57" s="15"/>
      <c r="GMG57" s="15"/>
      <c r="GMH57" s="15"/>
      <c r="GMI57" s="15"/>
      <c r="GMJ57" s="15"/>
      <c r="GMK57" s="15"/>
      <c r="GML57" s="15"/>
      <c r="GMM57" s="15"/>
      <c r="GMN57" s="15"/>
      <c r="GMO57" s="15"/>
      <c r="GMP57" s="15"/>
      <c r="GMQ57" s="15"/>
      <c r="GMR57" s="15"/>
      <c r="GMS57" s="15"/>
      <c r="GMT57" s="15"/>
      <c r="GMU57" s="15"/>
      <c r="GMV57" s="15"/>
      <c r="GMW57" s="15"/>
      <c r="GMX57" s="15"/>
      <c r="GMY57" s="15"/>
      <c r="GMZ57" s="15"/>
      <c r="GNA57" s="15"/>
      <c r="GNB57" s="15"/>
      <c r="GNC57" s="15"/>
      <c r="GND57" s="15"/>
      <c r="GNE57" s="15"/>
      <c r="GNF57" s="15"/>
      <c r="GNG57" s="15"/>
      <c r="GNH57" s="15"/>
      <c r="GNI57" s="15"/>
      <c r="GNJ57" s="15"/>
      <c r="GNK57" s="15"/>
      <c r="GNL57" s="15"/>
      <c r="GNM57" s="15"/>
      <c r="GNN57" s="15"/>
      <c r="GNO57" s="15"/>
      <c r="GNP57" s="15"/>
      <c r="GNQ57" s="15"/>
      <c r="GNR57" s="15"/>
      <c r="GNS57" s="15"/>
      <c r="GNT57" s="15"/>
      <c r="GNU57" s="15"/>
      <c r="GNV57" s="15"/>
      <c r="GNW57" s="15"/>
      <c r="GNX57" s="15"/>
      <c r="GNY57" s="15"/>
      <c r="GNZ57" s="15"/>
      <c r="GOA57" s="15"/>
      <c r="GOB57" s="15"/>
      <c r="GOC57" s="15"/>
      <c r="GOD57" s="15"/>
      <c r="GOE57" s="15"/>
      <c r="GOF57" s="15"/>
      <c r="GOG57" s="15"/>
      <c r="GOH57" s="15"/>
      <c r="GOI57" s="15"/>
      <c r="GOJ57" s="15"/>
      <c r="GOK57" s="15"/>
      <c r="GOL57" s="15"/>
      <c r="GOM57" s="15"/>
      <c r="GON57" s="15"/>
      <c r="GOO57" s="15"/>
      <c r="GOP57" s="15"/>
      <c r="GOQ57" s="15"/>
      <c r="GOR57" s="15"/>
      <c r="GOS57" s="15"/>
      <c r="GOT57" s="15"/>
      <c r="GOU57" s="15"/>
      <c r="GOV57" s="15"/>
      <c r="GOW57" s="15"/>
      <c r="GOX57" s="15"/>
      <c r="GOY57" s="15"/>
      <c r="GOZ57" s="15"/>
      <c r="GPA57" s="15"/>
      <c r="GPB57" s="15"/>
      <c r="GPC57" s="15"/>
      <c r="GPD57" s="15"/>
      <c r="GPE57" s="15"/>
      <c r="GPF57" s="15"/>
      <c r="GPG57" s="15"/>
      <c r="GPH57" s="15"/>
      <c r="GPI57" s="15"/>
      <c r="GPJ57" s="15"/>
      <c r="GPK57" s="15"/>
      <c r="GPL57" s="15"/>
      <c r="GPM57" s="15"/>
      <c r="GPN57" s="15"/>
      <c r="GPO57" s="15"/>
      <c r="GPP57" s="15"/>
      <c r="GPQ57" s="15"/>
      <c r="GPR57" s="15"/>
      <c r="GPS57" s="15"/>
      <c r="GPT57" s="15"/>
      <c r="GPU57" s="15"/>
      <c r="GPV57" s="15"/>
      <c r="GPW57" s="15"/>
      <c r="GPX57" s="15"/>
      <c r="GPY57" s="15"/>
      <c r="GPZ57" s="15"/>
      <c r="GQA57" s="15"/>
      <c r="GQB57" s="15"/>
      <c r="GQC57" s="15"/>
      <c r="GQD57" s="15"/>
      <c r="GQE57" s="15"/>
      <c r="GQF57" s="15"/>
      <c r="GQG57" s="15"/>
      <c r="GQH57" s="15"/>
      <c r="GQI57" s="15"/>
      <c r="GQJ57" s="15"/>
      <c r="GQK57" s="15"/>
      <c r="GQL57" s="15"/>
      <c r="GQM57" s="15"/>
      <c r="GQN57" s="15"/>
      <c r="GQO57" s="15"/>
      <c r="GQP57" s="15"/>
      <c r="GQQ57" s="15"/>
      <c r="GQR57" s="15"/>
      <c r="GQS57" s="15"/>
      <c r="GQT57" s="15"/>
      <c r="GQU57" s="15"/>
      <c r="GQV57" s="15"/>
      <c r="GQW57" s="15"/>
      <c r="GQX57" s="15"/>
      <c r="GQY57" s="15"/>
      <c r="GQZ57" s="15"/>
      <c r="GRA57" s="15"/>
      <c r="GRB57" s="15"/>
      <c r="GRC57" s="15"/>
      <c r="GRD57" s="15"/>
      <c r="GRE57" s="15"/>
      <c r="GRF57" s="15"/>
      <c r="GRG57" s="15"/>
      <c r="GRH57" s="15"/>
      <c r="GRI57" s="15"/>
      <c r="GRJ57" s="15"/>
      <c r="GRK57" s="15"/>
      <c r="GRL57" s="15"/>
      <c r="GRM57" s="15"/>
      <c r="GRN57" s="15"/>
      <c r="GRO57" s="15"/>
      <c r="GRP57" s="15"/>
      <c r="GRQ57" s="15"/>
      <c r="GRR57" s="15"/>
      <c r="GRS57" s="15"/>
      <c r="GRT57" s="15"/>
      <c r="GRU57" s="15"/>
      <c r="GRV57" s="15"/>
      <c r="GRW57" s="15"/>
      <c r="GRX57" s="15"/>
      <c r="GRY57" s="15"/>
      <c r="GRZ57" s="15"/>
      <c r="GSA57" s="15"/>
      <c r="GSB57" s="15"/>
      <c r="GSC57" s="15"/>
      <c r="GSD57" s="15"/>
      <c r="GSE57" s="15"/>
      <c r="GSF57" s="15"/>
      <c r="GSG57" s="15"/>
      <c r="GSH57" s="15"/>
      <c r="GSI57" s="15"/>
      <c r="GSJ57" s="15"/>
      <c r="GSK57" s="15"/>
      <c r="GSL57" s="15"/>
      <c r="GSM57" s="15"/>
      <c r="GSN57" s="15"/>
      <c r="GSO57" s="15"/>
      <c r="GSP57" s="15"/>
      <c r="GSQ57" s="15"/>
      <c r="GSR57" s="15"/>
      <c r="GSS57" s="15"/>
      <c r="GST57" s="15"/>
      <c r="GSU57" s="15"/>
      <c r="GSV57" s="15"/>
      <c r="GSW57" s="15"/>
      <c r="GSX57" s="15"/>
      <c r="GSY57" s="15"/>
      <c r="GSZ57" s="15"/>
      <c r="GTA57" s="15"/>
      <c r="GTB57" s="15"/>
      <c r="GTC57" s="15"/>
      <c r="GTD57" s="15"/>
      <c r="GTE57" s="15"/>
      <c r="GTF57" s="15"/>
      <c r="GTG57" s="15"/>
      <c r="GTH57" s="15"/>
      <c r="GTI57" s="15"/>
      <c r="GTJ57" s="15"/>
      <c r="GTK57" s="15"/>
      <c r="GTL57" s="15"/>
      <c r="GTM57" s="15"/>
      <c r="GTN57" s="15"/>
      <c r="GTO57" s="15"/>
      <c r="GTP57" s="15"/>
      <c r="GTQ57" s="15"/>
      <c r="GTR57" s="15"/>
      <c r="GTS57" s="15"/>
      <c r="GTT57" s="15"/>
      <c r="GTU57" s="15"/>
      <c r="GTV57" s="15"/>
      <c r="GTW57" s="15"/>
      <c r="GTX57" s="15"/>
      <c r="GTY57" s="15"/>
      <c r="GTZ57" s="15"/>
      <c r="GUA57" s="15"/>
      <c r="GUB57" s="15"/>
      <c r="GUC57" s="15"/>
      <c r="GUD57" s="15"/>
      <c r="GUE57" s="15"/>
      <c r="GUF57" s="15"/>
      <c r="GUG57" s="15"/>
      <c r="GUH57" s="15"/>
      <c r="GUI57" s="15"/>
      <c r="GUJ57" s="15"/>
      <c r="GUK57" s="15"/>
      <c r="GUL57" s="15"/>
      <c r="GUM57" s="15"/>
      <c r="GUN57" s="15"/>
      <c r="GUO57" s="15"/>
      <c r="GUP57" s="15"/>
      <c r="GUQ57" s="15"/>
      <c r="GUR57" s="15"/>
      <c r="GUS57" s="15"/>
      <c r="GUT57" s="15"/>
      <c r="GUU57" s="15"/>
      <c r="GUV57" s="15"/>
      <c r="GUW57" s="15"/>
      <c r="GUX57" s="15"/>
      <c r="GUY57" s="15"/>
      <c r="GUZ57" s="15"/>
      <c r="GVA57" s="15"/>
      <c r="GVB57" s="15"/>
      <c r="GVC57" s="15"/>
      <c r="GVD57" s="15"/>
      <c r="GVE57" s="15"/>
      <c r="GVF57" s="15"/>
      <c r="GVG57" s="15"/>
      <c r="GVH57" s="15"/>
      <c r="GVI57" s="15"/>
      <c r="GVJ57" s="15"/>
      <c r="GVK57" s="15"/>
      <c r="GVL57" s="15"/>
      <c r="GVM57" s="15"/>
      <c r="GVN57" s="15"/>
      <c r="GVO57" s="15"/>
      <c r="GVP57" s="15"/>
      <c r="GVQ57" s="15"/>
      <c r="GVR57" s="15"/>
      <c r="GVS57" s="15"/>
      <c r="GVT57" s="15"/>
      <c r="GVU57" s="15"/>
      <c r="GVV57" s="15"/>
      <c r="GVW57" s="15"/>
      <c r="GVX57" s="15"/>
      <c r="GVY57" s="15"/>
      <c r="GVZ57" s="15"/>
      <c r="GWA57" s="15"/>
      <c r="GWB57" s="15"/>
      <c r="GWC57" s="15"/>
      <c r="GWD57" s="15"/>
      <c r="GWE57" s="15"/>
      <c r="GWF57" s="15"/>
      <c r="GWG57" s="15"/>
      <c r="GWH57" s="15"/>
      <c r="GWI57" s="15"/>
      <c r="GWJ57" s="15"/>
      <c r="GWK57" s="15"/>
      <c r="GWL57" s="15"/>
      <c r="GWM57" s="15"/>
      <c r="GWN57" s="15"/>
      <c r="GWO57" s="15"/>
      <c r="GWP57" s="15"/>
      <c r="GWQ57" s="15"/>
      <c r="GWR57" s="15"/>
      <c r="GWS57" s="15"/>
      <c r="GWT57" s="15"/>
      <c r="GWU57" s="15"/>
      <c r="GWV57" s="15"/>
      <c r="GWW57" s="15"/>
      <c r="GWX57" s="15"/>
      <c r="GWY57" s="15"/>
      <c r="GWZ57" s="15"/>
      <c r="GXA57" s="15"/>
      <c r="GXB57" s="15"/>
      <c r="GXC57" s="15"/>
      <c r="GXD57" s="15"/>
      <c r="GXE57" s="15"/>
      <c r="GXF57" s="15"/>
      <c r="GXG57" s="15"/>
      <c r="GXH57" s="15"/>
      <c r="GXI57" s="15"/>
      <c r="GXJ57" s="15"/>
      <c r="GXK57" s="15"/>
      <c r="GXL57" s="15"/>
      <c r="GXM57" s="15"/>
      <c r="GXN57" s="15"/>
      <c r="GXO57" s="15"/>
      <c r="GXP57" s="15"/>
      <c r="GXQ57" s="15"/>
      <c r="GXR57" s="15"/>
      <c r="GXS57" s="15"/>
      <c r="GXT57" s="15"/>
      <c r="GXU57" s="15"/>
      <c r="GXV57" s="15"/>
      <c r="GXW57" s="15"/>
      <c r="GXX57" s="15"/>
      <c r="GXY57" s="15"/>
      <c r="GXZ57" s="15"/>
      <c r="GYA57" s="15"/>
      <c r="GYB57" s="15"/>
      <c r="GYC57" s="15"/>
      <c r="GYD57" s="15"/>
      <c r="GYE57" s="15"/>
      <c r="GYF57" s="15"/>
      <c r="GYG57" s="15"/>
      <c r="GYH57" s="15"/>
      <c r="GYI57" s="15"/>
      <c r="GYJ57" s="15"/>
      <c r="GYK57" s="15"/>
      <c r="GYL57" s="15"/>
      <c r="GYM57" s="15"/>
      <c r="GYN57" s="15"/>
      <c r="GYO57" s="15"/>
      <c r="GYP57" s="15"/>
      <c r="GYQ57" s="15"/>
      <c r="GYR57" s="15"/>
      <c r="GYS57" s="15"/>
      <c r="GYT57" s="15"/>
      <c r="GYU57" s="15"/>
      <c r="GYV57" s="15"/>
      <c r="GYW57" s="15"/>
      <c r="GYX57" s="15"/>
      <c r="GYY57" s="15"/>
      <c r="GYZ57" s="15"/>
      <c r="GZA57" s="15"/>
      <c r="GZB57" s="15"/>
      <c r="GZC57" s="15"/>
      <c r="GZD57" s="15"/>
      <c r="GZE57" s="15"/>
      <c r="GZF57" s="15"/>
      <c r="GZG57" s="15"/>
      <c r="GZH57" s="15"/>
      <c r="GZI57" s="15"/>
      <c r="GZJ57" s="15"/>
      <c r="GZK57" s="15"/>
      <c r="GZL57" s="15"/>
      <c r="GZM57" s="15"/>
      <c r="GZN57" s="15"/>
      <c r="GZO57" s="15"/>
      <c r="GZP57" s="15"/>
      <c r="GZQ57" s="15"/>
      <c r="GZR57" s="15"/>
      <c r="GZS57" s="15"/>
      <c r="GZT57" s="15"/>
      <c r="GZU57" s="15"/>
      <c r="GZV57" s="15"/>
      <c r="GZW57" s="15"/>
      <c r="GZX57" s="15"/>
      <c r="GZY57" s="15"/>
      <c r="GZZ57" s="15"/>
      <c r="HAA57" s="15"/>
      <c r="HAB57" s="15"/>
      <c r="HAC57" s="15"/>
      <c r="HAD57" s="15"/>
      <c r="HAE57" s="15"/>
      <c r="HAF57" s="15"/>
      <c r="HAG57" s="15"/>
      <c r="HAH57" s="15"/>
      <c r="HAI57" s="15"/>
      <c r="HAJ57" s="15"/>
      <c r="HAK57" s="15"/>
      <c r="HAL57" s="15"/>
      <c r="HAM57" s="15"/>
      <c r="HAN57" s="15"/>
      <c r="HAO57" s="15"/>
      <c r="HAP57" s="15"/>
      <c r="HAQ57" s="15"/>
      <c r="HAR57" s="15"/>
      <c r="HAS57" s="15"/>
      <c r="HAT57" s="15"/>
      <c r="HAU57" s="15"/>
      <c r="HAV57" s="15"/>
      <c r="HAW57" s="15"/>
      <c r="HAX57" s="15"/>
      <c r="HAY57" s="15"/>
      <c r="HAZ57" s="15"/>
      <c r="HBA57" s="15"/>
      <c r="HBB57" s="15"/>
      <c r="HBC57" s="15"/>
      <c r="HBD57" s="15"/>
      <c r="HBE57" s="15"/>
      <c r="HBF57" s="15"/>
      <c r="HBG57" s="15"/>
      <c r="HBH57" s="15"/>
      <c r="HBI57" s="15"/>
      <c r="HBJ57" s="15"/>
      <c r="HBK57" s="15"/>
      <c r="HBL57" s="15"/>
      <c r="HBM57" s="15"/>
      <c r="HBN57" s="15"/>
      <c r="HBO57" s="15"/>
      <c r="HBP57" s="15"/>
      <c r="HBQ57" s="15"/>
      <c r="HBR57" s="15"/>
      <c r="HBS57" s="15"/>
      <c r="HBT57" s="15"/>
      <c r="HBU57" s="15"/>
      <c r="HBV57" s="15"/>
      <c r="HBW57" s="15"/>
      <c r="HBX57" s="15"/>
      <c r="HBY57" s="15"/>
      <c r="HBZ57" s="15"/>
      <c r="HCA57" s="15"/>
      <c r="HCB57" s="15"/>
      <c r="HCC57" s="15"/>
      <c r="HCD57" s="15"/>
      <c r="HCE57" s="15"/>
      <c r="HCF57" s="15"/>
      <c r="HCG57" s="15"/>
      <c r="HCH57" s="15"/>
      <c r="HCI57" s="15"/>
      <c r="HCJ57" s="15"/>
      <c r="HCK57" s="15"/>
      <c r="HCL57" s="15"/>
      <c r="HCM57" s="15"/>
      <c r="HCN57" s="15"/>
      <c r="HCO57" s="15"/>
      <c r="HCP57" s="15"/>
      <c r="HCQ57" s="15"/>
      <c r="HCR57" s="15"/>
      <c r="HCS57" s="15"/>
      <c r="HCT57" s="15"/>
      <c r="HCU57" s="15"/>
      <c r="HCV57" s="15"/>
      <c r="HCW57" s="15"/>
      <c r="HCX57" s="15"/>
      <c r="HCY57" s="15"/>
      <c r="HCZ57" s="15"/>
      <c r="HDA57" s="15"/>
      <c r="HDB57" s="15"/>
      <c r="HDC57" s="15"/>
      <c r="HDD57" s="15"/>
      <c r="HDE57" s="15"/>
      <c r="HDF57" s="15"/>
      <c r="HDG57" s="15"/>
      <c r="HDH57" s="15"/>
      <c r="HDI57" s="15"/>
      <c r="HDJ57" s="15"/>
      <c r="HDK57" s="15"/>
      <c r="HDL57" s="15"/>
      <c r="HDM57" s="15"/>
      <c r="HDN57" s="15"/>
      <c r="HDO57" s="15"/>
      <c r="HDP57" s="15"/>
      <c r="HDQ57" s="15"/>
      <c r="HDR57" s="15"/>
      <c r="HDS57" s="15"/>
      <c r="HDT57" s="15"/>
      <c r="HDU57" s="15"/>
      <c r="HDV57" s="15"/>
      <c r="HDW57" s="15"/>
      <c r="HDX57" s="15"/>
      <c r="HDY57" s="15"/>
      <c r="HDZ57" s="15"/>
      <c r="HEA57" s="15"/>
      <c r="HEB57" s="15"/>
      <c r="HEC57" s="15"/>
      <c r="HED57" s="15"/>
      <c r="HEE57" s="15"/>
      <c r="HEF57" s="15"/>
      <c r="HEG57" s="15"/>
      <c r="HEH57" s="15"/>
      <c r="HEI57" s="15"/>
      <c r="HEJ57" s="15"/>
      <c r="HEK57" s="15"/>
      <c r="HEL57" s="15"/>
      <c r="HEM57" s="15"/>
      <c r="HEN57" s="15"/>
      <c r="HEO57" s="15"/>
      <c r="HEP57" s="15"/>
      <c r="HEQ57" s="15"/>
      <c r="HER57" s="15"/>
      <c r="HES57" s="15"/>
      <c r="HET57" s="15"/>
      <c r="HEU57" s="15"/>
      <c r="HEV57" s="15"/>
      <c r="HEW57" s="15"/>
      <c r="HEX57" s="15"/>
      <c r="HEY57" s="15"/>
      <c r="HEZ57" s="15"/>
      <c r="HFA57" s="15"/>
      <c r="HFB57" s="15"/>
      <c r="HFC57" s="15"/>
      <c r="HFD57" s="15"/>
      <c r="HFE57" s="15"/>
      <c r="HFF57" s="15"/>
      <c r="HFG57" s="15"/>
      <c r="HFH57" s="15"/>
      <c r="HFI57" s="15"/>
      <c r="HFJ57" s="15"/>
      <c r="HFK57" s="15"/>
      <c r="HFL57" s="15"/>
      <c r="HFM57" s="15"/>
      <c r="HFN57" s="15"/>
      <c r="HFO57" s="15"/>
      <c r="HFP57" s="15"/>
      <c r="HFQ57" s="15"/>
      <c r="HFR57" s="15"/>
      <c r="HFS57" s="15"/>
      <c r="HFT57" s="15"/>
      <c r="HFU57" s="15"/>
      <c r="HFV57" s="15"/>
      <c r="HFW57" s="15"/>
      <c r="HFX57" s="15"/>
      <c r="HFY57" s="15"/>
      <c r="HFZ57" s="15"/>
      <c r="HGA57" s="15"/>
      <c r="HGB57" s="15"/>
      <c r="HGC57" s="15"/>
      <c r="HGD57" s="15"/>
      <c r="HGE57" s="15"/>
      <c r="HGF57" s="15"/>
      <c r="HGG57" s="15"/>
      <c r="HGH57" s="15"/>
      <c r="HGI57" s="15"/>
      <c r="HGJ57" s="15"/>
      <c r="HGK57" s="15"/>
      <c r="HGL57" s="15"/>
      <c r="HGM57" s="15"/>
      <c r="HGN57" s="15"/>
      <c r="HGO57" s="15"/>
      <c r="HGP57" s="15"/>
      <c r="HGQ57" s="15"/>
      <c r="HGR57" s="15"/>
      <c r="HGS57" s="15"/>
      <c r="HGT57" s="15"/>
      <c r="HGU57" s="15"/>
      <c r="HGV57" s="15"/>
      <c r="HGW57" s="15"/>
      <c r="HGX57" s="15"/>
      <c r="HGY57" s="15"/>
      <c r="HGZ57" s="15"/>
      <c r="HHA57" s="15"/>
      <c r="HHB57" s="15"/>
      <c r="HHC57" s="15"/>
      <c r="HHD57" s="15"/>
      <c r="HHE57" s="15"/>
      <c r="HHF57" s="15"/>
      <c r="HHG57" s="15"/>
      <c r="HHH57" s="15"/>
      <c r="HHI57" s="15"/>
      <c r="HHJ57" s="15"/>
      <c r="HHK57" s="15"/>
      <c r="HHL57" s="15"/>
      <c r="HHM57" s="15"/>
      <c r="HHN57" s="15"/>
      <c r="HHO57" s="15"/>
      <c r="HHP57" s="15"/>
      <c r="HHQ57" s="15"/>
      <c r="HHR57" s="15"/>
      <c r="HHS57" s="15"/>
      <c r="HHT57" s="15"/>
      <c r="HHU57" s="15"/>
      <c r="HHV57" s="15"/>
      <c r="HHW57" s="15"/>
      <c r="HHX57" s="15"/>
      <c r="HHY57" s="15"/>
      <c r="HHZ57" s="15"/>
      <c r="HIA57" s="15"/>
      <c r="HIB57" s="15"/>
      <c r="HIC57" s="15"/>
      <c r="HID57" s="15"/>
      <c r="HIE57" s="15"/>
      <c r="HIF57" s="15"/>
      <c r="HIG57" s="15"/>
      <c r="HIH57" s="15"/>
      <c r="HII57" s="15"/>
      <c r="HIJ57" s="15"/>
      <c r="HIK57" s="15"/>
      <c r="HIL57" s="15"/>
      <c r="HIM57" s="15"/>
      <c r="HIN57" s="15"/>
      <c r="HIO57" s="15"/>
      <c r="HIP57" s="15"/>
      <c r="HIQ57" s="15"/>
      <c r="HIR57" s="15"/>
      <c r="HIS57" s="15"/>
      <c r="HIT57" s="15"/>
      <c r="HIU57" s="15"/>
      <c r="HIV57" s="15"/>
      <c r="HIW57" s="15"/>
      <c r="HIX57" s="15"/>
      <c r="HIY57" s="15"/>
      <c r="HIZ57" s="15"/>
      <c r="HJA57" s="15"/>
      <c r="HJB57" s="15"/>
      <c r="HJC57" s="15"/>
      <c r="HJD57" s="15"/>
      <c r="HJE57" s="15"/>
      <c r="HJF57" s="15"/>
      <c r="HJG57" s="15"/>
      <c r="HJH57" s="15"/>
      <c r="HJI57" s="15"/>
      <c r="HJJ57" s="15"/>
      <c r="HJK57" s="15"/>
      <c r="HJL57" s="15"/>
      <c r="HJM57" s="15"/>
      <c r="HJN57" s="15"/>
      <c r="HJO57" s="15"/>
      <c r="HJP57" s="15"/>
      <c r="HJQ57" s="15"/>
      <c r="HJR57" s="15"/>
      <c r="HJS57" s="15"/>
      <c r="HJT57" s="15"/>
      <c r="HJU57" s="15"/>
      <c r="HJV57" s="15"/>
      <c r="HJW57" s="15"/>
      <c r="HJX57" s="15"/>
      <c r="HJY57" s="15"/>
      <c r="HJZ57" s="15"/>
      <c r="HKA57" s="15"/>
      <c r="HKB57" s="15"/>
      <c r="HKC57" s="15"/>
      <c r="HKD57" s="15"/>
      <c r="HKE57" s="15"/>
      <c r="HKF57" s="15"/>
      <c r="HKG57" s="15"/>
      <c r="HKH57" s="15"/>
      <c r="HKI57" s="15"/>
      <c r="HKJ57" s="15"/>
      <c r="HKK57" s="15"/>
      <c r="HKL57" s="15"/>
      <c r="HKM57" s="15"/>
      <c r="HKN57" s="15"/>
      <c r="HKO57" s="15"/>
      <c r="HKP57" s="15"/>
      <c r="HKQ57" s="15"/>
      <c r="HKR57" s="15"/>
      <c r="HKS57" s="15"/>
      <c r="HKT57" s="15"/>
      <c r="HKU57" s="15"/>
      <c r="HKV57" s="15"/>
      <c r="HKW57" s="15"/>
      <c r="HKX57" s="15"/>
      <c r="HKY57" s="15"/>
      <c r="HKZ57" s="15"/>
      <c r="HLA57" s="15"/>
      <c r="HLB57" s="15"/>
      <c r="HLC57" s="15"/>
      <c r="HLD57" s="15"/>
      <c r="HLE57" s="15"/>
      <c r="HLF57" s="15"/>
      <c r="HLG57" s="15"/>
      <c r="HLH57" s="15"/>
      <c r="HLI57" s="15"/>
      <c r="HLJ57" s="15"/>
      <c r="HLK57" s="15"/>
      <c r="HLL57" s="15"/>
      <c r="HLM57" s="15"/>
      <c r="HLN57" s="15"/>
      <c r="HLO57" s="15"/>
      <c r="HLP57" s="15"/>
      <c r="HLQ57" s="15"/>
      <c r="HLR57" s="15"/>
      <c r="HLS57" s="15"/>
      <c r="HLT57" s="15"/>
      <c r="HLU57" s="15"/>
      <c r="HLV57" s="15"/>
      <c r="HLW57" s="15"/>
      <c r="HLX57" s="15"/>
      <c r="HLY57" s="15"/>
      <c r="HLZ57" s="15"/>
      <c r="HMA57" s="15"/>
      <c r="HMB57" s="15"/>
      <c r="HMC57" s="15"/>
      <c r="HMD57" s="15"/>
      <c r="HME57" s="15"/>
      <c r="HMF57" s="15"/>
      <c r="HMG57" s="15"/>
      <c r="HMH57" s="15"/>
      <c r="HMI57" s="15"/>
      <c r="HMJ57" s="15"/>
      <c r="HMK57" s="15"/>
      <c r="HML57" s="15"/>
      <c r="HMM57" s="15"/>
      <c r="HMN57" s="15"/>
      <c r="HMO57" s="15"/>
      <c r="HMP57" s="15"/>
      <c r="HMQ57" s="15"/>
      <c r="HMR57" s="15"/>
      <c r="HMS57" s="15"/>
      <c r="HMT57" s="15"/>
      <c r="HMU57" s="15"/>
      <c r="HMV57" s="15"/>
      <c r="HMW57" s="15"/>
      <c r="HMX57" s="15"/>
      <c r="HMY57" s="15"/>
      <c r="HMZ57" s="15"/>
      <c r="HNA57" s="15"/>
      <c r="HNB57" s="15"/>
      <c r="HNC57" s="15"/>
      <c r="HND57" s="15"/>
      <c r="HNE57" s="15"/>
      <c r="HNF57" s="15"/>
      <c r="HNG57" s="15"/>
      <c r="HNH57" s="15"/>
      <c r="HNI57" s="15"/>
      <c r="HNJ57" s="15"/>
      <c r="HNK57" s="15"/>
      <c r="HNL57" s="15"/>
      <c r="HNM57" s="15"/>
      <c r="HNN57" s="15"/>
      <c r="HNO57" s="15"/>
      <c r="HNP57" s="15"/>
      <c r="HNQ57" s="15"/>
      <c r="HNR57" s="15"/>
      <c r="HNS57" s="15"/>
      <c r="HNT57" s="15"/>
      <c r="HNU57" s="15"/>
      <c r="HNV57" s="15"/>
      <c r="HNW57" s="15"/>
      <c r="HNX57" s="15"/>
      <c r="HNY57" s="15"/>
      <c r="HNZ57" s="15"/>
      <c r="HOA57" s="15"/>
      <c r="HOB57" s="15"/>
      <c r="HOC57" s="15"/>
      <c r="HOD57" s="15"/>
      <c r="HOE57" s="15"/>
      <c r="HOF57" s="15"/>
      <c r="HOG57" s="15"/>
      <c r="HOH57" s="15"/>
      <c r="HOI57" s="15"/>
      <c r="HOJ57" s="15"/>
      <c r="HOK57" s="15"/>
      <c r="HOL57" s="15"/>
      <c r="HOM57" s="15"/>
      <c r="HON57" s="15"/>
      <c r="HOO57" s="15"/>
      <c r="HOP57" s="15"/>
      <c r="HOQ57" s="15"/>
      <c r="HOR57" s="15"/>
      <c r="HOS57" s="15"/>
      <c r="HOT57" s="15"/>
      <c r="HOU57" s="15"/>
      <c r="HOV57" s="15"/>
      <c r="HOW57" s="15"/>
      <c r="HOX57" s="15"/>
      <c r="HOY57" s="15"/>
      <c r="HOZ57" s="15"/>
      <c r="HPA57" s="15"/>
      <c r="HPB57" s="15"/>
      <c r="HPC57" s="15"/>
      <c r="HPD57" s="15"/>
      <c r="HPE57" s="15"/>
      <c r="HPF57" s="15"/>
      <c r="HPG57" s="15"/>
      <c r="HPH57" s="15"/>
      <c r="HPI57" s="15"/>
      <c r="HPJ57" s="15"/>
      <c r="HPK57" s="15"/>
      <c r="HPL57" s="15"/>
      <c r="HPM57" s="15"/>
      <c r="HPN57" s="15"/>
      <c r="HPO57" s="15"/>
      <c r="HPP57" s="15"/>
      <c r="HPQ57" s="15"/>
      <c r="HPR57" s="15"/>
      <c r="HPS57" s="15"/>
      <c r="HPT57" s="15"/>
      <c r="HPU57" s="15"/>
      <c r="HPV57" s="15"/>
      <c r="HPW57" s="15"/>
      <c r="HPX57" s="15"/>
      <c r="HPY57" s="15"/>
      <c r="HPZ57" s="15"/>
      <c r="HQA57" s="15"/>
      <c r="HQB57" s="15"/>
      <c r="HQC57" s="15"/>
      <c r="HQD57" s="15"/>
      <c r="HQE57" s="15"/>
      <c r="HQF57" s="15"/>
      <c r="HQG57" s="15"/>
      <c r="HQH57" s="15"/>
      <c r="HQI57" s="15"/>
      <c r="HQJ57" s="15"/>
      <c r="HQK57" s="15"/>
      <c r="HQL57" s="15"/>
      <c r="HQM57" s="15"/>
      <c r="HQN57" s="15"/>
      <c r="HQO57" s="15"/>
      <c r="HQP57" s="15"/>
      <c r="HQQ57" s="15"/>
      <c r="HQR57" s="15"/>
      <c r="HQS57" s="15"/>
      <c r="HQT57" s="15"/>
      <c r="HQU57" s="15"/>
      <c r="HQV57" s="15"/>
      <c r="HQW57" s="15"/>
      <c r="HQX57" s="15"/>
      <c r="HQY57" s="15"/>
      <c r="HQZ57" s="15"/>
      <c r="HRA57" s="15"/>
      <c r="HRB57" s="15"/>
      <c r="HRC57" s="15"/>
      <c r="HRD57" s="15"/>
      <c r="HRE57" s="15"/>
      <c r="HRF57" s="15"/>
      <c r="HRG57" s="15"/>
      <c r="HRH57" s="15"/>
      <c r="HRI57" s="15"/>
      <c r="HRJ57" s="15"/>
      <c r="HRK57" s="15"/>
      <c r="HRL57" s="15"/>
      <c r="HRM57" s="15"/>
      <c r="HRN57" s="15"/>
      <c r="HRO57" s="15"/>
      <c r="HRP57" s="15"/>
      <c r="HRQ57" s="15"/>
      <c r="HRR57" s="15"/>
      <c r="HRS57" s="15"/>
      <c r="HRT57" s="15"/>
      <c r="HRU57" s="15"/>
      <c r="HRV57" s="15"/>
      <c r="HRW57" s="15"/>
      <c r="HRX57" s="15"/>
      <c r="HRY57" s="15"/>
      <c r="HRZ57" s="15"/>
      <c r="HSA57" s="15"/>
      <c r="HSB57" s="15"/>
      <c r="HSC57" s="15"/>
      <c r="HSD57" s="15"/>
      <c r="HSE57" s="15"/>
      <c r="HSF57" s="15"/>
      <c r="HSG57" s="15"/>
      <c r="HSH57" s="15"/>
      <c r="HSI57" s="15"/>
      <c r="HSJ57" s="15"/>
      <c r="HSK57" s="15"/>
      <c r="HSL57" s="15"/>
      <c r="HSM57" s="15"/>
      <c r="HSN57" s="15"/>
      <c r="HSO57" s="15"/>
      <c r="HSP57" s="15"/>
      <c r="HSQ57" s="15"/>
      <c r="HSR57" s="15"/>
      <c r="HSS57" s="15"/>
      <c r="HST57" s="15"/>
      <c r="HSU57" s="15"/>
      <c r="HSV57" s="15"/>
      <c r="HSW57" s="15"/>
      <c r="HSX57" s="15"/>
      <c r="HSY57" s="15"/>
      <c r="HSZ57" s="15"/>
      <c r="HTA57" s="15"/>
      <c r="HTB57" s="15"/>
      <c r="HTC57" s="15"/>
      <c r="HTD57" s="15"/>
      <c r="HTE57" s="15"/>
      <c r="HTF57" s="15"/>
      <c r="HTG57" s="15"/>
      <c r="HTH57" s="15"/>
      <c r="HTI57" s="15"/>
      <c r="HTJ57" s="15"/>
      <c r="HTK57" s="15"/>
      <c r="HTL57" s="15"/>
      <c r="HTM57" s="15"/>
      <c r="HTN57" s="15"/>
      <c r="HTO57" s="15"/>
      <c r="HTP57" s="15"/>
      <c r="HTQ57" s="15"/>
      <c r="HTR57" s="15"/>
      <c r="HTS57" s="15"/>
      <c r="HTT57" s="15"/>
      <c r="HTU57" s="15"/>
      <c r="HTV57" s="15"/>
      <c r="HTW57" s="15"/>
      <c r="HTX57" s="15"/>
      <c r="HTY57" s="15"/>
      <c r="HTZ57" s="15"/>
      <c r="HUA57" s="15"/>
      <c r="HUB57" s="15"/>
      <c r="HUC57" s="15"/>
      <c r="HUD57" s="15"/>
      <c r="HUE57" s="15"/>
      <c r="HUF57" s="15"/>
      <c r="HUG57" s="15"/>
      <c r="HUH57" s="15"/>
      <c r="HUI57" s="15"/>
      <c r="HUJ57" s="15"/>
      <c r="HUK57" s="15"/>
      <c r="HUL57" s="15"/>
      <c r="HUM57" s="15"/>
      <c r="HUN57" s="15"/>
      <c r="HUO57" s="15"/>
      <c r="HUP57" s="15"/>
      <c r="HUQ57" s="15"/>
      <c r="HUR57" s="15"/>
      <c r="HUS57" s="15"/>
      <c r="HUT57" s="15"/>
      <c r="HUU57" s="15"/>
      <c r="HUV57" s="15"/>
      <c r="HUW57" s="15"/>
      <c r="HUX57" s="15"/>
      <c r="HUY57" s="15"/>
      <c r="HUZ57" s="15"/>
      <c r="HVA57" s="15"/>
      <c r="HVB57" s="15"/>
      <c r="HVC57" s="15"/>
      <c r="HVD57" s="15"/>
      <c r="HVE57" s="15"/>
      <c r="HVF57" s="15"/>
      <c r="HVG57" s="15"/>
      <c r="HVH57" s="15"/>
      <c r="HVI57" s="15"/>
      <c r="HVJ57" s="15"/>
      <c r="HVK57" s="15"/>
      <c r="HVL57" s="15"/>
      <c r="HVM57" s="15"/>
      <c r="HVN57" s="15"/>
      <c r="HVO57" s="15"/>
      <c r="HVP57" s="15"/>
      <c r="HVQ57" s="15"/>
      <c r="HVR57" s="15"/>
      <c r="HVS57" s="15"/>
      <c r="HVT57" s="15"/>
      <c r="HVU57" s="15"/>
      <c r="HVV57" s="15"/>
      <c r="HVW57" s="15"/>
      <c r="HVX57" s="15"/>
      <c r="HVY57" s="15"/>
      <c r="HVZ57" s="15"/>
      <c r="HWA57" s="15"/>
      <c r="HWB57" s="15"/>
      <c r="HWC57" s="15"/>
      <c r="HWD57" s="15"/>
      <c r="HWE57" s="15"/>
      <c r="HWF57" s="15"/>
      <c r="HWG57" s="15"/>
      <c r="HWH57" s="15"/>
      <c r="HWI57" s="15"/>
      <c r="HWJ57" s="15"/>
      <c r="HWK57" s="15"/>
      <c r="HWL57" s="15"/>
      <c r="HWM57" s="15"/>
      <c r="HWN57" s="15"/>
      <c r="HWO57" s="15"/>
      <c r="HWP57" s="15"/>
      <c r="HWQ57" s="15"/>
      <c r="HWR57" s="15"/>
      <c r="HWS57" s="15"/>
      <c r="HWT57" s="15"/>
      <c r="HWU57" s="15"/>
      <c r="HWV57" s="15"/>
      <c r="HWW57" s="15"/>
      <c r="HWX57" s="15"/>
      <c r="HWY57" s="15"/>
      <c r="HWZ57" s="15"/>
      <c r="HXA57" s="15"/>
      <c r="HXB57" s="15"/>
      <c r="HXC57" s="15"/>
      <c r="HXD57" s="15"/>
      <c r="HXE57" s="15"/>
      <c r="HXF57" s="15"/>
      <c r="HXG57" s="15"/>
      <c r="HXH57" s="15"/>
      <c r="HXI57" s="15"/>
      <c r="HXJ57" s="15"/>
      <c r="HXK57" s="15"/>
      <c r="HXL57" s="15"/>
      <c r="HXM57" s="15"/>
      <c r="HXN57" s="15"/>
      <c r="HXO57" s="15"/>
      <c r="HXP57" s="15"/>
      <c r="HXQ57" s="15"/>
      <c r="HXR57" s="15"/>
      <c r="HXS57" s="15"/>
      <c r="HXT57" s="15"/>
      <c r="HXU57" s="15"/>
      <c r="HXV57" s="15"/>
      <c r="HXW57" s="15"/>
      <c r="HXX57" s="15"/>
      <c r="HXY57" s="15"/>
      <c r="HXZ57" s="15"/>
      <c r="HYA57" s="15"/>
      <c r="HYB57" s="15"/>
      <c r="HYC57" s="15"/>
      <c r="HYD57" s="15"/>
      <c r="HYE57" s="15"/>
      <c r="HYF57" s="15"/>
      <c r="HYG57" s="15"/>
      <c r="HYH57" s="15"/>
      <c r="HYI57" s="15"/>
      <c r="HYJ57" s="15"/>
      <c r="HYK57" s="15"/>
      <c r="HYL57" s="15"/>
      <c r="HYM57" s="15"/>
      <c r="HYN57" s="15"/>
      <c r="HYO57" s="15"/>
      <c r="HYP57" s="15"/>
      <c r="HYQ57" s="15"/>
      <c r="HYR57" s="15"/>
      <c r="HYS57" s="15"/>
      <c r="HYT57" s="15"/>
      <c r="HYU57" s="15"/>
      <c r="HYV57" s="15"/>
      <c r="HYW57" s="15"/>
      <c r="HYX57" s="15"/>
      <c r="HYY57" s="15"/>
      <c r="HYZ57" s="15"/>
      <c r="HZA57" s="15"/>
      <c r="HZB57" s="15"/>
      <c r="HZC57" s="15"/>
      <c r="HZD57" s="15"/>
      <c r="HZE57" s="15"/>
      <c r="HZF57" s="15"/>
      <c r="HZG57" s="15"/>
      <c r="HZH57" s="15"/>
      <c r="HZI57" s="15"/>
      <c r="HZJ57" s="15"/>
      <c r="HZK57" s="15"/>
      <c r="HZL57" s="15"/>
      <c r="HZM57" s="15"/>
      <c r="HZN57" s="15"/>
      <c r="HZO57" s="15"/>
      <c r="HZP57" s="15"/>
      <c r="HZQ57" s="15"/>
      <c r="HZR57" s="15"/>
      <c r="HZS57" s="15"/>
      <c r="HZT57" s="15"/>
      <c r="HZU57" s="15"/>
      <c r="HZV57" s="15"/>
      <c r="HZW57" s="15"/>
      <c r="HZX57" s="15"/>
      <c r="HZY57" s="15"/>
      <c r="HZZ57" s="15"/>
      <c r="IAA57" s="15"/>
      <c r="IAB57" s="15"/>
      <c r="IAC57" s="15"/>
      <c r="IAD57" s="15"/>
      <c r="IAE57" s="15"/>
      <c r="IAF57" s="15"/>
      <c r="IAG57" s="15"/>
      <c r="IAH57" s="15"/>
      <c r="IAI57" s="15"/>
      <c r="IAJ57" s="15"/>
      <c r="IAK57" s="15"/>
      <c r="IAL57" s="15"/>
      <c r="IAM57" s="15"/>
      <c r="IAN57" s="15"/>
      <c r="IAO57" s="15"/>
      <c r="IAP57" s="15"/>
      <c r="IAQ57" s="15"/>
      <c r="IAR57" s="15"/>
      <c r="IAS57" s="15"/>
      <c r="IAT57" s="15"/>
      <c r="IAU57" s="15"/>
      <c r="IAV57" s="15"/>
      <c r="IAW57" s="15"/>
      <c r="IAX57" s="15"/>
      <c r="IAY57" s="15"/>
      <c r="IAZ57" s="15"/>
      <c r="IBA57" s="15"/>
      <c r="IBB57" s="15"/>
      <c r="IBC57" s="15"/>
      <c r="IBD57" s="15"/>
      <c r="IBE57" s="15"/>
      <c r="IBF57" s="15"/>
      <c r="IBG57" s="15"/>
      <c r="IBH57" s="15"/>
      <c r="IBI57" s="15"/>
      <c r="IBJ57" s="15"/>
      <c r="IBK57" s="15"/>
      <c r="IBL57" s="15"/>
      <c r="IBM57" s="15"/>
      <c r="IBN57" s="15"/>
      <c r="IBO57" s="15"/>
      <c r="IBP57" s="15"/>
      <c r="IBQ57" s="15"/>
      <c r="IBR57" s="15"/>
      <c r="IBS57" s="15"/>
      <c r="IBT57" s="15"/>
      <c r="IBU57" s="15"/>
      <c r="IBV57" s="15"/>
      <c r="IBW57" s="15"/>
      <c r="IBX57" s="15"/>
      <c r="IBY57" s="15"/>
      <c r="IBZ57" s="15"/>
      <c r="ICA57" s="15"/>
      <c r="ICB57" s="15"/>
      <c r="ICC57" s="15"/>
      <c r="ICD57" s="15"/>
      <c r="ICE57" s="15"/>
      <c r="ICF57" s="15"/>
      <c r="ICG57" s="15"/>
      <c r="ICH57" s="15"/>
      <c r="ICI57" s="15"/>
      <c r="ICJ57" s="15"/>
      <c r="ICK57" s="15"/>
      <c r="ICL57" s="15"/>
      <c r="ICM57" s="15"/>
      <c r="ICN57" s="15"/>
      <c r="ICO57" s="15"/>
      <c r="ICP57" s="15"/>
      <c r="ICQ57" s="15"/>
      <c r="ICR57" s="15"/>
      <c r="ICS57" s="15"/>
      <c r="ICT57" s="15"/>
      <c r="ICU57" s="15"/>
      <c r="ICV57" s="15"/>
      <c r="ICW57" s="15"/>
      <c r="ICX57" s="15"/>
      <c r="ICY57" s="15"/>
      <c r="ICZ57" s="15"/>
      <c r="IDA57" s="15"/>
      <c r="IDB57" s="15"/>
      <c r="IDC57" s="15"/>
      <c r="IDD57" s="15"/>
      <c r="IDE57" s="15"/>
      <c r="IDF57" s="15"/>
      <c r="IDG57" s="15"/>
      <c r="IDH57" s="15"/>
      <c r="IDI57" s="15"/>
      <c r="IDJ57" s="15"/>
      <c r="IDK57" s="15"/>
      <c r="IDL57" s="15"/>
      <c r="IDM57" s="15"/>
      <c r="IDN57" s="15"/>
      <c r="IDO57" s="15"/>
      <c r="IDP57" s="15"/>
      <c r="IDQ57" s="15"/>
      <c r="IDR57" s="15"/>
      <c r="IDS57" s="15"/>
      <c r="IDT57" s="15"/>
      <c r="IDU57" s="15"/>
      <c r="IDV57" s="15"/>
      <c r="IDW57" s="15"/>
      <c r="IDX57" s="15"/>
      <c r="IDY57" s="15"/>
      <c r="IDZ57" s="15"/>
      <c r="IEA57" s="15"/>
      <c r="IEB57" s="15"/>
      <c r="IEC57" s="15"/>
      <c r="IED57" s="15"/>
      <c r="IEE57" s="15"/>
      <c r="IEF57" s="15"/>
      <c r="IEG57" s="15"/>
      <c r="IEH57" s="15"/>
      <c r="IEI57" s="15"/>
      <c r="IEJ57" s="15"/>
      <c r="IEK57" s="15"/>
      <c r="IEL57" s="15"/>
      <c r="IEM57" s="15"/>
      <c r="IEN57" s="15"/>
      <c r="IEO57" s="15"/>
      <c r="IEP57" s="15"/>
      <c r="IEQ57" s="15"/>
      <c r="IER57" s="15"/>
      <c r="IES57" s="15"/>
      <c r="IET57" s="15"/>
      <c r="IEU57" s="15"/>
      <c r="IEV57" s="15"/>
      <c r="IEW57" s="15"/>
      <c r="IEX57" s="15"/>
      <c r="IEY57" s="15"/>
      <c r="IEZ57" s="15"/>
      <c r="IFA57" s="15"/>
      <c r="IFB57" s="15"/>
      <c r="IFC57" s="15"/>
      <c r="IFD57" s="15"/>
      <c r="IFE57" s="15"/>
      <c r="IFF57" s="15"/>
      <c r="IFG57" s="15"/>
      <c r="IFH57" s="15"/>
      <c r="IFI57" s="15"/>
      <c r="IFJ57" s="15"/>
      <c r="IFK57" s="15"/>
      <c r="IFL57" s="15"/>
      <c r="IFM57" s="15"/>
      <c r="IFN57" s="15"/>
      <c r="IFO57" s="15"/>
      <c r="IFP57" s="15"/>
      <c r="IFQ57" s="15"/>
      <c r="IFR57" s="15"/>
      <c r="IFS57" s="15"/>
      <c r="IFT57" s="15"/>
      <c r="IFU57" s="15"/>
      <c r="IFV57" s="15"/>
      <c r="IFW57" s="15"/>
      <c r="IFX57" s="15"/>
      <c r="IFY57" s="15"/>
      <c r="IFZ57" s="15"/>
      <c r="IGA57" s="15"/>
      <c r="IGB57" s="15"/>
      <c r="IGC57" s="15"/>
      <c r="IGD57" s="15"/>
      <c r="IGE57" s="15"/>
      <c r="IGF57" s="15"/>
      <c r="IGG57" s="15"/>
      <c r="IGH57" s="15"/>
      <c r="IGI57" s="15"/>
      <c r="IGJ57" s="15"/>
      <c r="IGK57" s="15"/>
      <c r="IGL57" s="15"/>
      <c r="IGM57" s="15"/>
      <c r="IGN57" s="15"/>
      <c r="IGO57" s="15"/>
      <c r="IGP57" s="15"/>
      <c r="IGQ57" s="15"/>
      <c r="IGR57" s="15"/>
      <c r="IGS57" s="15"/>
      <c r="IGT57" s="15"/>
      <c r="IGU57" s="15"/>
      <c r="IGV57" s="15"/>
      <c r="IGW57" s="15"/>
      <c r="IGX57" s="15"/>
      <c r="IGY57" s="15"/>
      <c r="IGZ57" s="15"/>
      <c r="IHA57" s="15"/>
      <c r="IHB57" s="15"/>
      <c r="IHC57" s="15"/>
      <c r="IHD57" s="15"/>
      <c r="IHE57" s="15"/>
      <c r="IHF57" s="15"/>
      <c r="IHG57" s="15"/>
      <c r="IHH57" s="15"/>
      <c r="IHI57" s="15"/>
      <c r="IHJ57" s="15"/>
      <c r="IHK57" s="15"/>
      <c r="IHL57" s="15"/>
      <c r="IHM57" s="15"/>
      <c r="IHN57" s="15"/>
      <c r="IHO57" s="15"/>
      <c r="IHP57" s="15"/>
      <c r="IHQ57" s="15"/>
      <c r="IHR57" s="15"/>
      <c r="IHS57" s="15"/>
      <c r="IHT57" s="15"/>
      <c r="IHU57" s="15"/>
      <c r="IHV57" s="15"/>
      <c r="IHW57" s="15"/>
      <c r="IHX57" s="15"/>
      <c r="IHY57" s="15"/>
      <c r="IHZ57" s="15"/>
      <c r="IIA57" s="15"/>
      <c r="IIB57" s="15"/>
      <c r="IIC57" s="15"/>
      <c r="IID57" s="15"/>
      <c r="IIE57" s="15"/>
      <c r="IIF57" s="15"/>
      <c r="IIG57" s="15"/>
      <c r="IIH57" s="15"/>
      <c r="III57" s="15"/>
      <c r="IIJ57" s="15"/>
      <c r="IIK57" s="15"/>
      <c r="IIL57" s="15"/>
      <c r="IIM57" s="15"/>
      <c r="IIN57" s="15"/>
      <c r="IIO57" s="15"/>
      <c r="IIP57" s="15"/>
      <c r="IIQ57" s="15"/>
      <c r="IIR57" s="15"/>
      <c r="IIS57" s="15"/>
      <c r="IIT57" s="15"/>
      <c r="IIU57" s="15"/>
      <c r="IIV57" s="15"/>
      <c r="IIW57" s="15"/>
      <c r="IIX57" s="15"/>
      <c r="IIY57" s="15"/>
      <c r="IIZ57" s="15"/>
      <c r="IJA57" s="15"/>
      <c r="IJB57" s="15"/>
      <c r="IJC57" s="15"/>
      <c r="IJD57" s="15"/>
      <c r="IJE57" s="15"/>
      <c r="IJF57" s="15"/>
      <c r="IJG57" s="15"/>
      <c r="IJH57" s="15"/>
      <c r="IJI57" s="15"/>
      <c r="IJJ57" s="15"/>
      <c r="IJK57" s="15"/>
      <c r="IJL57" s="15"/>
      <c r="IJM57" s="15"/>
      <c r="IJN57" s="15"/>
      <c r="IJO57" s="15"/>
      <c r="IJP57" s="15"/>
      <c r="IJQ57" s="15"/>
      <c r="IJR57" s="15"/>
      <c r="IJS57" s="15"/>
      <c r="IJT57" s="15"/>
      <c r="IJU57" s="15"/>
      <c r="IJV57" s="15"/>
      <c r="IJW57" s="15"/>
      <c r="IJX57" s="15"/>
      <c r="IJY57" s="15"/>
      <c r="IJZ57" s="15"/>
      <c r="IKA57" s="15"/>
      <c r="IKB57" s="15"/>
      <c r="IKC57" s="15"/>
      <c r="IKD57" s="15"/>
      <c r="IKE57" s="15"/>
      <c r="IKF57" s="15"/>
      <c r="IKG57" s="15"/>
      <c r="IKH57" s="15"/>
      <c r="IKI57" s="15"/>
      <c r="IKJ57" s="15"/>
      <c r="IKK57" s="15"/>
      <c r="IKL57" s="15"/>
      <c r="IKM57" s="15"/>
      <c r="IKN57" s="15"/>
      <c r="IKO57" s="15"/>
      <c r="IKP57" s="15"/>
      <c r="IKQ57" s="15"/>
      <c r="IKR57" s="15"/>
      <c r="IKS57" s="15"/>
      <c r="IKT57" s="15"/>
      <c r="IKU57" s="15"/>
      <c r="IKV57" s="15"/>
      <c r="IKW57" s="15"/>
      <c r="IKX57" s="15"/>
      <c r="IKY57" s="15"/>
      <c r="IKZ57" s="15"/>
      <c r="ILA57" s="15"/>
      <c r="ILB57" s="15"/>
      <c r="ILC57" s="15"/>
      <c r="ILD57" s="15"/>
      <c r="ILE57" s="15"/>
      <c r="ILF57" s="15"/>
      <c r="ILG57" s="15"/>
      <c r="ILH57" s="15"/>
      <c r="ILI57" s="15"/>
      <c r="ILJ57" s="15"/>
      <c r="ILK57" s="15"/>
      <c r="ILL57" s="15"/>
      <c r="ILM57" s="15"/>
      <c r="ILN57" s="15"/>
      <c r="ILO57" s="15"/>
      <c r="ILP57" s="15"/>
      <c r="ILQ57" s="15"/>
      <c r="ILR57" s="15"/>
      <c r="ILS57" s="15"/>
      <c r="ILT57" s="15"/>
      <c r="ILU57" s="15"/>
      <c r="ILV57" s="15"/>
      <c r="ILW57" s="15"/>
      <c r="ILX57" s="15"/>
      <c r="ILY57" s="15"/>
      <c r="ILZ57" s="15"/>
      <c r="IMA57" s="15"/>
      <c r="IMB57" s="15"/>
      <c r="IMC57" s="15"/>
      <c r="IMD57" s="15"/>
      <c r="IME57" s="15"/>
      <c r="IMF57" s="15"/>
      <c r="IMG57" s="15"/>
      <c r="IMH57" s="15"/>
      <c r="IMI57" s="15"/>
      <c r="IMJ57" s="15"/>
      <c r="IMK57" s="15"/>
      <c r="IML57" s="15"/>
      <c r="IMM57" s="15"/>
      <c r="IMN57" s="15"/>
      <c r="IMO57" s="15"/>
      <c r="IMP57" s="15"/>
      <c r="IMQ57" s="15"/>
      <c r="IMR57" s="15"/>
      <c r="IMS57" s="15"/>
      <c r="IMT57" s="15"/>
      <c r="IMU57" s="15"/>
      <c r="IMV57" s="15"/>
      <c r="IMW57" s="15"/>
      <c r="IMX57" s="15"/>
      <c r="IMY57" s="15"/>
      <c r="IMZ57" s="15"/>
      <c r="INA57" s="15"/>
      <c r="INB57" s="15"/>
      <c r="INC57" s="15"/>
      <c r="IND57" s="15"/>
      <c r="INE57" s="15"/>
      <c r="INF57" s="15"/>
      <c r="ING57" s="15"/>
      <c r="INH57" s="15"/>
      <c r="INI57" s="15"/>
      <c r="INJ57" s="15"/>
      <c r="INK57" s="15"/>
      <c r="INL57" s="15"/>
      <c r="INM57" s="15"/>
      <c r="INN57" s="15"/>
      <c r="INO57" s="15"/>
      <c r="INP57" s="15"/>
      <c r="INQ57" s="15"/>
      <c r="INR57" s="15"/>
      <c r="INS57" s="15"/>
      <c r="INT57" s="15"/>
      <c r="INU57" s="15"/>
      <c r="INV57" s="15"/>
      <c r="INW57" s="15"/>
      <c r="INX57" s="15"/>
      <c r="INY57" s="15"/>
      <c r="INZ57" s="15"/>
      <c r="IOA57" s="15"/>
      <c r="IOB57" s="15"/>
      <c r="IOC57" s="15"/>
      <c r="IOD57" s="15"/>
      <c r="IOE57" s="15"/>
      <c r="IOF57" s="15"/>
      <c r="IOG57" s="15"/>
      <c r="IOH57" s="15"/>
      <c r="IOI57" s="15"/>
      <c r="IOJ57" s="15"/>
      <c r="IOK57" s="15"/>
      <c r="IOL57" s="15"/>
      <c r="IOM57" s="15"/>
      <c r="ION57" s="15"/>
      <c r="IOO57" s="15"/>
      <c r="IOP57" s="15"/>
      <c r="IOQ57" s="15"/>
      <c r="IOR57" s="15"/>
      <c r="IOS57" s="15"/>
      <c r="IOT57" s="15"/>
      <c r="IOU57" s="15"/>
      <c r="IOV57" s="15"/>
      <c r="IOW57" s="15"/>
      <c r="IOX57" s="15"/>
      <c r="IOY57" s="15"/>
      <c r="IOZ57" s="15"/>
      <c r="IPA57" s="15"/>
      <c r="IPB57" s="15"/>
      <c r="IPC57" s="15"/>
      <c r="IPD57" s="15"/>
      <c r="IPE57" s="15"/>
      <c r="IPF57" s="15"/>
      <c r="IPG57" s="15"/>
      <c r="IPH57" s="15"/>
      <c r="IPI57" s="15"/>
      <c r="IPJ57" s="15"/>
      <c r="IPK57" s="15"/>
      <c r="IPL57" s="15"/>
      <c r="IPM57" s="15"/>
      <c r="IPN57" s="15"/>
      <c r="IPO57" s="15"/>
      <c r="IPP57" s="15"/>
      <c r="IPQ57" s="15"/>
      <c r="IPR57" s="15"/>
      <c r="IPS57" s="15"/>
      <c r="IPT57" s="15"/>
      <c r="IPU57" s="15"/>
      <c r="IPV57" s="15"/>
      <c r="IPW57" s="15"/>
      <c r="IPX57" s="15"/>
      <c r="IPY57" s="15"/>
      <c r="IPZ57" s="15"/>
      <c r="IQA57" s="15"/>
      <c r="IQB57" s="15"/>
      <c r="IQC57" s="15"/>
      <c r="IQD57" s="15"/>
      <c r="IQE57" s="15"/>
      <c r="IQF57" s="15"/>
      <c r="IQG57" s="15"/>
      <c r="IQH57" s="15"/>
      <c r="IQI57" s="15"/>
      <c r="IQJ57" s="15"/>
      <c r="IQK57" s="15"/>
      <c r="IQL57" s="15"/>
      <c r="IQM57" s="15"/>
      <c r="IQN57" s="15"/>
      <c r="IQO57" s="15"/>
      <c r="IQP57" s="15"/>
      <c r="IQQ57" s="15"/>
      <c r="IQR57" s="15"/>
      <c r="IQS57" s="15"/>
      <c r="IQT57" s="15"/>
      <c r="IQU57" s="15"/>
      <c r="IQV57" s="15"/>
      <c r="IQW57" s="15"/>
      <c r="IQX57" s="15"/>
      <c r="IQY57" s="15"/>
      <c r="IQZ57" s="15"/>
      <c r="IRA57" s="15"/>
      <c r="IRB57" s="15"/>
      <c r="IRC57" s="15"/>
      <c r="IRD57" s="15"/>
      <c r="IRE57" s="15"/>
      <c r="IRF57" s="15"/>
      <c r="IRG57" s="15"/>
      <c r="IRH57" s="15"/>
      <c r="IRI57" s="15"/>
      <c r="IRJ57" s="15"/>
      <c r="IRK57" s="15"/>
      <c r="IRL57" s="15"/>
      <c r="IRM57" s="15"/>
      <c r="IRN57" s="15"/>
      <c r="IRO57" s="15"/>
      <c r="IRP57" s="15"/>
      <c r="IRQ57" s="15"/>
      <c r="IRR57" s="15"/>
      <c r="IRS57" s="15"/>
      <c r="IRT57" s="15"/>
      <c r="IRU57" s="15"/>
      <c r="IRV57" s="15"/>
      <c r="IRW57" s="15"/>
      <c r="IRX57" s="15"/>
      <c r="IRY57" s="15"/>
      <c r="IRZ57" s="15"/>
      <c r="ISA57" s="15"/>
      <c r="ISB57" s="15"/>
      <c r="ISC57" s="15"/>
      <c r="ISD57" s="15"/>
      <c r="ISE57" s="15"/>
      <c r="ISF57" s="15"/>
      <c r="ISG57" s="15"/>
      <c r="ISH57" s="15"/>
      <c r="ISI57" s="15"/>
      <c r="ISJ57" s="15"/>
      <c r="ISK57" s="15"/>
      <c r="ISL57" s="15"/>
      <c r="ISM57" s="15"/>
      <c r="ISN57" s="15"/>
      <c r="ISO57" s="15"/>
      <c r="ISP57" s="15"/>
      <c r="ISQ57" s="15"/>
      <c r="ISR57" s="15"/>
      <c r="ISS57" s="15"/>
      <c r="IST57" s="15"/>
      <c r="ISU57" s="15"/>
      <c r="ISV57" s="15"/>
      <c r="ISW57" s="15"/>
      <c r="ISX57" s="15"/>
      <c r="ISY57" s="15"/>
      <c r="ISZ57" s="15"/>
      <c r="ITA57" s="15"/>
      <c r="ITB57" s="15"/>
      <c r="ITC57" s="15"/>
      <c r="ITD57" s="15"/>
      <c r="ITE57" s="15"/>
      <c r="ITF57" s="15"/>
      <c r="ITG57" s="15"/>
      <c r="ITH57" s="15"/>
      <c r="ITI57" s="15"/>
      <c r="ITJ57" s="15"/>
      <c r="ITK57" s="15"/>
      <c r="ITL57" s="15"/>
      <c r="ITM57" s="15"/>
      <c r="ITN57" s="15"/>
      <c r="ITO57" s="15"/>
      <c r="ITP57" s="15"/>
      <c r="ITQ57" s="15"/>
      <c r="ITR57" s="15"/>
      <c r="ITS57" s="15"/>
      <c r="ITT57" s="15"/>
      <c r="ITU57" s="15"/>
      <c r="ITV57" s="15"/>
      <c r="ITW57" s="15"/>
      <c r="ITX57" s="15"/>
      <c r="ITY57" s="15"/>
      <c r="ITZ57" s="15"/>
      <c r="IUA57" s="15"/>
      <c r="IUB57" s="15"/>
      <c r="IUC57" s="15"/>
      <c r="IUD57" s="15"/>
      <c r="IUE57" s="15"/>
      <c r="IUF57" s="15"/>
      <c r="IUG57" s="15"/>
      <c r="IUH57" s="15"/>
      <c r="IUI57" s="15"/>
      <c r="IUJ57" s="15"/>
      <c r="IUK57" s="15"/>
      <c r="IUL57" s="15"/>
      <c r="IUM57" s="15"/>
      <c r="IUN57" s="15"/>
      <c r="IUO57" s="15"/>
      <c r="IUP57" s="15"/>
      <c r="IUQ57" s="15"/>
      <c r="IUR57" s="15"/>
      <c r="IUS57" s="15"/>
      <c r="IUT57" s="15"/>
      <c r="IUU57" s="15"/>
      <c r="IUV57" s="15"/>
      <c r="IUW57" s="15"/>
      <c r="IUX57" s="15"/>
      <c r="IUY57" s="15"/>
      <c r="IUZ57" s="15"/>
      <c r="IVA57" s="15"/>
      <c r="IVB57" s="15"/>
      <c r="IVC57" s="15"/>
      <c r="IVD57" s="15"/>
      <c r="IVE57" s="15"/>
      <c r="IVF57" s="15"/>
      <c r="IVG57" s="15"/>
      <c r="IVH57" s="15"/>
      <c r="IVI57" s="15"/>
      <c r="IVJ57" s="15"/>
      <c r="IVK57" s="15"/>
      <c r="IVL57" s="15"/>
      <c r="IVM57" s="15"/>
      <c r="IVN57" s="15"/>
      <c r="IVO57" s="15"/>
      <c r="IVP57" s="15"/>
      <c r="IVQ57" s="15"/>
      <c r="IVR57" s="15"/>
      <c r="IVS57" s="15"/>
      <c r="IVT57" s="15"/>
      <c r="IVU57" s="15"/>
      <c r="IVV57" s="15"/>
      <c r="IVW57" s="15"/>
      <c r="IVX57" s="15"/>
      <c r="IVY57" s="15"/>
      <c r="IVZ57" s="15"/>
      <c r="IWA57" s="15"/>
      <c r="IWB57" s="15"/>
      <c r="IWC57" s="15"/>
      <c r="IWD57" s="15"/>
      <c r="IWE57" s="15"/>
      <c r="IWF57" s="15"/>
      <c r="IWG57" s="15"/>
      <c r="IWH57" s="15"/>
      <c r="IWI57" s="15"/>
      <c r="IWJ57" s="15"/>
      <c r="IWK57" s="15"/>
      <c r="IWL57" s="15"/>
      <c r="IWM57" s="15"/>
      <c r="IWN57" s="15"/>
      <c r="IWO57" s="15"/>
      <c r="IWP57" s="15"/>
      <c r="IWQ57" s="15"/>
      <c r="IWR57" s="15"/>
      <c r="IWS57" s="15"/>
      <c r="IWT57" s="15"/>
      <c r="IWU57" s="15"/>
      <c r="IWV57" s="15"/>
      <c r="IWW57" s="15"/>
      <c r="IWX57" s="15"/>
      <c r="IWY57" s="15"/>
      <c r="IWZ57" s="15"/>
      <c r="IXA57" s="15"/>
      <c r="IXB57" s="15"/>
      <c r="IXC57" s="15"/>
      <c r="IXD57" s="15"/>
      <c r="IXE57" s="15"/>
      <c r="IXF57" s="15"/>
      <c r="IXG57" s="15"/>
      <c r="IXH57" s="15"/>
      <c r="IXI57" s="15"/>
      <c r="IXJ57" s="15"/>
      <c r="IXK57" s="15"/>
      <c r="IXL57" s="15"/>
      <c r="IXM57" s="15"/>
      <c r="IXN57" s="15"/>
      <c r="IXO57" s="15"/>
      <c r="IXP57" s="15"/>
      <c r="IXQ57" s="15"/>
      <c r="IXR57" s="15"/>
      <c r="IXS57" s="15"/>
      <c r="IXT57" s="15"/>
      <c r="IXU57" s="15"/>
      <c r="IXV57" s="15"/>
      <c r="IXW57" s="15"/>
      <c r="IXX57" s="15"/>
      <c r="IXY57" s="15"/>
      <c r="IXZ57" s="15"/>
      <c r="IYA57" s="15"/>
      <c r="IYB57" s="15"/>
      <c r="IYC57" s="15"/>
      <c r="IYD57" s="15"/>
      <c r="IYE57" s="15"/>
      <c r="IYF57" s="15"/>
      <c r="IYG57" s="15"/>
      <c r="IYH57" s="15"/>
      <c r="IYI57" s="15"/>
      <c r="IYJ57" s="15"/>
      <c r="IYK57" s="15"/>
      <c r="IYL57" s="15"/>
      <c r="IYM57" s="15"/>
      <c r="IYN57" s="15"/>
      <c r="IYO57" s="15"/>
      <c r="IYP57" s="15"/>
      <c r="IYQ57" s="15"/>
      <c r="IYR57" s="15"/>
      <c r="IYS57" s="15"/>
      <c r="IYT57" s="15"/>
      <c r="IYU57" s="15"/>
      <c r="IYV57" s="15"/>
      <c r="IYW57" s="15"/>
      <c r="IYX57" s="15"/>
      <c r="IYY57" s="15"/>
      <c r="IYZ57" s="15"/>
      <c r="IZA57" s="15"/>
      <c r="IZB57" s="15"/>
      <c r="IZC57" s="15"/>
      <c r="IZD57" s="15"/>
      <c r="IZE57" s="15"/>
      <c r="IZF57" s="15"/>
      <c r="IZG57" s="15"/>
      <c r="IZH57" s="15"/>
      <c r="IZI57" s="15"/>
      <c r="IZJ57" s="15"/>
      <c r="IZK57" s="15"/>
      <c r="IZL57" s="15"/>
      <c r="IZM57" s="15"/>
      <c r="IZN57" s="15"/>
      <c r="IZO57" s="15"/>
      <c r="IZP57" s="15"/>
      <c r="IZQ57" s="15"/>
      <c r="IZR57" s="15"/>
      <c r="IZS57" s="15"/>
      <c r="IZT57" s="15"/>
      <c r="IZU57" s="15"/>
      <c r="IZV57" s="15"/>
      <c r="IZW57" s="15"/>
      <c r="IZX57" s="15"/>
      <c r="IZY57" s="15"/>
      <c r="IZZ57" s="15"/>
      <c r="JAA57" s="15"/>
      <c r="JAB57" s="15"/>
      <c r="JAC57" s="15"/>
      <c r="JAD57" s="15"/>
      <c r="JAE57" s="15"/>
      <c r="JAF57" s="15"/>
      <c r="JAG57" s="15"/>
      <c r="JAH57" s="15"/>
      <c r="JAI57" s="15"/>
      <c r="JAJ57" s="15"/>
      <c r="JAK57" s="15"/>
      <c r="JAL57" s="15"/>
      <c r="JAM57" s="15"/>
      <c r="JAN57" s="15"/>
      <c r="JAO57" s="15"/>
      <c r="JAP57" s="15"/>
      <c r="JAQ57" s="15"/>
      <c r="JAR57" s="15"/>
      <c r="JAS57" s="15"/>
      <c r="JAT57" s="15"/>
      <c r="JAU57" s="15"/>
      <c r="JAV57" s="15"/>
      <c r="JAW57" s="15"/>
      <c r="JAX57" s="15"/>
      <c r="JAY57" s="15"/>
      <c r="JAZ57" s="15"/>
      <c r="JBA57" s="15"/>
      <c r="JBB57" s="15"/>
      <c r="JBC57" s="15"/>
      <c r="JBD57" s="15"/>
      <c r="JBE57" s="15"/>
      <c r="JBF57" s="15"/>
      <c r="JBG57" s="15"/>
      <c r="JBH57" s="15"/>
      <c r="JBI57" s="15"/>
      <c r="JBJ57" s="15"/>
      <c r="JBK57" s="15"/>
      <c r="JBL57" s="15"/>
      <c r="JBM57" s="15"/>
      <c r="JBN57" s="15"/>
      <c r="JBO57" s="15"/>
      <c r="JBP57" s="15"/>
      <c r="JBQ57" s="15"/>
      <c r="JBR57" s="15"/>
      <c r="JBS57" s="15"/>
      <c r="JBT57" s="15"/>
      <c r="JBU57" s="15"/>
      <c r="JBV57" s="15"/>
      <c r="JBW57" s="15"/>
      <c r="JBX57" s="15"/>
      <c r="JBY57" s="15"/>
      <c r="JBZ57" s="15"/>
      <c r="JCA57" s="15"/>
      <c r="JCB57" s="15"/>
      <c r="JCC57" s="15"/>
      <c r="JCD57" s="15"/>
      <c r="JCE57" s="15"/>
      <c r="JCF57" s="15"/>
      <c r="JCG57" s="15"/>
      <c r="JCH57" s="15"/>
      <c r="JCI57" s="15"/>
      <c r="JCJ57" s="15"/>
      <c r="JCK57" s="15"/>
      <c r="JCL57" s="15"/>
      <c r="JCM57" s="15"/>
      <c r="JCN57" s="15"/>
      <c r="JCO57" s="15"/>
      <c r="JCP57" s="15"/>
      <c r="JCQ57" s="15"/>
      <c r="JCR57" s="15"/>
      <c r="JCS57" s="15"/>
      <c r="JCT57" s="15"/>
      <c r="JCU57" s="15"/>
      <c r="JCV57" s="15"/>
      <c r="JCW57" s="15"/>
      <c r="JCX57" s="15"/>
      <c r="JCY57" s="15"/>
      <c r="JCZ57" s="15"/>
      <c r="JDA57" s="15"/>
      <c r="JDB57" s="15"/>
      <c r="JDC57" s="15"/>
      <c r="JDD57" s="15"/>
      <c r="JDE57" s="15"/>
      <c r="JDF57" s="15"/>
      <c r="JDG57" s="15"/>
      <c r="JDH57" s="15"/>
      <c r="JDI57" s="15"/>
      <c r="JDJ57" s="15"/>
      <c r="JDK57" s="15"/>
      <c r="JDL57" s="15"/>
      <c r="JDM57" s="15"/>
      <c r="JDN57" s="15"/>
      <c r="JDO57" s="15"/>
      <c r="JDP57" s="15"/>
      <c r="JDQ57" s="15"/>
      <c r="JDR57" s="15"/>
      <c r="JDS57" s="15"/>
      <c r="JDT57" s="15"/>
      <c r="JDU57" s="15"/>
      <c r="JDV57" s="15"/>
      <c r="JDW57" s="15"/>
      <c r="JDX57" s="15"/>
      <c r="JDY57" s="15"/>
      <c r="JDZ57" s="15"/>
      <c r="JEA57" s="15"/>
      <c r="JEB57" s="15"/>
      <c r="JEC57" s="15"/>
      <c r="JED57" s="15"/>
      <c r="JEE57" s="15"/>
      <c r="JEF57" s="15"/>
      <c r="JEG57" s="15"/>
      <c r="JEH57" s="15"/>
      <c r="JEI57" s="15"/>
      <c r="JEJ57" s="15"/>
      <c r="JEK57" s="15"/>
      <c r="JEL57" s="15"/>
      <c r="JEM57" s="15"/>
      <c r="JEN57" s="15"/>
      <c r="JEO57" s="15"/>
      <c r="JEP57" s="15"/>
      <c r="JEQ57" s="15"/>
      <c r="JER57" s="15"/>
      <c r="JES57" s="15"/>
      <c r="JET57" s="15"/>
      <c r="JEU57" s="15"/>
      <c r="JEV57" s="15"/>
      <c r="JEW57" s="15"/>
      <c r="JEX57" s="15"/>
      <c r="JEY57" s="15"/>
      <c r="JEZ57" s="15"/>
      <c r="JFA57" s="15"/>
      <c r="JFB57" s="15"/>
      <c r="JFC57" s="15"/>
      <c r="JFD57" s="15"/>
      <c r="JFE57" s="15"/>
      <c r="JFF57" s="15"/>
      <c r="JFG57" s="15"/>
      <c r="JFH57" s="15"/>
      <c r="JFI57" s="15"/>
      <c r="JFJ57" s="15"/>
      <c r="JFK57" s="15"/>
      <c r="JFL57" s="15"/>
      <c r="JFM57" s="15"/>
      <c r="JFN57" s="15"/>
      <c r="JFO57" s="15"/>
      <c r="JFP57" s="15"/>
      <c r="JFQ57" s="15"/>
      <c r="JFR57" s="15"/>
      <c r="JFS57" s="15"/>
      <c r="JFT57" s="15"/>
      <c r="JFU57" s="15"/>
      <c r="JFV57" s="15"/>
      <c r="JFW57" s="15"/>
      <c r="JFX57" s="15"/>
      <c r="JFY57" s="15"/>
      <c r="JFZ57" s="15"/>
      <c r="JGA57" s="15"/>
      <c r="JGB57" s="15"/>
      <c r="JGC57" s="15"/>
      <c r="JGD57" s="15"/>
      <c r="JGE57" s="15"/>
      <c r="JGF57" s="15"/>
      <c r="JGG57" s="15"/>
      <c r="JGH57" s="15"/>
      <c r="JGI57" s="15"/>
      <c r="JGJ57" s="15"/>
      <c r="JGK57" s="15"/>
      <c r="JGL57" s="15"/>
      <c r="JGM57" s="15"/>
      <c r="JGN57" s="15"/>
      <c r="JGO57" s="15"/>
      <c r="JGP57" s="15"/>
      <c r="JGQ57" s="15"/>
      <c r="JGR57" s="15"/>
      <c r="JGS57" s="15"/>
      <c r="JGT57" s="15"/>
      <c r="JGU57" s="15"/>
      <c r="JGV57" s="15"/>
      <c r="JGW57" s="15"/>
      <c r="JGX57" s="15"/>
      <c r="JGY57" s="15"/>
      <c r="JGZ57" s="15"/>
      <c r="JHA57" s="15"/>
      <c r="JHB57" s="15"/>
      <c r="JHC57" s="15"/>
      <c r="JHD57" s="15"/>
      <c r="JHE57" s="15"/>
      <c r="JHF57" s="15"/>
      <c r="JHG57" s="15"/>
      <c r="JHH57" s="15"/>
      <c r="JHI57" s="15"/>
      <c r="JHJ57" s="15"/>
      <c r="JHK57" s="15"/>
      <c r="JHL57" s="15"/>
      <c r="JHM57" s="15"/>
      <c r="JHN57" s="15"/>
      <c r="JHO57" s="15"/>
      <c r="JHP57" s="15"/>
      <c r="JHQ57" s="15"/>
      <c r="JHR57" s="15"/>
      <c r="JHS57" s="15"/>
      <c r="JHT57" s="15"/>
      <c r="JHU57" s="15"/>
      <c r="JHV57" s="15"/>
      <c r="JHW57" s="15"/>
      <c r="JHX57" s="15"/>
      <c r="JHY57" s="15"/>
      <c r="JHZ57" s="15"/>
      <c r="JIA57" s="15"/>
      <c r="JIB57" s="15"/>
      <c r="JIC57" s="15"/>
      <c r="JID57" s="15"/>
      <c r="JIE57" s="15"/>
      <c r="JIF57" s="15"/>
      <c r="JIG57" s="15"/>
      <c r="JIH57" s="15"/>
      <c r="JII57" s="15"/>
      <c r="JIJ57" s="15"/>
      <c r="JIK57" s="15"/>
      <c r="JIL57" s="15"/>
      <c r="JIM57" s="15"/>
      <c r="JIN57" s="15"/>
      <c r="JIO57" s="15"/>
      <c r="JIP57" s="15"/>
      <c r="JIQ57" s="15"/>
      <c r="JIR57" s="15"/>
      <c r="JIS57" s="15"/>
      <c r="JIT57" s="15"/>
      <c r="JIU57" s="15"/>
      <c r="JIV57" s="15"/>
      <c r="JIW57" s="15"/>
      <c r="JIX57" s="15"/>
      <c r="JIY57" s="15"/>
      <c r="JIZ57" s="15"/>
      <c r="JJA57" s="15"/>
      <c r="JJB57" s="15"/>
      <c r="JJC57" s="15"/>
      <c r="JJD57" s="15"/>
      <c r="JJE57" s="15"/>
      <c r="JJF57" s="15"/>
      <c r="JJG57" s="15"/>
      <c r="JJH57" s="15"/>
      <c r="JJI57" s="15"/>
      <c r="JJJ57" s="15"/>
      <c r="JJK57" s="15"/>
      <c r="JJL57" s="15"/>
      <c r="JJM57" s="15"/>
      <c r="JJN57" s="15"/>
      <c r="JJO57" s="15"/>
      <c r="JJP57" s="15"/>
      <c r="JJQ57" s="15"/>
      <c r="JJR57" s="15"/>
      <c r="JJS57" s="15"/>
      <c r="JJT57" s="15"/>
      <c r="JJU57" s="15"/>
      <c r="JJV57" s="15"/>
      <c r="JJW57" s="15"/>
      <c r="JJX57" s="15"/>
      <c r="JJY57" s="15"/>
      <c r="JJZ57" s="15"/>
      <c r="JKA57" s="15"/>
      <c r="JKB57" s="15"/>
      <c r="JKC57" s="15"/>
      <c r="JKD57" s="15"/>
      <c r="JKE57" s="15"/>
      <c r="JKF57" s="15"/>
      <c r="JKG57" s="15"/>
      <c r="JKH57" s="15"/>
      <c r="JKI57" s="15"/>
      <c r="JKJ57" s="15"/>
      <c r="JKK57" s="15"/>
      <c r="JKL57" s="15"/>
      <c r="JKM57" s="15"/>
      <c r="JKN57" s="15"/>
      <c r="JKO57" s="15"/>
      <c r="JKP57" s="15"/>
      <c r="JKQ57" s="15"/>
      <c r="JKR57" s="15"/>
      <c r="JKS57" s="15"/>
      <c r="JKT57" s="15"/>
      <c r="JKU57" s="15"/>
      <c r="JKV57" s="15"/>
      <c r="JKW57" s="15"/>
      <c r="JKX57" s="15"/>
      <c r="JKY57" s="15"/>
      <c r="JKZ57" s="15"/>
      <c r="JLA57" s="15"/>
      <c r="JLB57" s="15"/>
      <c r="JLC57" s="15"/>
      <c r="JLD57" s="15"/>
      <c r="JLE57" s="15"/>
      <c r="JLF57" s="15"/>
      <c r="JLG57" s="15"/>
      <c r="JLH57" s="15"/>
      <c r="JLI57" s="15"/>
      <c r="JLJ57" s="15"/>
      <c r="JLK57" s="15"/>
      <c r="JLL57" s="15"/>
      <c r="JLM57" s="15"/>
      <c r="JLN57" s="15"/>
      <c r="JLO57" s="15"/>
      <c r="JLP57" s="15"/>
      <c r="JLQ57" s="15"/>
      <c r="JLR57" s="15"/>
      <c r="JLS57" s="15"/>
      <c r="JLT57" s="15"/>
      <c r="JLU57" s="15"/>
      <c r="JLV57" s="15"/>
      <c r="JLW57" s="15"/>
      <c r="JLX57" s="15"/>
      <c r="JLY57" s="15"/>
      <c r="JLZ57" s="15"/>
      <c r="JMA57" s="15"/>
      <c r="JMB57" s="15"/>
      <c r="JMC57" s="15"/>
      <c r="JMD57" s="15"/>
      <c r="JME57" s="15"/>
      <c r="JMF57" s="15"/>
      <c r="JMG57" s="15"/>
      <c r="JMH57" s="15"/>
      <c r="JMI57" s="15"/>
      <c r="JMJ57" s="15"/>
      <c r="JMK57" s="15"/>
      <c r="JML57" s="15"/>
      <c r="JMM57" s="15"/>
      <c r="JMN57" s="15"/>
      <c r="JMO57" s="15"/>
      <c r="JMP57" s="15"/>
      <c r="JMQ57" s="15"/>
      <c r="JMR57" s="15"/>
      <c r="JMS57" s="15"/>
      <c r="JMT57" s="15"/>
      <c r="JMU57" s="15"/>
      <c r="JMV57" s="15"/>
      <c r="JMW57" s="15"/>
      <c r="JMX57" s="15"/>
      <c r="JMY57" s="15"/>
      <c r="JMZ57" s="15"/>
      <c r="JNA57" s="15"/>
      <c r="JNB57" s="15"/>
      <c r="JNC57" s="15"/>
      <c r="JND57" s="15"/>
      <c r="JNE57" s="15"/>
      <c r="JNF57" s="15"/>
      <c r="JNG57" s="15"/>
      <c r="JNH57" s="15"/>
      <c r="JNI57" s="15"/>
      <c r="JNJ57" s="15"/>
      <c r="JNK57" s="15"/>
      <c r="JNL57" s="15"/>
      <c r="JNM57" s="15"/>
      <c r="JNN57" s="15"/>
      <c r="JNO57" s="15"/>
      <c r="JNP57" s="15"/>
      <c r="JNQ57" s="15"/>
      <c r="JNR57" s="15"/>
      <c r="JNS57" s="15"/>
      <c r="JNT57" s="15"/>
      <c r="JNU57" s="15"/>
      <c r="JNV57" s="15"/>
      <c r="JNW57" s="15"/>
      <c r="JNX57" s="15"/>
      <c r="JNY57" s="15"/>
      <c r="JNZ57" s="15"/>
      <c r="JOA57" s="15"/>
      <c r="JOB57" s="15"/>
      <c r="JOC57" s="15"/>
      <c r="JOD57" s="15"/>
      <c r="JOE57" s="15"/>
      <c r="JOF57" s="15"/>
      <c r="JOG57" s="15"/>
      <c r="JOH57" s="15"/>
      <c r="JOI57" s="15"/>
      <c r="JOJ57" s="15"/>
      <c r="JOK57" s="15"/>
      <c r="JOL57" s="15"/>
      <c r="JOM57" s="15"/>
      <c r="JON57" s="15"/>
      <c r="JOO57" s="15"/>
      <c r="JOP57" s="15"/>
      <c r="JOQ57" s="15"/>
      <c r="JOR57" s="15"/>
      <c r="JOS57" s="15"/>
      <c r="JOT57" s="15"/>
      <c r="JOU57" s="15"/>
      <c r="JOV57" s="15"/>
      <c r="JOW57" s="15"/>
      <c r="JOX57" s="15"/>
      <c r="JOY57" s="15"/>
      <c r="JOZ57" s="15"/>
      <c r="JPA57" s="15"/>
      <c r="JPB57" s="15"/>
      <c r="JPC57" s="15"/>
      <c r="JPD57" s="15"/>
      <c r="JPE57" s="15"/>
      <c r="JPF57" s="15"/>
      <c r="JPG57" s="15"/>
      <c r="JPH57" s="15"/>
      <c r="JPI57" s="15"/>
      <c r="JPJ57" s="15"/>
      <c r="JPK57" s="15"/>
      <c r="JPL57" s="15"/>
      <c r="JPM57" s="15"/>
      <c r="JPN57" s="15"/>
      <c r="JPO57" s="15"/>
      <c r="JPP57" s="15"/>
      <c r="JPQ57" s="15"/>
      <c r="JPR57" s="15"/>
      <c r="JPS57" s="15"/>
      <c r="JPT57" s="15"/>
      <c r="JPU57" s="15"/>
      <c r="JPV57" s="15"/>
      <c r="JPW57" s="15"/>
      <c r="JPX57" s="15"/>
      <c r="JPY57" s="15"/>
      <c r="JPZ57" s="15"/>
      <c r="JQA57" s="15"/>
      <c r="JQB57" s="15"/>
      <c r="JQC57" s="15"/>
      <c r="JQD57" s="15"/>
      <c r="JQE57" s="15"/>
      <c r="JQF57" s="15"/>
      <c r="JQG57" s="15"/>
      <c r="JQH57" s="15"/>
      <c r="JQI57" s="15"/>
      <c r="JQJ57" s="15"/>
      <c r="JQK57" s="15"/>
      <c r="JQL57" s="15"/>
      <c r="JQM57" s="15"/>
      <c r="JQN57" s="15"/>
      <c r="JQO57" s="15"/>
      <c r="JQP57" s="15"/>
      <c r="JQQ57" s="15"/>
      <c r="JQR57" s="15"/>
      <c r="JQS57" s="15"/>
      <c r="JQT57" s="15"/>
      <c r="JQU57" s="15"/>
      <c r="JQV57" s="15"/>
      <c r="JQW57" s="15"/>
      <c r="JQX57" s="15"/>
      <c r="JQY57" s="15"/>
      <c r="JQZ57" s="15"/>
      <c r="JRA57" s="15"/>
      <c r="JRB57" s="15"/>
      <c r="JRC57" s="15"/>
      <c r="JRD57" s="15"/>
      <c r="JRE57" s="15"/>
      <c r="JRF57" s="15"/>
      <c r="JRG57" s="15"/>
      <c r="JRH57" s="15"/>
      <c r="JRI57" s="15"/>
      <c r="JRJ57" s="15"/>
      <c r="JRK57" s="15"/>
      <c r="JRL57" s="15"/>
      <c r="JRM57" s="15"/>
      <c r="JRN57" s="15"/>
      <c r="JRO57" s="15"/>
      <c r="JRP57" s="15"/>
      <c r="JRQ57" s="15"/>
      <c r="JRR57" s="15"/>
      <c r="JRS57" s="15"/>
      <c r="JRT57" s="15"/>
      <c r="JRU57" s="15"/>
      <c r="JRV57" s="15"/>
      <c r="JRW57" s="15"/>
      <c r="JRX57" s="15"/>
      <c r="JRY57" s="15"/>
      <c r="JRZ57" s="15"/>
      <c r="JSA57" s="15"/>
      <c r="JSB57" s="15"/>
      <c r="JSC57" s="15"/>
      <c r="JSD57" s="15"/>
      <c r="JSE57" s="15"/>
      <c r="JSF57" s="15"/>
      <c r="JSG57" s="15"/>
      <c r="JSH57" s="15"/>
      <c r="JSI57" s="15"/>
      <c r="JSJ57" s="15"/>
      <c r="JSK57" s="15"/>
      <c r="JSL57" s="15"/>
      <c r="JSM57" s="15"/>
      <c r="JSN57" s="15"/>
      <c r="JSO57" s="15"/>
      <c r="JSP57" s="15"/>
      <c r="JSQ57" s="15"/>
      <c r="JSR57" s="15"/>
      <c r="JSS57" s="15"/>
      <c r="JST57" s="15"/>
      <c r="JSU57" s="15"/>
      <c r="JSV57" s="15"/>
      <c r="JSW57" s="15"/>
      <c r="JSX57" s="15"/>
      <c r="JSY57" s="15"/>
      <c r="JSZ57" s="15"/>
      <c r="JTA57" s="15"/>
      <c r="JTB57" s="15"/>
      <c r="JTC57" s="15"/>
      <c r="JTD57" s="15"/>
      <c r="JTE57" s="15"/>
      <c r="JTF57" s="15"/>
      <c r="JTG57" s="15"/>
      <c r="JTH57" s="15"/>
      <c r="JTI57" s="15"/>
      <c r="JTJ57" s="15"/>
      <c r="JTK57" s="15"/>
      <c r="JTL57" s="15"/>
      <c r="JTM57" s="15"/>
      <c r="JTN57" s="15"/>
      <c r="JTO57" s="15"/>
      <c r="JTP57" s="15"/>
      <c r="JTQ57" s="15"/>
      <c r="JTR57" s="15"/>
      <c r="JTS57" s="15"/>
      <c r="JTT57" s="15"/>
      <c r="JTU57" s="15"/>
      <c r="JTV57" s="15"/>
      <c r="JTW57" s="15"/>
      <c r="JTX57" s="15"/>
      <c r="JTY57" s="15"/>
      <c r="JTZ57" s="15"/>
      <c r="JUA57" s="15"/>
      <c r="JUB57" s="15"/>
      <c r="JUC57" s="15"/>
      <c r="JUD57" s="15"/>
      <c r="JUE57" s="15"/>
      <c r="JUF57" s="15"/>
      <c r="JUG57" s="15"/>
      <c r="JUH57" s="15"/>
      <c r="JUI57" s="15"/>
      <c r="JUJ57" s="15"/>
      <c r="JUK57" s="15"/>
      <c r="JUL57" s="15"/>
      <c r="JUM57" s="15"/>
      <c r="JUN57" s="15"/>
      <c r="JUO57" s="15"/>
      <c r="JUP57" s="15"/>
      <c r="JUQ57" s="15"/>
      <c r="JUR57" s="15"/>
      <c r="JUS57" s="15"/>
      <c r="JUT57" s="15"/>
      <c r="JUU57" s="15"/>
      <c r="JUV57" s="15"/>
      <c r="JUW57" s="15"/>
      <c r="JUX57" s="15"/>
      <c r="JUY57" s="15"/>
      <c r="JUZ57" s="15"/>
      <c r="JVA57" s="15"/>
      <c r="JVB57" s="15"/>
      <c r="JVC57" s="15"/>
      <c r="JVD57" s="15"/>
      <c r="JVE57" s="15"/>
      <c r="JVF57" s="15"/>
      <c r="JVG57" s="15"/>
      <c r="JVH57" s="15"/>
      <c r="JVI57" s="15"/>
      <c r="JVJ57" s="15"/>
      <c r="JVK57" s="15"/>
      <c r="JVL57" s="15"/>
      <c r="JVM57" s="15"/>
      <c r="JVN57" s="15"/>
      <c r="JVO57" s="15"/>
      <c r="JVP57" s="15"/>
      <c r="JVQ57" s="15"/>
      <c r="JVR57" s="15"/>
      <c r="JVS57" s="15"/>
      <c r="JVT57" s="15"/>
      <c r="JVU57" s="15"/>
      <c r="JVV57" s="15"/>
      <c r="JVW57" s="15"/>
      <c r="JVX57" s="15"/>
      <c r="JVY57" s="15"/>
      <c r="JVZ57" s="15"/>
      <c r="JWA57" s="15"/>
      <c r="JWB57" s="15"/>
      <c r="JWC57" s="15"/>
      <c r="JWD57" s="15"/>
      <c r="JWE57" s="15"/>
      <c r="JWF57" s="15"/>
      <c r="JWG57" s="15"/>
      <c r="JWH57" s="15"/>
      <c r="JWI57" s="15"/>
      <c r="JWJ57" s="15"/>
      <c r="JWK57" s="15"/>
      <c r="JWL57" s="15"/>
      <c r="JWM57" s="15"/>
      <c r="JWN57" s="15"/>
      <c r="JWO57" s="15"/>
      <c r="JWP57" s="15"/>
      <c r="JWQ57" s="15"/>
      <c r="JWR57" s="15"/>
      <c r="JWS57" s="15"/>
      <c r="JWT57" s="15"/>
      <c r="JWU57" s="15"/>
      <c r="JWV57" s="15"/>
      <c r="JWW57" s="15"/>
      <c r="JWX57" s="15"/>
      <c r="JWY57" s="15"/>
      <c r="JWZ57" s="15"/>
      <c r="JXA57" s="15"/>
      <c r="JXB57" s="15"/>
      <c r="JXC57" s="15"/>
      <c r="JXD57" s="15"/>
      <c r="JXE57" s="15"/>
      <c r="JXF57" s="15"/>
      <c r="JXG57" s="15"/>
      <c r="JXH57" s="15"/>
      <c r="JXI57" s="15"/>
      <c r="JXJ57" s="15"/>
      <c r="JXK57" s="15"/>
      <c r="JXL57" s="15"/>
      <c r="JXM57" s="15"/>
      <c r="JXN57" s="15"/>
      <c r="JXO57" s="15"/>
      <c r="JXP57" s="15"/>
      <c r="JXQ57" s="15"/>
      <c r="JXR57" s="15"/>
      <c r="JXS57" s="15"/>
      <c r="JXT57" s="15"/>
      <c r="JXU57" s="15"/>
      <c r="JXV57" s="15"/>
      <c r="JXW57" s="15"/>
      <c r="JXX57" s="15"/>
      <c r="JXY57" s="15"/>
      <c r="JXZ57" s="15"/>
      <c r="JYA57" s="15"/>
      <c r="JYB57" s="15"/>
      <c r="JYC57" s="15"/>
      <c r="JYD57" s="15"/>
      <c r="JYE57" s="15"/>
      <c r="JYF57" s="15"/>
      <c r="JYG57" s="15"/>
      <c r="JYH57" s="15"/>
      <c r="JYI57" s="15"/>
      <c r="JYJ57" s="15"/>
      <c r="JYK57" s="15"/>
      <c r="JYL57" s="15"/>
      <c r="JYM57" s="15"/>
      <c r="JYN57" s="15"/>
      <c r="JYO57" s="15"/>
      <c r="JYP57" s="15"/>
      <c r="JYQ57" s="15"/>
      <c r="JYR57" s="15"/>
      <c r="JYS57" s="15"/>
      <c r="JYT57" s="15"/>
      <c r="JYU57" s="15"/>
      <c r="JYV57" s="15"/>
      <c r="JYW57" s="15"/>
      <c r="JYX57" s="15"/>
      <c r="JYY57" s="15"/>
      <c r="JYZ57" s="15"/>
      <c r="JZA57" s="15"/>
      <c r="JZB57" s="15"/>
      <c r="JZC57" s="15"/>
      <c r="JZD57" s="15"/>
      <c r="JZE57" s="15"/>
      <c r="JZF57" s="15"/>
      <c r="JZG57" s="15"/>
      <c r="JZH57" s="15"/>
      <c r="JZI57" s="15"/>
      <c r="JZJ57" s="15"/>
      <c r="JZK57" s="15"/>
      <c r="JZL57" s="15"/>
      <c r="JZM57" s="15"/>
      <c r="JZN57" s="15"/>
      <c r="JZO57" s="15"/>
      <c r="JZP57" s="15"/>
      <c r="JZQ57" s="15"/>
      <c r="JZR57" s="15"/>
      <c r="JZS57" s="15"/>
      <c r="JZT57" s="15"/>
      <c r="JZU57" s="15"/>
      <c r="JZV57" s="15"/>
      <c r="JZW57" s="15"/>
      <c r="JZX57" s="15"/>
      <c r="JZY57" s="15"/>
      <c r="JZZ57" s="15"/>
      <c r="KAA57" s="15"/>
      <c r="KAB57" s="15"/>
      <c r="KAC57" s="15"/>
      <c r="KAD57" s="15"/>
      <c r="KAE57" s="15"/>
      <c r="KAF57" s="15"/>
      <c r="KAG57" s="15"/>
      <c r="KAH57" s="15"/>
      <c r="KAI57" s="15"/>
      <c r="KAJ57" s="15"/>
      <c r="KAK57" s="15"/>
      <c r="KAL57" s="15"/>
      <c r="KAM57" s="15"/>
      <c r="KAN57" s="15"/>
      <c r="KAO57" s="15"/>
      <c r="KAP57" s="15"/>
      <c r="KAQ57" s="15"/>
      <c r="KAR57" s="15"/>
      <c r="KAS57" s="15"/>
      <c r="KAT57" s="15"/>
      <c r="KAU57" s="15"/>
      <c r="KAV57" s="15"/>
      <c r="KAW57" s="15"/>
      <c r="KAX57" s="15"/>
      <c r="KAY57" s="15"/>
      <c r="KAZ57" s="15"/>
      <c r="KBA57" s="15"/>
      <c r="KBB57" s="15"/>
      <c r="KBC57" s="15"/>
      <c r="KBD57" s="15"/>
      <c r="KBE57" s="15"/>
      <c r="KBF57" s="15"/>
      <c r="KBG57" s="15"/>
      <c r="KBH57" s="15"/>
      <c r="KBI57" s="15"/>
      <c r="KBJ57" s="15"/>
      <c r="KBK57" s="15"/>
      <c r="KBL57" s="15"/>
      <c r="KBM57" s="15"/>
      <c r="KBN57" s="15"/>
      <c r="KBO57" s="15"/>
      <c r="KBP57" s="15"/>
      <c r="KBQ57" s="15"/>
      <c r="KBR57" s="15"/>
      <c r="KBS57" s="15"/>
      <c r="KBT57" s="15"/>
      <c r="KBU57" s="15"/>
      <c r="KBV57" s="15"/>
      <c r="KBW57" s="15"/>
      <c r="KBX57" s="15"/>
      <c r="KBY57" s="15"/>
      <c r="KBZ57" s="15"/>
      <c r="KCA57" s="15"/>
      <c r="KCB57" s="15"/>
      <c r="KCC57" s="15"/>
      <c r="KCD57" s="15"/>
      <c r="KCE57" s="15"/>
      <c r="KCF57" s="15"/>
      <c r="KCG57" s="15"/>
      <c r="KCH57" s="15"/>
      <c r="KCI57" s="15"/>
      <c r="KCJ57" s="15"/>
      <c r="KCK57" s="15"/>
      <c r="KCL57" s="15"/>
      <c r="KCM57" s="15"/>
      <c r="KCN57" s="15"/>
      <c r="KCO57" s="15"/>
      <c r="KCP57" s="15"/>
      <c r="KCQ57" s="15"/>
      <c r="KCR57" s="15"/>
      <c r="KCS57" s="15"/>
      <c r="KCT57" s="15"/>
      <c r="KCU57" s="15"/>
      <c r="KCV57" s="15"/>
      <c r="KCW57" s="15"/>
      <c r="KCX57" s="15"/>
      <c r="KCY57" s="15"/>
      <c r="KCZ57" s="15"/>
      <c r="KDA57" s="15"/>
      <c r="KDB57" s="15"/>
      <c r="KDC57" s="15"/>
      <c r="KDD57" s="15"/>
      <c r="KDE57" s="15"/>
      <c r="KDF57" s="15"/>
      <c r="KDG57" s="15"/>
      <c r="KDH57" s="15"/>
      <c r="KDI57" s="15"/>
      <c r="KDJ57" s="15"/>
      <c r="KDK57" s="15"/>
      <c r="KDL57" s="15"/>
      <c r="KDM57" s="15"/>
      <c r="KDN57" s="15"/>
      <c r="KDO57" s="15"/>
      <c r="KDP57" s="15"/>
      <c r="KDQ57" s="15"/>
      <c r="KDR57" s="15"/>
      <c r="KDS57" s="15"/>
      <c r="KDT57" s="15"/>
      <c r="KDU57" s="15"/>
      <c r="KDV57" s="15"/>
      <c r="KDW57" s="15"/>
      <c r="KDX57" s="15"/>
      <c r="KDY57" s="15"/>
      <c r="KDZ57" s="15"/>
      <c r="KEA57" s="15"/>
      <c r="KEB57" s="15"/>
      <c r="KEC57" s="15"/>
      <c r="KED57" s="15"/>
      <c r="KEE57" s="15"/>
      <c r="KEF57" s="15"/>
      <c r="KEG57" s="15"/>
      <c r="KEH57" s="15"/>
      <c r="KEI57" s="15"/>
      <c r="KEJ57" s="15"/>
      <c r="KEK57" s="15"/>
      <c r="KEL57" s="15"/>
      <c r="KEM57" s="15"/>
      <c r="KEN57" s="15"/>
      <c r="KEO57" s="15"/>
      <c r="KEP57" s="15"/>
      <c r="KEQ57" s="15"/>
      <c r="KER57" s="15"/>
      <c r="KES57" s="15"/>
      <c r="KET57" s="15"/>
      <c r="KEU57" s="15"/>
      <c r="KEV57" s="15"/>
      <c r="KEW57" s="15"/>
      <c r="KEX57" s="15"/>
      <c r="KEY57" s="15"/>
      <c r="KEZ57" s="15"/>
      <c r="KFA57" s="15"/>
      <c r="KFB57" s="15"/>
      <c r="KFC57" s="15"/>
      <c r="KFD57" s="15"/>
      <c r="KFE57" s="15"/>
      <c r="KFF57" s="15"/>
      <c r="KFG57" s="15"/>
      <c r="KFH57" s="15"/>
      <c r="KFI57" s="15"/>
      <c r="KFJ57" s="15"/>
      <c r="KFK57" s="15"/>
      <c r="KFL57" s="15"/>
      <c r="KFM57" s="15"/>
      <c r="KFN57" s="15"/>
      <c r="KFO57" s="15"/>
      <c r="KFP57" s="15"/>
      <c r="KFQ57" s="15"/>
      <c r="KFR57" s="15"/>
      <c r="KFS57" s="15"/>
      <c r="KFT57" s="15"/>
      <c r="KFU57" s="15"/>
      <c r="KFV57" s="15"/>
      <c r="KFW57" s="15"/>
      <c r="KFX57" s="15"/>
      <c r="KFY57" s="15"/>
      <c r="KFZ57" s="15"/>
      <c r="KGA57" s="15"/>
      <c r="KGB57" s="15"/>
      <c r="KGC57" s="15"/>
      <c r="KGD57" s="15"/>
      <c r="KGE57" s="15"/>
      <c r="KGF57" s="15"/>
      <c r="KGG57" s="15"/>
      <c r="KGH57" s="15"/>
      <c r="KGI57" s="15"/>
      <c r="KGJ57" s="15"/>
      <c r="KGK57" s="15"/>
      <c r="KGL57" s="15"/>
      <c r="KGM57" s="15"/>
      <c r="KGN57" s="15"/>
      <c r="KGO57" s="15"/>
      <c r="KGP57" s="15"/>
      <c r="KGQ57" s="15"/>
      <c r="KGR57" s="15"/>
      <c r="KGS57" s="15"/>
      <c r="KGT57" s="15"/>
      <c r="KGU57" s="15"/>
      <c r="KGV57" s="15"/>
      <c r="KGW57" s="15"/>
      <c r="KGX57" s="15"/>
      <c r="KGY57" s="15"/>
      <c r="KGZ57" s="15"/>
      <c r="KHA57" s="15"/>
      <c r="KHB57" s="15"/>
      <c r="KHC57" s="15"/>
      <c r="KHD57" s="15"/>
      <c r="KHE57" s="15"/>
      <c r="KHF57" s="15"/>
      <c r="KHG57" s="15"/>
      <c r="KHH57" s="15"/>
      <c r="KHI57" s="15"/>
      <c r="KHJ57" s="15"/>
      <c r="KHK57" s="15"/>
      <c r="KHL57" s="15"/>
      <c r="KHM57" s="15"/>
      <c r="KHN57" s="15"/>
      <c r="KHO57" s="15"/>
      <c r="KHP57" s="15"/>
      <c r="KHQ57" s="15"/>
      <c r="KHR57" s="15"/>
      <c r="KHS57" s="15"/>
      <c r="KHT57" s="15"/>
      <c r="KHU57" s="15"/>
      <c r="KHV57" s="15"/>
      <c r="KHW57" s="15"/>
      <c r="KHX57" s="15"/>
      <c r="KHY57" s="15"/>
      <c r="KHZ57" s="15"/>
      <c r="KIA57" s="15"/>
      <c r="KIB57" s="15"/>
      <c r="KIC57" s="15"/>
      <c r="KID57" s="15"/>
      <c r="KIE57" s="15"/>
      <c r="KIF57" s="15"/>
      <c r="KIG57" s="15"/>
      <c r="KIH57" s="15"/>
      <c r="KII57" s="15"/>
      <c r="KIJ57" s="15"/>
      <c r="KIK57" s="15"/>
      <c r="KIL57" s="15"/>
      <c r="KIM57" s="15"/>
      <c r="KIN57" s="15"/>
      <c r="KIO57" s="15"/>
      <c r="KIP57" s="15"/>
      <c r="KIQ57" s="15"/>
      <c r="KIR57" s="15"/>
      <c r="KIS57" s="15"/>
      <c r="KIT57" s="15"/>
      <c r="KIU57" s="15"/>
      <c r="KIV57" s="15"/>
      <c r="KIW57" s="15"/>
      <c r="KIX57" s="15"/>
      <c r="KIY57" s="15"/>
      <c r="KIZ57" s="15"/>
      <c r="KJA57" s="15"/>
      <c r="KJB57" s="15"/>
      <c r="KJC57" s="15"/>
      <c r="KJD57" s="15"/>
      <c r="KJE57" s="15"/>
      <c r="KJF57" s="15"/>
      <c r="KJG57" s="15"/>
      <c r="KJH57" s="15"/>
      <c r="KJI57" s="15"/>
      <c r="KJJ57" s="15"/>
      <c r="KJK57" s="15"/>
      <c r="KJL57" s="15"/>
      <c r="KJM57" s="15"/>
      <c r="KJN57" s="15"/>
      <c r="KJO57" s="15"/>
      <c r="KJP57" s="15"/>
      <c r="KJQ57" s="15"/>
      <c r="KJR57" s="15"/>
      <c r="KJS57" s="15"/>
      <c r="KJT57" s="15"/>
      <c r="KJU57" s="15"/>
      <c r="KJV57" s="15"/>
      <c r="KJW57" s="15"/>
      <c r="KJX57" s="15"/>
      <c r="KJY57" s="15"/>
      <c r="KJZ57" s="15"/>
      <c r="KKA57" s="15"/>
      <c r="KKB57" s="15"/>
      <c r="KKC57" s="15"/>
      <c r="KKD57" s="15"/>
      <c r="KKE57" s="15"/>
      <c r="KKF57" s="15"/>
      <c r="KKG57" s="15"/>
      <c r="KKH57" s="15"/>
      <c r="KKI57" s="15"/>
      <c r="KKJ57" s="15"/>
      <c r="KKK57" s="15"/>
      <c r="KKL57" s="15"/>
      <c r="KKM57" s="15"/>
      <c r="KKN57" s="15"/>
      <c r="KKO57" s="15"/>
      <c r="KKP57" s="15"/>
      <c r="KKQ57" s="15"/>
      <c r="KKR57" s="15"/>
      <c r="KKS57" s="15"/>
      <c r="KKT57" s="15"/>
      <c r="KKU57" s="15"/>
      <c r="KKV57" s="15"/>
      <c r="KKW57" s="15"/>
      <c r="KKX57" s="15"/>
      <c r="KKY57" s="15"/>
      <c r="KKZ57" s="15"/>
      <c r="KLA57" s="15"/>
      <c r="KLB57" s="15"/>
      <c r="KLC57" s="15"/>
      <c r="KLD57" s="15"/>
      <c r="KLE57" s="15"/>
      <c r="KLF57" s="15"/>
      <c r="KLG57" s="15"/>
      <c r="KLH57" s="15"/>
      <c r="KLI57" s="15"/>
      <c r="KLJ57" s="15"/>
      <c r="KLK57" s="15"/>
      <c r="KLL57" s="15"/>
      <c r="KLM57" s="15"/>
      <c r="KLN57" s="15"/>
      <c r="KLO57" s="15"/>
      <c r="KLP57" s="15"/>
      <c r="KLQ57" s="15"/>
      <c r="KLR57" s="15"/>
      <c r="KLS57" s="15"/>
      <c r="KLT57" s="15"/>
      <c r="KLU57" s="15"/>
      <c r="KLV57" s="15"/>
      <c r="KLW57" s="15"/>
      <c r="KLX57" s="15"/>
      <c r="KLY57" s="15"/>
      <c r="KLZ57" s="15"/>
      <c r="KMA57" s="15"/>
      <c r="KMB57" s="15"/>
      <c r="KMC57" s="15"/>
      <c r="KMD57" s="15"/>
      <c r="KME57" s="15"/>
      <c r="KMF57" s="15"/>
      <c r="KMG57" s="15"/>
      <c r="KMH57" s="15"/>
      <c r="KMI57" s="15"/>
      <c r="KMJ57" s="15"/>
      <c r="KMK57" s="15"/>
      <c r="KML57" s="15"/>
      <c r="KMM57" s="15"/>
      <c r="KMN57" s="15"/>
      <c r="KMO57" s="15"/>
      <c r="KMP57" s="15"/>
      <c r="KMQ57" s="15"/>
      <c r="KMR57" s="15"/>
      <c r="KMS57" s="15"/>
      <c r="KMT57" s="15"/>
      <c r="KMU57" s="15"/>
      <c r="KMV57" s="15"/>
      <c r="KMW57" s="15"/>
      <c r="KMX57" s="15"/>
      <c r="KMY57" s="15"/>
      <c r="KMZ57" s="15"/>
      <c r="KNA57" s="15"/>
      <c r="KNB57" s="15"/>
      <c r="KNC57" s="15"/>
      <c r="KND57" s="15"/>
      <c r="KNE57" s="15"/>
      <c r="KNF57" s="15"/>
      <c r="KNG57" s="15"/>
      <c r="KNH57" s="15"/>
      <c r="KNI57" s="15"/>
      <c r="KNJ57" s="15"/>
      <c r="KNK57" s="15"/>
      <c r="KNL57" s="15"/>
      <c r="KNM57" s="15"/>
      <c r="KNN57" s="15"/>
      <c r="KNO57" s="15"/>
      <c r="KNP57" s="15"/>
      <c r="KNQ57" s="15"/>
      <c r="KNR57" s="15"/>
      <c r="KNS57" s="15"/>
      <c r="KNT57" s="15"/>
      <c r="KNU57" s="15"/>
      <c r="KNV57" s="15"/>
      <c r="KNW57" s="15"/>
      <c r="KNX57" s="15"/>
      <c r="KNY57" s="15"/>
      <c r="KNZ57" s="15"/>
      <c r="KOA57" s="15"/>
      <c r="KOB57" s="15"/>
      <c r="KOC57" s="15"/>
      <c r="KOD57" s="15"/>
      <c r="KOE57" s="15"/>
      <c r="KOF57" s="15"/>
      <c r="KOG57" s="15"/>
      <c r="KOH57" s="15"/>
      <c r="KOI57" s="15"/>
      <c r="KOJ57" s="15"/>
      <c r="KOK57" s="15"/>
      <c r="KOL57" s="15"/>
      <c r="KOM57" s="15"/>
      <c r="KON57" s="15"/>
      <c r="KOO57" s="15"/>
      <c r="KOP57" s="15"/>
      <c r="KOQ57" s="15"/>
      <c r="KOR57" s="15"/>
      <c r="KOS57" s="15"/>
      <c r="KOT57" s="15"/>
      <c r="KOU57" s="15"/>
      <c r="KOV57" s="15"/>
      <c r="KOW57" s="15"/>
      <c r="KOX57" s="15"/>
      <c r="KOY57" s="15"/>
      <c r="KOZ57" s="15"/>
      <c r="KPA57" s="15"/>
      <c r="KPB57" s="15"/>
      <c r="KPC57" s="15"/>
      <c r="KPD57" s="15"/>
      <c r="KPE57" s="15"/>
      <c r="KPF57" s="15"/>
      <c r="KPG57" s="15"/>
      <c r="KPH57" s="15"/>
      <c r="KPI57" s="15"/>
      <c r="KPJ57" s="15"/>
      <c r="KPK57" s="15"/>
      <c r="KPL57" s="15"/>
      <c r="KPM57" s="15"/>
      <c r="KPN57" s="15"/>
      <c r="KPO57" s="15"/>
      <c r="KPP57" s="15"/>
      <c r="KPQ57" s="15"/>
      <c r="KPR57" s="15"/>
      <c r="KPS57" s="15"/>
      <c r="KPT57" s="15"/>
      <c r="KPU57" s="15"/>
      <c r="KPV57" s="15"/>
      <c r="KPW57" s="15"/>
      <c r="KPX57" s="15"/>
      <c r="KPY57" s="15"/>
      <c r="KPZ57" s="15"/>
      <c r="KQA57" s="15"/>
      <c r="KQB57" s="15"/>
      <c r="KQC57" s="15"/>
      <c r="KQD57" s="15"/>
      <c r="KQE57" s="15"/>
      <c r="KQF57" s="15"/>
      <c r="KQG57" s="15"/>
      <c r="KQH57" s="15"/>
      <c r="KQI57" s="15"/>
      <c r="KQJ57" s="15"/>
      <c r="KQK57" s="15"/>
      <c r="KQL57" s="15"/>
      <c r="KQM57" s="15"/>
      <c r="KQN57" s="15"/>
      <c r="KQO57" s="15"/>
      <c r="KQP57" s="15"/>
      <c r="KQQ57" s="15"/>
      <c r="KQR57" s="15"/>
      <c r="KQS57" s="15"/>
      <c r="KQT57" s="15"/>
      <c r="KQU57" s="15"/>
      <c r="KQV57" s="15"/>
      <c r="KQW57" s="15"/>
      <c r="KQX57" s="15"/>
      <c r="KQY57" s="15"/>
      <c r="KQZ57" s="15"/>
      <c r="KRA57" s="15"/>
      <c r="KRB57" s="15"/>
      <c r="KRC57" s="15"/>
      <c r="KRD57" s="15"/>
      <c r="KRE57" s="15"/>
      <c r="KRF57" s="15"/>
      <c r="KRG57" s="15"/>
      <c r="KRH57" s="15"/>
      <c r="KRI57" s="15"/>
      <c r="KRJ57" s="15"/>
      <c r="KRK57" s="15"/>
      <c r="KRL57" s="15"/>
      <c r="KRM57" s="15"/>
      <c r="KRN57" s="15"/>
      <c r="KRO57" s="15"/>
      <c r="KRP57" s="15"/>
      <c r="KRQ57" s="15"/>
      <c r="KRR57" s="15"/>
      <c r="KRS57" s="15"/>
      <c r="KRT57" s="15"/>
      <c r="KRU57" s="15"/>
      <c r="KRV57" s="15"/>
      <c r="KRW57" s="15"/>
      <c r="KRX57" s="15"/>
      <c r="KRY57" s="15"/>
      <c r="KRZ57" s="15"/>
      <c r="KSA57" s="15"/>
      <c r="KSB57" s="15"/>
      <c r="KSC57" s="15"/>
      <c r="KSD57" s="15"/>
      <c r="KSE57" s="15"/>
      <c r="KSF57" s="15"/>
      <c r="KSG57" s="15"/>
      <c r="KSH57" s="15"/>
      <c r="KSI57" s="15"/>
      <c r="KSJ57" s="15"/>
      <c r="KSK57" s="15"/>
      <c r="KSL57" s="15"/>
      <c r="KSM57" s="15"/>
      <c r="KSN57" s="15"/>
      <c r="KSO57" s="15"/>
      <c r="KSP57" s="15"/>
      <c r="KSQ57" s="15"/>
      <c r="KSR57" s="15"/>
      <c r="KSS57" s="15"/>
      <c r="KST57" s="15"/>
      <c r="KSU57" s="15"/>
      <c r="KSV57" s="15"/>
      <c r="KSW57" s="15"/>
      <c r="KSX57" s="15"/>
      <c r="KSY57" s="15"/>
      <c r="KSZ57" s="15"/>
      <c r="KTA57" s="15"/>
      <c r="KTB57" s="15"/>
      <c r="KTC57" s="15"/>
      <c r="KTD57" s="15"/>
      <c r="KTE57" s="15"/>
      <c r="KTF57" s="15"/>
      <c r="KTG57" s="15"/>
      <c r="KTH57" s="15"/>
      <c r="KTI57" s="15"/>
      <c r="KTJ57" s="15"/>
      <c r="KTK57" s="15"/>
      <c r="KTL57" s="15"/>
      <c r="KTM57" s="15"/>
      <c r="KTN57" s="15"/>
      <c r="KTO57" s="15"/>
      <c r="KTP57" s="15"/>
      <c r="KTQ57" s="15"/>
      <c r="KTR57" s="15"/>
      <c r="KTS57" s="15"/>
      <c r="KTT57" s="15"/>
      <c r="KTU57" s="15"/>
      <c r="KTV57" s="15"/>
      <c r="KTW57" s="15"/>
      <c r="KTX57" s="15"/>
      <c r="KTY57" s="15"/>
      <c r="KTZ57" s="15"/>
      <c r="KUA57" s="15"/>
      <c r="KUB57" s="15"/>
      <c r="KUC57" s="15"/>
      <c r="KUD57" s="15"/>
      <c r="KUE57" s="15"/>
      <c r="KUF57" s="15"/>
      <c r="KUG57" s="15"/>
      <c r="KUH57" s="15"/>
      <c r="KUI57" s="15"/>
      <c r="KUJ57" s="15"/>
      <c r="KUK57" s="15"/>
      <c r="KUL57" s="15"/>
      <c r="KUM57" s="15"/>
      <c r="KUN57" s="15"/>
      <c r="KUO57" s="15"/>
      <c r="KUP57" s="15"/>
      <c r="KUQ57" s="15"/>
      <c r="KUR57" s="15"/>
      <c r="KUS57" s="15"/>
      <c r="KUT57" s="15"/>
      <c r="KUU57" s="15"/>
      <c r="KUV57" s="15"/>
      <c r="KUW57" s="15"/>
      <c r="KUX57" s="15"/>
      <c r="KUY57" s="15"/>
      <c r="KUZ57" s="15"/>
      <c r="KVA57" s="15"/>
      <c r="KVB57" s="15"/>
      <c r="KVC57" s="15"/>
      <c r="KVD57" s="15"/>
      <c r="KVE57" s="15"/>
      <c r="KVF57" s="15"/>
      <c r="KVG57" s="15"/>
      <c r="KVH57" s="15"/>
      <c r="KVI57" s="15"/>
      <c r="KVJ57" s="15"/>
      <c r="KVK57" s="15"/>
      <c r="KVL57" s="15"/>
      <c r="KVM57" s="15"/>
      <c r="KVN57" s="15"/>
      <c r="KVO57" s="15"/>
      <c r="KVP57" s="15"/>
      <c r="KVQ57" s="15"/>
      <c r="KVR57" s="15"/>
      <c r="KVS57" s="15"/>
      <c r="KVT57" s="15"/>
      <c r="KVU57" s="15"/>
      <c r="KVV57" s="15"/>
      <c r="KVW57" s="15"/>
      <c r="KVX57" s="15"/>
      <c r="KVY57" s="15"/>
      <c r="KVZ57" s="15"/>
      <c r="KWA57" s="15"/>
      <c r="KWB57" s="15"/>
      <c r="KWC57" s="15"/>
      <c r="KWD57" s="15"/>
      <c r="KWE57" s="15"/>
      <c r="KWF57" s="15"/>
      <c r="KWG57" s="15"/>
      <c r="KWH57" s="15"/>
      <c r="KWI57" s="15"/>
      <c r="KWJ57" s="15"/>
      <c r="KWK57" s="15"/>
      <c r="KWL57" s="15"/>
      <c r="KWM57" s="15"/>
      <c r="KWN57" s="15"/>
      <c r="KWO57" s="15"/>
      <c r="KWP57" s="15"/>
      <c r="KWQ57" s="15"/>
      <c r="KWR57" s="15"/>
      <c r="KWS57" s="15"/>
      <c r="KWT57" s="15"/>
      <c r="KWU57" s="15"/>
      <c r="KWV57" s="15"/>
      <c r="KWW57" s="15"/>
      <c r="KWX57" s="15"/>
      <c r="KWY57" s="15"/>
      <c r="KWZ57" s="15"/>
      <c r="KXA57" s="15"/>
      <c r="KXB57" s="15"/>
      <c r="KXC57" s="15"/>
      <c r="KXD57" s="15"/>
      <c r="KXE57" s="15"/>
      <c r="KXF57" s="15"/>
      <c r="KXG57" s="15"/>
      <c r="KXH57" s="15"/>
      <c r="KXI57" s="15"/>
      <c r="KXJ57" s="15"/>
      <c r="KXK57" s="15"/>
      <c r="KXL57" s="15"/>
      <c r="KXM57" s="15"/>
      <c r="KXN57" s="15"/>
      <c r="KXO57" s="15"/>
      <c r="KXP57" s="15"/>
      <c r="KXQ57" s="15"/>
      <c r="KXR57" s="15"/>
      <c r="KXS57" s="15"/>
      <c r="KXT57" s="15"/>
      <c r="KXU57" s="15"/>
      <c r="KXV57" s="15"/>
      <c r="KXW57" s="15"/>
      <c r="KXX57" s="15"/>
      <c r="KXY57" s="15"/>
      <c r="KXZ57" s="15"/>
      <c r="KYA57" s="15"/>
      <c r="KYB57" s="15"/>
      <c r="KYC57" s="15"/>
      <c r="KYD57" s="15"/>
      <c r="KYE57" s="15"/>
      <c r="KYF57" s="15"/>
      <c r="KYG57" s="15"/>
      <c r="KYH57" s="15"/>
      <c r="KYI57" s="15"/>
      <c r="KYJ57" s="15"/>
      <c r="KYK57" s="15"/>
      <c r="KYL57" s="15"/>
      <c r="KYM57" s="15"/>
      <c r="KYN57" s="15"/>
      <c r="KYO57" s="15"/>
      <c r="KYP57" s="15"/>
      <c r="KYQ57" s="15"/>
      <c r="KYR57" s="15"/>
      <c r="KYS57" s="15"/>
      <c r="KYT57" s="15"/>
      <c r="KYU57" s="15"/>
      <c r="KYV57" s="15"/>
      <c r="KYW57" s="15"/>
      <c r="KYX57" s="15"/>
      <c r="KYY57" s="15"/>
      <c r="KYZ57" s="15"/>
      <c r="KZA57" s="15"/>
      <c r="KZB57" s="15"/>
      <c r="KZC57" s="15"/>
      <c r="KZD57" s="15"/>
      <c r="KZE57" s="15"/>
      <c r="KZF57" s="15"/>
      <c r="KZG57" s="15"/>
      <c r="KZH57" s="15"/>
      <c r="KZI57" s="15"/>
      <c r="KZJ57" s="15"/>
      <c r="KZK57" s="15"/>
      <c r="KZL57" s="15"/>
      <c r="KZM57" s="15"/>
      <c r="KZN57" s="15"/>
      <c r="KZO57" s="15"/>
      <c r="KZP57" s="15"/>
      <c r="KZQ57" s="15"/>
      <c r="KZR57" s="15"/>
      <c r="KZS57" s="15"/>
      <c r="KZT57" s="15"/>
      <c r="KZU57" s="15"/>
      <c r="KZV57" s="15"/>
      <c r="KZW57" s="15"/>
      <c r="KZX57" s="15"/>
      <c r="KZY57" s="15"/>
      <c r="KZZ57" s="15"/>
      <c r="LAA57" s="15"/>
      <c r="LAB57" s="15"/>
      <c r="LAC57" s="15"/>
      <c r="LAD57" s="15"/>
      <c r="LAE57" s="15"/>
      <c r="LAF57" s="15"/>
      <c r="LAG57" s="15"/>
      <c r="LAH57" s="15"/>
      <c r="LAI57" s="15"/>
      <c r="LAJ57" s="15"/>
      <c r="LAK57" s="15"/>
      <c r="LAL57" s="15"/>
      <c r="LAM57" s="15"/>
      <c r="LAN57" s="15"/>
      <c r="LAO57" s="15"/>
      <c r="LAP57" s="15"/>
      <c r="LAQ57" s="15"/>
      <c r="LAR57" s="15"/>
      <c r="LAS57" s="15"/>
      <c r="LAT57" s="15"/>
      <c r="LAU57" s="15"/>
      <c r="LAV57" s="15"/>
      <c r="LAW57" s="15"/>
      <c r="LAX57" s="15"/>
      <c r="LAY57" s="15"/>
      <c r="LAZ57" s="15"/>
      <c r="LBA57" s="15"/>
      <c r="LBB57" s="15"/>
      <c r="LBC57" s="15"/>
      <c r="LBD57" s="15"/>
      <c r="LBE57" s="15"/>
      <c r="LBF57" s="15"/>
      <c r="LBG57" s="15"/>
      <c r="LBH57" s="15"/>
      <c r="LBI57" s="15"/>
      <c r="LBJ57" s="15"/>
      <c r="LBK57" s="15"/>
      <c r="LBL57" s="15"/>
      <c r="LBM57" s="15"/>
      <c r="LBN57" s="15"/>
      <c r="LBO57" s="15"/>
      <c r="LBP57" s="15"/>
      <c r="LBQ57" s="15"/>
      <c r="LBR57" s="15"/>
      <c r="LBS57" s="15"/>
      <c r="LBT57" s="15"/>
      <c r="LBU57" s="15"/>
      <c r="LBV57" s="15"/>
      <c r="LBW57" s="15"/>
      <c r="LBX57" s="15"/>
      <c r="LBY57" s="15"/>
      <c r="LBZ57" s="15"/>
      <c r="LCA57" s="15"/>
      <c r="LCB57" s="15"/>
      <c r="LCC57" s="15"/>
      <c r="LCD57" s="15"/>
      <c r="LCE57" s="15"/>
      <c r="LCF57" s="15"/>
      <c r="LCG57" s="15"/>
      <c r="LCH57" s="15"/>
      <c r="LCI57" s="15"/>
      <c r="LCJ57" s="15"/>
      <c r="LCK57" s="15"/>
      <c r="LCL57" s="15"/>
      <c r="LCM57" s="15"/>
      <c r="LCN57" s="15"/>
      <c r="LCO57" s="15"/>
      <c r="LCP57" s="15"/>
      <c r="LCQ57" s="15"/>
      <c r="LCR57" s="15"/>
      <c r="LCS57" s="15"/>
      <c r="LCT57" s="15"/>
      <c r="LCU57" s="15"/>
      <c r="LCV57" s="15"/>
      <c r="LCW57" s="15"/>
      <c r="LCX57" s="15"/>
      <c r="LCY57" s="15"/>
      <c r="LCZ57" s="15"/>
      <c r="LDA57" s="15"/>
      <c r="LDB57" s="15"/>
      <c r="LDC57" s="15"/>
      <c r="LDD57" s="15"/>
      <c r="LDE57" s="15"/>
      <c r="LDF57" s="15"/>
      <c r="LDG57" s="15"/>
      <c r="LDH57" s="15"/>
      <c r="LDI57" s="15"/>
      <c r="LDJ57" s="15"/>
      <c r="LDK57" s="15"/>
      <c r="LDL57" s="15"/>
      <c r="LDM57" s="15"/>
      <c r="LDN57" s="15"/>
      <c r="LDO57" s="15"/>
      <c r="LDP57" s="15"/>
      <c r="LDQ57" s="15"/>
      <c r="LDR57" s="15"/>
      <c r="LDS57" s="15"/>
      <c r="LDT57" s="15"/>
      <c r="LDU57" s="15"/>
      <c r="LDV57" s="15"/>
      <c r="LDW57" s="15"/>
      <c r="LDX57" s="15"/>
      <c r="LDY57" s="15"/>
      <c r="LDZ57" s="15"/>
      <c r="LEA57" s="15"/>
      <c r="LEB57" s="15"/>
      <c r="LEC57" s="15"/>
      <c r="LED57" s="15"/>
      <c r="LEE57" s="15"/>
      <c r="LEF57" s="15"/>
      <c r="LEG57" s="15"/>
      <c r="LEH57" s="15"/>
      <c r="LEI57" s="15"/>
      <c r="LEJ57" s="15"/>
      <c r="LEK57" s="15"/>
      <c r="LEL57" s="15"/>
      <c r="LEM57" s="15"/>
      <c r="LEN57" s="15"/>
      <c r="LEO57" s="15"/>
      <c r="LEP57" s="15"/>
      <c r="LEQ57" s="15"/>
      <c r="LER57" s="15"/>
      <c r="LES57" s="15"/>
      <c r="LET57" s="15"/>
      <c r="LEU57" s="15"/>
      <c r="LEV57" s="15"/>
      <c r="LEW57" s="15"/>
      <c r="LEX57" s="15"/>
      <c r="LEY57" s="15"/>
      <c r="LEZ57" s="15"/>
      <c r="LFA57" s="15"/>
      <c r="LFB57" s="15"/>
      <c r="LFC57" s="15"/>
      <c r="LFD57" s="15"/>
      <c r="LFE57" s="15"/>
      <c r="LFF57" s="15"/>
      <c r="LFG57" s="15"/>
      <c r="LFH57" s="15"/>
      <c r="LFI57" s="15"/>
      <c r="LFJ57" s="15"/>
      <c r="LFK57" s="15"/>
      <c r="LFL57" s="15"/>
      <c r="LFM57" s="15"/>
      <c r="LFN57" s="15"/>
      <c r="LFO57" s="15"/>
      <c r="LFP57" s="15"/>
      <c r="LFQ57" s="15"/>
      <c r="LFR57" s="15"/>
      <c r="LFS57" s="15"/>
      <c r="LFT57" s="15"/>
      <c r="LFU57" s="15"/>
      <c r="LFV57" s="15"/>
      <c r="LFW57" s="15"/>
      <c r="LFX57" s="15"/>
      <c r="LFY57" s="15"/>
      <c r="LFZ57" s="15"/>
      <c r="LGA57" s="15"/>
      <c r="LGB57" s="15"/>
      <c r="LGC57" s="15"/>
      <c r="LGD57" s="15"/>
      <c r="LGE57" s="15"/>
      <c r="LGF57" s="15"/>
      <c r="LGG57" s="15"/>
      <c r="LGH57" s="15"/>
      <c r="LGI57" s="15"/>
      <c r="LGJ57" s="15"/>
      <c r="LGK57" s="15"/>
      <c r="LGL57" s="15"/>
      <c r="LGM57" s="15"/>
      <c r="LGN57" s="15"/>
      <c r="LGO57" s="15"/>
      <c r="LGP57" s="15"/>
      <c r="LGQ57" s="15"/>
      <c r="LGR57" s="15"/>
      <c r="LGS57" s="15"/>
      <c r="LGT57" s="15"/>
      <c r="LGU57" s="15"/>
      <c r="LGV57" s="15"/>
      <c r="LGW57" s="15"/>
      <c r="LGX57" s="15"/>
      <c r="LGY57" s="15"/>
      <c r="LGZ57" s="15"/>
      <c r="LHA57" s="15"/>
      <c r="LHB57" s="15"/>
      <c r="LHC57" s="15"/>
      <c r="LHD57" s="15"/>
      <c r="LHE57" s="15"/>
      <c r="LHF57" s="15"/>
      <c r="LHG57" s="15"/>
      <c r="LHH57" s="15"/>
      <c r="LHI57" s="15"/>
      <c r="LHJ57" s="15"/>
      <c r="LHK57" s="15"/>
      <c r="LHL57" s="15"/>
      <c r="LHM57" s="15"/>
      <c r="LHN57" s="15"/>
      <c r="LHO57" s="15"/>
      <c r="LHP57" s="15"/>
      <c r="LHQ57" s="15"/>
      <c r="LHR57" s="15"/>
      <c r="LHS57" s="15"/>
      <c r="LHT57" s="15"/>
      <c r="LHU57" s="15"/>
      <c r="LHV57" s="15"/>
      <c r="LHW57" s="15"/>
      <c r="LHX57" s="15"/>
      <c r="LHY57" s="15"/>
      <c r="LHZ57" s="15"/>
      <c r="LIA57" s="15"/>
      <c r="LIB57" s="15"/>
      <c r="LIC57" s="15"/>
      <c r="LID57" s="15"/>
      <c r="LIE57" s="15"/>
      <c r="LIF57" s="15"/>
      <c r="LIG57" s="15"/>
      <c r="LIH57" s="15"/>
      <c r="LII57" s="15"/>
      <c r="LIJ57" s="15"/>
      <c r="LIK57" s="15"/>
      <c r="LIL57" s="15"/>
      <c r="LIM57" s="15"/>
      <c r="LIN57" s="15"/>
      <c r="LIO57" s="15"/>
      <c r="LIP57" s="15"/>
      <c r="LIQ57" s="15"/>
      <c r="LIR57" s="15"/>
      <c r="LIS57" s="15"/>
      <c r="LIT57" s="15"/>
      <c r="LIU57" s="15"/>
      <c r="LIV57" s="15"/>
      <c r="LIW57" s="15"/>
      <c r="LIX57" s="15"/>
      <c r="LIY57" s="15"/>
      <c r="LIZ57" s="15"/>
      <c r="LJA57" s="15"/>
      <c r="LJB57" s="15"/>
      <c r="LJC57" s="15"/>
      <c r="LJD57" s="15"/>
      <c r="LJE57" s="15"/>
      <c r="LJF57" s="15"/>
      <c r="LJG57" s="15"/>
      <c r="LJH57" s="15"/>
      <c r="LJI57" s="15"/>
      <c r="LJJ57" s="15"/>
      <c r="LJK57" s="15"/>
      <c r="LJL57" s="15"/>
      <c r="LJM57" s="15"/>
      <c r="LJN57" s="15"/>
      <c r="LJO57" s="15"/>
      <c r="LJP57" s="15"/>
      <c r="LJQ57" s="15"/>
      <c r="LJR57" s="15"/>
      <c r="LJS57" s="15"/>
      <c r="LJT57" s="15"/>
      <c r="LJU57" s="15"/>
      <c r="LJV57" s="15"/>
      <c r="LJW57" s="15"/>
      <c r="LJX57" s="15"/>
      <c r="LJY57" s="15"/>
      <c r="LJZ57" s="15"/>
      <c r="LKA57" s="15"/>
      <c r="LKB57" s="15"/>
      <c r="LKC57" s="15"/>
      <c r="LKD57" s="15"/>
      <c r="LKE57" s="15"/>
      <c r="LKF57" s="15"/>
      <c r="LKG57" s="15"/>
      <c r="LKH57" s="15"/>
      <c r="LKI57" s="15"/>
      <c r="LKJ57" s="15"/>
      <c r="LKK57" s="15"/>
      <c r="LKL57" s="15"/>
      <c r="LKM57" s="15"/>
      <c r="LKN57" s="15"/>
      <c r="LKO57" s="15"/>
      <c r="LKP57" s="15"/>
      <c r="LKQ57" s="15"/>
      <c r="LKR57" s="15"/>
      <c r="LKS57" s="15"/>
      <c r="LKT57" s="15"/>
      <c r="LKU57" s="15"/>
      <c r="LKV57" s="15"/>
      <c r="LKW57" s="15"/>
      <c r="LKX57" s="15"/>
      <c r="LKY57" s="15"/>
      <c r="LKZ57" s="15"/>
      <c r="LLA57" s="15"/>
      <c r="LLB57" s="15"/>
      <c r="LLC57" s="15"/>
      <c r="LLD57" s="15"/>
      <c r="LLE57" s="15"/>
      <c r="LLF57" s="15"/>
      <c r="LLG57" s="15"/>
      <c r="LLH57" s="15"/>
      <c r="LLI57" s="15"/>
      <c r="LLJ57" s="15"/>
      <c r="LLK57" s="15"/>
      <c r="LLL57" s="15"/>
      <c r="LLM57" s="15"/>
      <c r="LLN57" s="15"/>
      <c r="LLO57" s="15"/>
      <c r="LLP57" s="15"/>
      <c r="LLQ57" s="15"/>
      <c r="LLR57" s="15"/>
      <c r="LLS57" s="15"/>
      <c r="LLT57" s="15"/>
      <c r="LLU57" s="15"/>
      <c r="LLV57" s="15"/>
      <c r="LLW57" s="15"/>
      <c r="LLX57" s="15"/>
      <c r="LLY57" s="15"/>
      <c r="LLZ57" s="15"/>
      <c r="LMA57" s="15"/>
      <c r="LMB57" s="15"/>
      <c r="LMC57" s="15"/>
      <c r="LMD57" s="15"/>
      <c r="LME57" s="15"/>
      <c r="LMF57" s="15"/>
      <c r="LMG57" s="15"/>
      <c r="LMH57" s="15"/>
      <c r="LMI57" s="15"/>
      <c r="LMJ57" s="15"/>
      <c r="LMK57" s="15"/>
      <c r="LML57" s="15"/>
      <c r="LMM57" s="15"/>
      <c r="LMN57" s="15"/>
      <c r="LMO57" s="15"/>
      <c r="LMP57" s="15"/>
      <c r="LMQ57" s="15"/>
      <c r="LMR57" s="15"/>
      <c r="LMS57" s="15"/>
      <c r="LMT57" s="15"/>
      <c r="LMU57" s="15"/>
      <c r="LMV57" s="15"/>
      <c r="LMW57" s="15"/>
      <c r="LMX57" s="15"/>
      <c r="LMY57" s="15"/>
      <c r="LMZ57" s="15"/>
      <c r="LNA57" s="15"/>
      <c r="LNB57" s="15"/>
      <c r="LNC57" s="15"/>
      <c r="LND57" s="15"/>
      <c r="LNE57" s="15"/>
      <c r="LNF57" s="15"/>
      <c r="LNG57" s="15"/>
      <c r="LNH57" s="15"/>
      <c r="LNI57" s="15"/>
      <c r="LNJ57" s="15"/>
      <c r="LNK57" s="15"/>
      <c r="LNL57" s="15"/>
      <c r="LNM57" s="15"/>
      <c r="LNN57" s="15"/>
      <c r="LNO57" s="15"/>
      <c r="LNP57" s="15"/>
      <c r="LNQ57" s="15"/>
      <c r="LNR57" s="15"/>
      <c r="LNS57" s="15"/>
      <c r="LNT57" s="15"/>
      <c r="LNU57" s="15"/>
      <c r="LNV57" s="15"/>
      <c r="LNW57" s="15"/>
      <c r="LNX57" s="15"/>
      <c r="LNY57" s="15"/>
      <c r="LNZ57" s="15"/>
      <c r="LOA57" s="15"/>
      <c r="LOB57" s="15"/>
      <c r="LOC57" s="15"/>
      <c r="LOD57" s="15"/>
      <c r="LOE57" s="15"/>
      <c r="LOF57" s="15"/>
      <c r="LOG57" s="15"/>
      <c r="LOH57" s="15"/>
      <c r="LOI57" s="15"/>
      <c r="LOJ57" s="15"/>
      <c r="LOK57" s="15"/>
      <c r="LOL57" s="15"/>
      <c r="LOM57" s="15"/>
      <c r="LON57" s="15"/>
      <c r="LOO57" s="15"/>
      <c r="LOP57" s="15"/>
      <c r="LOQ57" s="15"/>
      <c r="LOR57" s="15"/>
      <c r="LOS57" s="15"/>
      <c r="LOT57" s="15"/>
      <c r="LOU57" s="15"/>
      <c r="LOV57" s="15"/>
      <c r="LOW57" s="15"/>
      <c r="LOX57" s="15"/>
      <c r="LOY57" s="15"/>
      <c r="LOZ57" s="15"/>
      <c r="LPA57" s="15"/>
      <c r="LPB57" s="15"/>
      <c r="LPC57" s="15"/>
      <c r="LPD57" s="15"/>
      <c r="LPE57" s="15"/>
      <c r="LPF57" s="15"/>
      <c r="LPG57" s="15"/>
      <c r="LPH57" s="15"/>
      <c r="LPI57" s="15"/>
      <c r="LPJ57" s="15"/>
      <c r="LPK57" s="15"/>
      <c r="LPL57" s="15"/>
      <c r="LPM57" s="15"/>
      <c r="LPN57" s="15"/>
      <c r="LPO57" s="15"/>
      <c r="LPP57" s="15"/>
      <c r="LPQ57" s="15"/>
      <c r="LPR57" s="15"/>
      <c r="LPS57" s="15"/>
      <c r="LPT57" s="15"/>
      <c r="LPU57" s="15"/>
      <c r="LPV57" s="15"/>
      <c r="LPW57" s="15"/>
      <c r="LPX57" s="15"/>
      <c r="LPY57" s="15"/>
      <c r="LPZ57" s="15"/>
      <c r="LQA57" s="15"/>
      <c r="LQB57" s="15"/>
      <c r="LQC57" s="15"/>
      <c r="LQD57" s="15"/>
      <c r="LQE57" s="15"/>
      <c r="LQF57" s="15"/>
      <c r="LQG57" s="15"/>
      <c r="LQH57" s="15"/>
      <c r="LQI57" s="15"/>
      <c r="LQJ57" s="15"/>
      <c r="LQK57" s="15"/>
      <c r="LQL57" s="15"/>
      <c r="LQM57" s="15"/>
      <c r="LQN57" s="15"/>
      <c r="LQO57" s="15"/>
      <c r="LQP57" s="15"/>
      <c r="LQQ57" s="15"/>
      <c r="LQR57" s="15"/>
      <c r="LQS57" s="15"/>
      <c r="LQT57" s="15"/>
      <c r="LQU57" s="15"/>
      <c r="LQV57" s="15"/>
      <c r="LQW57" s="15"/>
      <c r="LQX57" s="15"/>
      <c r="LQY57" s="15"/>
      <c r="LQZ57" s="15"/>
      <c r="LRA57" s="15"/>
      <c r="LRB57" s="15"/>
      <c r="LRC57" s="15"/>
      <c r="LRD57" s="15"/>
      <c r="LRE57" s="15"/>
      <c r="LRF57" s="15"/>
      <c r="LRG57" s="15"/>
      <c r="LRH57" s="15"/>
      <c r="LRI57" s="15"/>
      <c r="LRJ57" s="15"/>
      <c r="LRK57" s="15"/>
      <c r="LRL57" s="15"/>
      <c r="LRM57" s="15"/>
      <c r="LRN57" s="15"/>
      <c r="LRO57" s="15"/>
      <c r="LRP57" s="15"/>
      <c r="LRQ57" s="15"/>
      <c r="LRR57" s="15"/>
      <c r="LRS57" s="15"/>
      <c r="LRT57" s="15"/>
      <c r="LRU57" s="15"/>
      <c r="LRV57" s="15"/>
      <c r="LRW57" s="15"/>
      <c r="LRX57" s="15"/>
      <c r="LRY57" s="15"/>
      <c r="LRZ57" s="15"/>
      <c r="LSA57" s="15"/>
      <c r="LSB57" s="15"/>
      <c r="LSC57" s="15"/>
      <c r="LSD57" s="15"/>
      <c r="LSE57" s="15"/>
      <c r="LSF57" s="15"/>
      <c r="LSG57" s="15"/>
      <c r="LSH57" s="15"/>
      <c r="LSI57" s="15"/>
      <c r="LSJ57" s="15"/>
      <c r="LSK57" s="15"/>
      <c r="LSL57" s="15"/>
      <c r="LSM57" s="15"/>
      <c r="LSN57" s="15"/>
      <c r="LSO57" s="15"/>
      <c r="LSP57" s="15"/>
      <c r="LSQ57" s="15"/>
      <c r="LSR57" s="15"/>
      <c r="LSS57" s="15"/>
      <c r="LST57" s="15"/>
      <c r="LSU57" s="15"/>
      <c r="LSV57" s="15"/>
      <c r="LSW57" s="15"/>
      <c r="LSX57" s="15"/>
      <c r="LSY57" s="15"/>
      <c r="LSZ57" s="15"/>
      <c r="LTA57" s="15"/>
      <c r="LTB57" s="15"/>
      <c r="LTC57" s="15"/>
      <c r="LTD57" s="15"/>
      <c r="LTE57" s="15"/>
      <c r="LTF57" s="15"/>
      <c r="LTG57" s="15"/>
      <c r="LTH57" s="15"/>
      <c r="LTI57" s="15"/>
      <c r="LTJ57" s="15"/>
      <c r="LTK57" s="15"/>
      <c r="LTL57" s="15"/>
      <c r="LTM57" s="15"/>
      <c r="LTN57" s="15"/>
      <c r="LTO57" s="15"/>
      <c r="LTP57" s="15"/>
      <c r="LTQ57" s="15"/>
      <c r="LTR57" s="15"/>
      <c r="LTS57" s="15"/>
      <c r="LTT57" s="15"/>
      <c r="LTU57" s="15"/>
      <c r="LTV57" s="15"/>
      <c r="LTW57" s="15"/>
      <c r="LTX57" s="15"/>
      <c r="LTY57" s="15"/>
      <c r="LTZ57" s="15"/>
      <c r="LUA57" s="15"/>
      <c r="LUB57" s="15"/>
      <c r="LUC57" s="15"/>
      <c r="LUD57" s="15"/>
      <c r="LUE57" s="15"/>
      <c r="LUF57" s="15"/>
      <c r="LUG57" s="15"/>
      <c r="LUH57" s="15"/>
      <c r="LUI57" s="15"/>
      <c r="LUJ57" s="15"/>
      <c r="LUK57" s="15"/>
      <c r="LUL57" s="15"/>
      <c r="LUM57" s="15"/>
      <c r="LUN57" s="15"/>
      <c r="LUO57" s="15"/>
      <c r="LUP57" s="15"/>
      <c r="LUQ57" s="15"/>
      <c r="LUR57" s="15"/>
      <c r="LUS57" s="15"/>
      <c r="LUT57" s="15"/>
      <c r="LUU57" s="15"/>
      <c r="LUV57" s="15"/>
      <c r="LUW57" s="15"/>
      <c r="LUX57" s="15"/>
      <c r="LUY57" s="15"/>
      <c r="LUZ57" s="15"/>
      <c r="LVA57" s="15"/>
      <c r="LVB57" s="15"/>
      <c r="LVC57" s="15"/>
      <c r="LVD57" s="15"/>
      <c r="LVE57" s="15"/>
      <c r="LVF57" s="15"/>
      <c r="LVG57" s="15"/>
      <c r="LVH57" s="15"/>
      <c r="LVI57" s="15"/>
      <c r="LVJ57" s="15"/>
      <c r="LVK57" s="15"/>
      <c r="LVL57" s="15"/>
      <c r="LVM57" s="15"/>
      <c r="LVN57" s="15"/>
      <c r="LVO57" s="15"/>
      <c r="LVP57" s="15"/>
      <c r="LVQ57" s="15"/>
      <c r="LVR57" s="15"/>
      <c r="LVS57" s="15"/>
      <c r="LVT57" s="15"/>
      <c r="LVU57" s="15"/>
      <c r="LVV57" s="15"/>
      <c r="LVW57" s="15"/>
      <c r="LVX57" s="15"/>
      <c r="LVY57" s="15"/>
      <c r="LVZ57" s="15"/>
      <c r="LWA57" s="15"/>
      <c r="LWB57" s="15"/>
      <c r="LWC57" s="15"/>
      <c r="LWD57" s="15"/>
      <c r="LWE57" s="15"/>
      <c r="LWF57" s="15"/>
      <c r="LWG57" s="15"/>
      <c r="LWH57" s="15"/>
      <c r="LWI57" s="15"/>
      <c r="LWJ57" s="15"/>
      <c r="LWK57" s="15"/>
      <c r="LWL57" s="15"/>
      <c r="LWM57" s="15"/>
      <c r="LWN57" s="15"/>
      <c r="LWO57" s="15"/>
      <c r="LWP57" s="15"/>
      <c r="LWQ57" s="15"/>
      <c r="LWR57" s="15"/>
      <c r="LWS57" s="15"/>
      <c r="LWT57" s="15"/>
      <c r="LWU57" s="15"/>
      <c r="LWV57" s="15"/>
      <c r="LWW57" s="15"/>
      <c r="LWX57" s="15"/>
      <c r="LWY57" s="15"/>
      <c r="LWZ57" s="15"/>
      <c r="LXA57" s="15"/>
      <c r="LXB57" s="15"/>
      <c r="LXC57" s="15"/>
      <c r="LXD57" s="15"/>
      <c r="LXE57" s="15"/>
      <c r="LXF57" s="15"/>
      <c r="LXG57" s="15"/>
      <c r="LXH57" s="15"/>
      <c r="LXI57" s="15"/>
      <c r="LXJ57" s="15"/>
      <c r="LXK57" s="15"/>
      <c r="LXL57" s="15"/>
      <c r="LXM57" s="15"/>
      <c r="LXN57" s="15"/>
      <c r="LXO57" s="15"/>
      <c r="LXP57" s="15"/>
      <c r="LXQ57" s="15"/>
      <c r="LXR57" s="15"/>
      <c r="LXS57" s="15"/>
      <c r="LXT57" s="15"/>
      <c r="LXU57" s="15"/>
      <c r="LXV57" s="15"/>
      <c r="LXW57" s="15"/>
      <c r="LXX57" s="15"/>
      <c r="LXY57" s="15"/>
      <c r="LXZ57" s="15"/>
      <c r="LYA57" s="15"/>
      <c r="LYB57" s="15"/>
      <c r="LYC57" s="15"/>
      <c r="LYD57" s="15"/>
      <c r="LYE57" s="15"/>
      <c r="LYF57" s="15"/>
      <c r="LYG57" s="15"/>
      <c r="LYH57" s="15"/>
      <c r="LYI57" s="15"/>
      <c r="LYJ57" s="15"/>
      <c r="LYK57" s="15"/>
      <c r="LYL57" s="15"/>
      <c r="LYM57" s="15"/>
      <c r="LYN57" s="15"/>
      <c r="LYO57" s="15"/>
      <c r="LYP57" s="15"/>
      <c r="LYQ57" s="15"/>
      <c r="LYR57" s="15"/>
      <c r="LYS57" s="15"/>
      <c r="LYT57" s="15"/>
      <c r="LYU57" s="15"/>
      <c r="LYV57" s="15"/>
      <c r="LYW57" s="15"/>
      <c r="LYX57" s="15"/>
      <c r="LYY57" s="15"/>
      <c r="LYZ57" s="15"/>
      <c r="LZA57" s="15"/>
      <c r="LZB57" s="15"/>
      <c r="LZC57" s="15"/>
      <c r="LZD57" s="15"/>
      <c r="LZE57" s="15"/>
      <c r="LZF57" s="15"/>
      <c r="LZG57" s="15"/>
      <c r="LZH57" s="15"/>
      <c r="LZI57" s="15"/>
      <c r="LZJ57" s="15"/>
      <c r="LZK57" s="15"/>
      <c r="LZL57" s="15"/>
      <c r="LZM57" s="15"/>
      <c r="LZN57" s="15"/>
      <c r="LZO57" s="15"/>
      <c r="LZP57" s="15"/>
      <c r="LZQ57" s="15"/>
      <c r="LZR57" s="15"/>
      <c r="LZS57" s="15"/>
      <c r="LZT57" s="15"/>
      <c r="LZU57" s="15"/>
      <c r="LZV57" s="15"/>
      <c r="LZW57" s="15"/>
      <c r="LZX57" s="15"/>
      <c r="LZY57" s="15"/>
      <c r="LZZ57" s="15"/>
      <c r="MAA57" s="15"/>
      <c r="MAB57" s="15"/>
      <c r="MAC57" s="15"/>
      <c r="MAD57" s="15"/>
      <c r="MAE57" s="15"/>
      <c r="MAF57" s="15"/>
      <c r="MAG57" s="15"/>
      <c r="MAH57" s="15"/>
      <c r="MAI57" s="15"/>
      <c r="MAJ57" s="15"/>
      <c r="MAK57" s="15"/>
      <c r="MAL57" s="15"/>
      <c r="MAM57" s="15"/>
      <c r="MAN57" s="15"/>
      <c r="MAO57" s="15"/>
      <c r="MAP57" s="15"/>
      <c r="MAQ57" s="15"/>
      <c r="MAR57" s="15"/>
      <c r="MAS57" s="15"/>
      <c r="MAT57" s="15"/>
      <c r="MAU57" s="15"/>
      <c r="MAV57" s="15"/>
      <c r="MAW57" s="15"/>
      <c r="MAX57" s="15"/>
      <c r="MAY57" s="15"/>
      <c r="MAZ57" s="15"/>
      <c r="MBA57" s="15"/>
      <c r="MBB57" s="15"/>
      <c r="MBC57" s="15"/>
      <c r="MBD57" s="15"/>
      <c r="MBE57" s="15"/>
      <c r="MBF57" s="15"/>
      <c r="MBG57" s="15"/>
      <c r="MBH57" s="15"/>
      <c r="MBI57" s="15"/>
      <c r="MBJ57" s="15"/>
      <c r="MBK57" s="15"/>
      <c r="MBL57" s="15"/>
      <c r="MBM57" s="15"/>
      <c r="MBN57" s="15"/>
      <c r="MBO57" s="15"/>
      <c r="MBP57" s="15"/>
      <c r="MBQ57" s="15"/>
      <c r="MBR57" s="15"/>
      <c r="MBS57" s="15"/>
      <c r="MBT57" s="15"/>
      <c r="MBU57" s="15"/>
      <c r="MBV57" s="15"/>
      <c r="MBW57" s="15"/>
      <c r="MBX57" s="15"/>
      <c r="MBY57" s="15"/>
      <c r="MBZ57" s="15"/>
      <c r="MCA57" s="15"/>
      <c r="MCB57" s="15"/>
      <c r="MCC57" s="15"/>
      <c r="MCD57" s="15"/>
      <c r="MCE57" s="15"/>
      <c r="MCF57" s="15"/>
      <c r="MCG57" s="15"/>
      <c r="MCH57" s="15"/>
      <c r="MCI57" s="15"/>
      <c r="MCJ57" s="15"/>
      <c r="MCK57" s="15"/>
      <c r="MCL57" s="15"/>
      <c r="MCM57" s="15"/>
      <c r="MCN57" s="15"/>
      <c r="MCO57" s="15"/>
      <c r="MCP57" s="15"/>
      <c r="MCQ57" s="15"/>
      <c r="MCR57" s="15"/>
      <c r="MCS57" s="15"/>
      <c r="MCT57" s="15"/>
      <c r="MCU57" s="15"/>
      <c r="MCV57" s="15"/>
      <c r="MCW57" s="15"/>
      <c r="MCX57" s="15"/>
      <c r="MCY57" s="15"/>
      <c r="MCZ57" s="15"/>
      <c r="MDA57" s="15"/>
      <c r="MDB57" s="15"/>
      <c r="MDC57" s="15"/>
      <c r="MDD57" s="15"/>
      <c r="MDE57" s="15"/>
      <c r="MDF57" s="15"/>
      <c r="MDG57" s="15"/>
      <c r="MDH57" s="15"/>
      <c r="MDI57" s="15"/>
      <c r="MDJ57" s="15"/>
      <c r="MDK57" s="15"/>
      <c r="MDL57" s="15"/>
      <c r="MDM57" s="15"/>
      <c r="MDN57" s="15"/>
      <c r="MDO57" s="15"/>
      <c r="MDP57" s="15"/>
      <c r="MDQ57" s="15"/>
      <c r="MDR57" s="15"/>
      <c r="MDS57" s="15"/>
      <c r="MDT57" s="15"/>
      <c r="MDU57" s="15"/>
      <c r="MDV57" s="15"/>
      <c r="MDW57" s="15"/>
      <c r="MDX57" s="15"/>
      <c r="MDY57" s="15"/>
      <c r="MDZ57" s="15"/>
      <c r="MEA57" s="15"/>
      <c r="MEB57" s="15"/>
      <c r="MEC57" s="15"/>
      <c r="MED57" s="15"/>
      <c r="MEE57" s="15"/>
      <c r="MEF57" s="15"/>
      <c r="MEG57" s="15"/>
      <c r="MEH57" s="15"/>
      <c r="MEI57" s="15"/>
      <c r="MEJ57" s="15"/>
      <c r="MEK57" s="15"/>
      <c r="MEL57" s="15"/>
      <c r="MEM57" s="15"/>
      <c r="MEN57" s="15"/>
      <c r="MEO57" s="15"/>
      <c r="MEP57" s="15"/>
      <c r="MEQ57" s="15"/>
      <c r="MER57" s="15"/>
      <c r="MES57" s="15"/>
      <c r="MET57" s="15"/>
      <c r="MEU57" s="15"/>
      <c r="MEV57" s="15"/>
      <c r="MEW57" s="15"/>
      <c r="MEX57" s="15"/>
      <c r="MEY57" s="15"/>
      <c r="MEZ57" s="15"/>
      <c r="MFA57" s="15"/>
      <c r="MFB57" s="15"/>
      <c r="MFC57" s="15"/>
      <c r="MFD57" s="15"/>
      <c r="MFE57" s="15"/>
      <c r="MFF57" s="15"/>
      <c r="MFG57" s="15"/>
      <c r="MFH57" s="15"/>
      <c r="MFI57" s="15"/>
      <c r="MFJ57" s="15"/>
      <c r="MFK57" s="15"/>
      <c r="MFL57" s="15"/>
      <c r="MFM57" s="15"/>
      <c r="MFN57" s="15"/>
      <c r="MFO57" s="15"/>
      <c r="MFP57" s="15"/>
      <c r="MFQ57" s="15"/>
      <c r="MFR57" s="15"/>
      <c r="MFS57" s="15"/>
      <c r="MFT57" s="15"/>
      <c r="MFU57" s="15"/>
      <c r="MFV57" s="15"/>
      <c r="MFW57" s="15"/>
      <c r="MFX57" s="15"/>
      <c r="MFY57" s="15"/>
      <c r="MFZ57" s="15"/>
      <c r="MGA57" s="15"/>
      <c r="MGB57" s="15"/>
      <c r="MGC57" s="15"/>
      <c r="MGD57" s="15"/>
      <c r="MGE57" s="15"/>
      <c r="MGF57" s="15"/>
      <c r="MGG57" s="15"/>
      <c r="MGH57" s="15"/>
      <c r="MGI57" s="15"/>
      <c r="MGJ57" s="15"/>
      <c r="MGK57" s="15"/>
      <c r="MGL57" s="15"/>
      <c r="MGM57" s="15"/>
      <c r="MGN57" s="15"/>
      <c r="MGO57" s="15"/>
      <c r="MGP57" s="15"/>
      <c r="MGQ57" s="15"/>
      <c r="MGR57" s="15"/>
      <c r="MGS57" s="15"/>
      <c r="MGT57" s="15"/>
      <c r="MGU57" s="15"/>
      <c r="MGV57" s="15"/>
      <c r="MGW57" s="15"/>
      <c r="MGX57" s="15"/>
      <c r="MGY57" s="15"/>
      <c r="MGZ57" s="15"/>
      <c r="MHA57" s="15"/>
      <c r="MHB57" s="15"/>
      <c r="MHC57" s="15"/>
      <c r="MHD57" s="15"/>
      <c r="MHE57" s="15"/>
      <c r="MHF57" s="15"/>
      <c r="MHG57" s="15"/>
      <c r="MHH57" s="15"/>
      <c r="MHI57" s="15"/>
      <c r="MHJ57" s="15"/>
      <c r="MHK57" s="15"/>
      <c r="MHL57" s="15"/>
      <c r="MHM57" s="15"/>
      <c r="MHN57" s="15"/>
      <c r="MHO57" s="15"/>
      <c r="MHP57" s="15"/>
      <c r="MHQ57" s="15"/>
      <c r="MHR57" s="15"/>
      <c r="MHS57" s="15"/>
      <c r="MHT57" s="15"/>
      <c r="MHU57" s="15"/>
      <c r="MHV57" s="15"/>
      <c r="MHW57" s="15"/>
      <c r="MHX57" s="15"/>
      <c r="MHY57" s="15"/>
      <c r="MHZ57" s="15"/>
      <c r="MIA57" s="15"/>
      <c r="MIB57" s="15"/>
      <c r="MIC57" s="15"/>
      <c r="MID57" s="15"/>
      <c r="MIE57" s="15"/>
      <c r="MIF57" s="15"/>
      <c r="MIG57" s="15"/>
      <c r="MIH57" s="15"/>
      <c r="MII57" s="15"/>
      <c r="MIJ57" s="15"/>
      <c r="MIK57" s="15"/>
      <c r="MIL57" s="15"/>
      <c r="MIM57" s="15"/>
      <c r="MIN57" s="15"/>
      <c r="MIO57" s="15"/>
      <c r="MIP57" s="15"/>
      <c r="MIQ57" s="15"/>
      <c r="MIR57" s="15"/>
      <c r="MIS57" s="15"/>
      <c r="MIT57" s="15"/>
      <c r="MIU57" s="15"/>
      <c r="MIV57" s="15"/>
      <c r="MIW57" s="15"/>
      <c r="MIX57" s="15"/>
      <c r="MIY57" s="15"/>
      <c r="MIZ57" s="15"/>
      <c r="MJA57" s="15"/>
      <c r="MJB57" s="15"/>
      <c r="MJC57" s="15"/>
      <c r="MJD57" s="15"/>
      <c r="MJE57" s="15"/>
      <c r="MJF57" s="15"/>
      <c r="MJG57" s="15"/>
      <c r="MJH57" s="15"/>
      <c r="MJI57" s="15"/>
      <c r="MJJ57" s="15"/>
      <c r="MJK57" s="15"/>
      <c r="MJL57" s="15"/>
      <c r="MJM57" s="15"/>
      <c r="MJN57" s="15"/>
      <c r="MJO57" s="15"/>
      <c r="MJP57" s="15"/>
      <c r="MJQ57" s="15"/>
      <c r="MJR57" s="15"/>
      <c r="MJS57" s="15"/>
      <c r="MJT57" s="15"/>
      <c r="MJU57" s="15"/>
      <c r="MJV57" s="15"/>
      <c r="MJW57" s="15"/>
      <c r="MJX57" s="15"/>
      <c r="MJY57" s="15"/>
      <c r="MJZ57" s="15"/>
      <c r="MKA57" s="15"/>
      <c r="MKB57" s="15"/>
      <c r="MKC57" s="15"/>
      <c r="MKD57" s="15"/>
      <c r="MKE57" s="15"/>
      <c r="MKF57" s="15"/>
      <c r="MKG57" s="15"/>
      <c r="MKH57" s="15"/>
      <c r="MKI57" s="15"/>
      <c r="MKJ57" s="15"/>
      <c r="MKK57" s="15"/>
      <c r="MKL57" s="15"/>
      <c r="MKM57" s="15"/>
      <c r="MKN57" s="15"/>
      <c r="MKO57" s="15"/>
      <c r="MKP57" s="15"/>
      <c r="MKQ57" s="15"/>
      <c r="MKR57" s="15"/>
      <c r="MKS57" s="15"/>
      <c r="MKT57" s="15"/>
      <c r="MKU57" s="15"/>
      <c r="MKV57" s="15"/>
      <c r="MKW57" s="15"/>
      <c r="MKX57" s="15"/>
      <c r="MKY57" s="15"/>
      <c r="MKZ57" s="15"/>
      <c r="MLA57" s="15"/>
      <c r="MLB57" s="15"/>
      <c r="MLC57" s="15"/>
      <c r="MLD57" s="15"/>
      <c r="MLE57" s="15"/>
      <c r="MLF57" s="15"/>
      <c r="MLG57" s="15"/>
      <c r="MLH57" s="15"/>
      <c r="MLI57" s="15"/>
      <c r="MLJ57" s="15"/>
      <c r="MLK57" s="15"/>
      <c r="MLL57" s="15"/>
      <c r="MLM57" s="15"/>
      <c r="MLN57" s="15"/>
      <c r="MLO57" s="15"/>
      <c r="MLP57" s="15"/>
      <c r="MLQ57" s="15"/>
      <c r="MLR57" s="15"/>
      <c r="MLS57" s="15"/>
      <c r="MLT57" s="15"/>
      <c r="MLU57" s="15"/>
      <c r="MLV57" s="15"/>
      <c r="MLW57" s="15"/>
      <c r="MLX57" s="15"/>
      <c r="MLY57" s="15"/>
      <c r="MLZ57" s="15"/>
      <c r="MMA57" s="15"/>
      <c r="MMB57" s="15"/>
      <c r="MMC57" s="15"/>
      <c r="MMD57" s="15"/>
      <c r="MME57" s="15"/>
      <c r="MMF57" s="15"/>
      <c r="MMG57" s="15"/>
      <c r="MMH57" s="15"/>
      <c r="MMI57" s="15"/>
      <c r="MMJ57" s="15"/>
      <c r="MMK57" s="15"/>
      <c r="MML57" s="15"/>
      <c r="MMM57" s="15"/>
      <c r="MMN57" s="15"/>
      <c r="MMO57" s="15"/>
      <c r="MMP57" s="15"/>
      <c r="MMQ57" s="15"/>
      <c r="MMR57" s="15"/>
      <c r="MMS57" s="15"/>
      <c r="MMT57" s="15"/>
      <c r="MMU57" s="15"/>
      <c r="MMV57" s="15"/>
      <c r="MMW57" s="15"/>
      <c r="MMX57" s="15"/>
      <c r="MMY57" s="15"/>
      <c r="MMZ57" s="15"/>
      <c r="MNA57" s="15"/>
      <c r="MNB57" s="15"/>
      <c r="MNC57" s="15"/>
      <c r="MND57" s="15"/>
      <c r="MNE57" s="15"/>
      <c r="MNF57" s="15"/>
      <c r="MNG57" s="15"/>
      <c r="MNH57" s="15"/>
      <c r="MNI57" s="15"/>
      <c r="MNJ57" s="15"/>
      <c r="MNK57" s="15"/>
      <c r="MNL57" s="15"/>
      <c r="MNM57" s="15"/>
      <c r="MNN57" s="15"/>
      <c r="MNO57" s="15"/>
      <c r="MNP57" s="15"/>
      <c r="MNQ57" s="15"/>
      <c r="MNR57" s="15"/>
      <c r="MNS57" s="15"/>
      <c r="MNT57" s="15"/>
      <c r="MNU57" s="15"/>
      <c r="MNV57" s="15"/>
      <c r="MNW57" s="15"/>
      <c r="MNX57" s="15"/>
      <c r="MNY57" s="15"/>
      <c r="MNZ57" s="15"/>
      <c r="MOA57" s="15"/>
      <c r="MOB57" s="15"/>
      <c r="MOC57" s="15"/>
      <c r="MOD57" s="15"/>
      <c r="MOE57" s="15"/>
      <c r="MOF57" s="15"/>
      <c r="MOG57" s="15"/>
      <c r="MOH57" s="15"/>
      <c r="MOI57" s="15"/>
      <c r="MOJ57" s="15"/>
      <c r="MOK57" s="15"/>
      <c r="MOL57" s="15"/>
      <c r="MOM57" s="15"/>
      <c r="MON57" s="15"/>
      <c r="MOO57" s="15"/>
      <c r="MOP57" s="15"/>
      <c r="MOQ57" s="15"/>
      <c r="MOR57" s="15"/>
      <c r="MOS57" s="15"/>
      <c r="MOT57" s="15"/>
      <c r="MOU57" s="15"/>
      <c r="MOV57" s="15"/>
      <c r="MOW57" s="15"/>
      <c r="MOX57" s="15"/>
      <c r="MOY57" s="15"/>
      <c r="MOZ57" s="15"/>
      <c r="MPA57" s="15"/>
      <c r="MPB57" s="15"/>
      <c r="MPC57" s="15"/>
      <c r="MPD57" s="15"/>
      <c r="MPE57" s="15"/>
      <c r="MPF57" s="15"/>
      <c r="MPG57" s="15"/>
      <c r="MPH57" s="15"/>
      <c r="MPI57" s="15"/>
      <c r="MPJ57" s="15"/>
      <c r="MPK57" s="15"/>
      <c r="MPL57" s="15"/>
      <c r="MPM57" s="15"/>
      <c r="MPN57" s="15"/>
      <c r="MPO57" s="15"/>
      <c r="MPP57" s="15"/>
      <c r="MPQ57" s="15"/>
      <c r="MPR57" s="15"/>
      <c r="MPS57" s="15"/>
      <c r="MPT57" s="15"/>
      <c r="MPU57" s="15"/>
      <c r="MPV57" s="15"/>
      <c r="MPW57" s="15"/>
      <c r="MPX57" s="15"/>
      <c r="MPY57" s="15"/>
      <c r="MPZ57" s="15"/>
      <c r="MQA57" s="15"/>
      <c r="MQB57" s="15"/>
      <c r="MQC57" s="15"/>
      <c r="MQD57" s="15"/>
      <c r="MQE57" s="15"/>
      <c r="MQF57" s="15"/>
      <c r="MQG57" s="15"/>
      <c r="MQH57" s="15"/>
      <c r="MQI57" s="15"/>
      <c r="MQJ57" s="15"/>
      <c r="MQK57" s="15"/>
      <c r="MQL57" s="15"/>
      <c r="MQM57" s="15"/>
      <c r="MQN57" s="15"/>
      <c r="MQO57" s="15"/>
      <c r="MQP57" s="15"/>
      <c r="MQQ57" s="15"/>
      <c r="MQR57" s="15"/>
      <c r="MQS57" s="15"/>
      <c r="MQT57" s="15"/>
      <c r="MQU57" s="15"/>
      <c r="MQV57" s="15"/>
      <c r="MQW57" s="15"/>
      <c r="MQX57" s="15"/>
      <c r="MQY57" s="15"/>
      <c r="MQZ57" s="15"/>
      <c r="MRA57" s="15"/>
      <c r="MRB57" s="15"/>
      <c r="MRC57" s="15"/>
      <c r="MRD57" s="15"/>
      <c r="MRE57" s="15"/>
      <c r="MRF57" s="15"/>
      <c r="MRG57" s="15"/>
      <c r="MRH57" s="15"/>
      <c r="MRI57" s="15"/>
      <c r="MRJ57" s="15"/>
      <c r="MRK57" s="15"/>
      <c r="MRL57" s="15"/>
      <c r="MRM57" s="15"/>
      <c r="MRN57" s="15"/>
      <c r="MRO57" s="15"/>
      <c r="MRP57" s="15"/>
      <c r="MRQ57" s="15"/>
      <c r="MRR57" s="15"/>
      <c r="MRS57" s="15"/>
      <c r="MRT57" s="15"/>
      <c r="MRU57" s="15"/>
      <c r="MRV57" s="15"/>
      <c r="MRW57" s="15"/>
      <c r="MRX57" s="15"/>
      <c r="MRY57" s="15"/>
      <c r="MRZ57" s="15"/>
      <c r="MSA57" s="15"/>
      <c r="MSB57" s="15"/>
      <c r="MSC57" s="15"/>
      <c r="MSD57" s="15"/>
      <c r="MSE57" s="15"/>
      <c r="MSF57" s="15"/>
      <c r="MSG57" s="15"/>
      <c r="MSH57" s="15"/>
      <c r="MSI57" s="15"/>
      <c r="MSJ57" s="15"/>
      <c r="MSK57" s="15"/>
      <c r="MSL57" s="15"/>
      <c r="MSM57" s="15"/>
      <c r="MSN57" s="15"/>
      <c r="MSO57" s="15"/>
      <c r="MSP57" s="15"/>
      <c r="MSQ57" s="15"/>
      <c r="MSR57" s="15"/>
      <c r="MSS57" s="15"/>
      <c r="MST57" s="15"/>
      <c r="MSU57" s="15"/>
      <c r="MSV57" s="15"/>
      <c r="MSW57" s="15"/>
      <c r="MSX57" s="15"/>
      <c r="MSY57" s="15"/>
      <c r="MSZ57" s="15"/>
      <c r="MTA57" s="15"/>
      <c r="MTB57" s="15"/>
      <c r="MTC57" s="15"/>
      <c r="MTD57" s="15"/>
      <c r="MTE57" s="15"/>
      <c r="MTF57" s="15"/>
      <c r="MTG57" s="15"/>
      <c r="MTH57" s="15"/>
      <c r="MTI57" s="15"/>
      <c r="MTJ57" s="15"/>
      <c r="MTK57" s="15"/>
      <c r="MTL57" s="15"/>
      <c r="MTM57" s="15"/>
      <c r="MTN57" s="15"/>
      <c r="MTO57" s="15"/>
      <c r="MTP57" s="15"/>
      <c r="MTQ57" s="15"/>
      <c r="MTR57" s="15"/>
      <c r="MTS57" s="15"/>
      <c r="MTT57" s="15"/>
      <c r="MTU57" s="15"/>
      <c r="MTV57" s="15"/>
      <c r="MTW57" s="15"/>
      <c r="MTX57" s="15"/>
      <c r="MTY57" s="15"/>
      <c r="MTZ57" s="15"/>
      <c r="MUA57" s="15"/>
      <c r="MUB57" s="15"/>
      <c r="MUC57" s="15"/>
      <c r="MUD57" s="15"/>
      <c r="MUE57" s="15"/>
      <c r="MUF57" s="15"/>
      <c r="MUG57" s="15"/>
      <c r="MUH57" s="15"/>
      <c r="MUI57" s="15"/>
      <c r="MUJ57" s="15"/>
      <c r="MUK57" s="15"/>
      <c r="MUL57" s="15"/>
      <c r="MUM57" s="15"/>
      <c r="MUN57" s="15"/>
      <c r="MUO57" s="15"/>
      <c r="MUP57" s="15"/>
      <c r="MUQ57" s="15"/>
      <c r="MUR57" s="15"/>
      <c r="MUS57" s="15"/>
      <c r="MUT57" s="15"/>
      <c r="MUU57" s="15"/>
      <c r="MUV57" s="15"/>
      <c r="MUW57" s="15"/>
      <c r="MUX57" s="15"/>
      <c r="MUY57" s="15"/>
      <c r="MUZ57" s="15"/>
      <c r="MVA57" s="15"/>
      <c r="MVB57" s="15"/>
      <c r="MVC57" s="15"/>
      <c r="MVD57" s="15"/>
      <c r="MVE57" s="15"/>
      <c r="MVF57" s="15"/>
      <c r="MVG57" s="15"/>
      <c r="MVH57" s="15"/>
      <c r="MVI57" s="15"/>
      <c r="MVJ57" s="15"/>
      <c r="MVK57" s="15"/>
      <c r="MVL57" s="15"/>
      <c r="MVM57" s="15"/>
      <c r="MVN57" s="15"/>
      <c r="MVO57" s="15"/>
      <c r="MVP57" s="15"/>
      <c r="MVQ57" s="15"/>
      <c r="MVR57" s="15"/>
      <c r="MVS57" s="15"/>
      <c r="MVT57" s="15"/>
      <c r="MVU57" s="15"/>
      <c r="MVV57" s="15"/>
      <c r="MVW57" s="15"/>
      <c r="MVX57" s="15"/>
      <c r="MVY57" s="15"/>
      <c r="MVZ57" s="15"/>
      <c r="MWA57" s="15"/>
      <c r="MWB57" s="15"/>
      <c r="MWC57" s="15"/>
      <c r="MWD57" s="15"/>
      <c r="MWE57" s="15"/>
      <c r="MWF57" s="15"/>
      <c r="MWG57" s="15"/>
      <c r="MWH57" s="15"/>
      <c r="MWI57" s="15"/>
      <c r="MWJ57" s="15"/>
      <c r="MWK57" s="15"/>
      <c r="MWL57" s="15"/>
      <c r="MWM57" s="15"/>
      <c r="MWN57" s="15"/>
      <c r="MWO57" s="15"/>
      <c r="MWP57" s="15"/>
      <c r="MWQ57" s="15"/>
      <c r="MWR57" s="15"/>
      <c r="MWS57" s="15"/>
      <c r="MWT57" s="15"/>
      <c r="MWU57" s="15"/>
      <c r="MWV57" s="15"/>
      <c r="MWW57" s="15"/>
      <c r="MWX57" s="15"/>
      <c r="MWY57" s="15"/>
      <c r="MWZ57" s="15"/>
      <c r="MXA57" s="15"/>
      <c r="MXB57" s="15"/>
      <c r="MXC57" s="15"/>
      <c r="MXD57" s="15"/>
      <c r="MXE57" s="15"/>
      <c r="MXF57" s="15"/>
      <c r="MXG57" s="15"/>
      <c r="MXH57" s="15"/>
      <c r="MXI57" s="15"/>
      <c r="MXJ57" s="15"/>
      <c r="MXK57" s="15"/>
      <c r="MXL57" s="15"/>
      <c r="MXM57" s="15"/>
      <c r="MXN57" s="15"/>
      <c r="MXO57" s="15"/>
      <c r="MXP57" s="15"/>
      <c r="MXQ57" s="15"/>
      <c r="MXR57" s="15"/>
      <c r="MXS57" s="15"/>
      <c r="MXT57" s="15"/>
      <c r="MXU57" s="15"/>
      <c r="MXV57" s="15"/>
      <c r="MXW57" s="15"/>
      <c r="MXX57" s="15"/>
      <c r="MXY57" s="15"/>
      <c r="MXZ57" s="15"/>
      <c r="MYA57" s="15"/>
      <c r="MYB57" s="15"/>
      <c r="MYC57" s="15"/>
      <c r="MYD57" s="15"/>
      <c r="MYE57" s="15"/>
      <c r="MYF57" s="15"/>
      <c r="MYG57" s="15"/>
      <c r="MYH57" s="15"/>
      <c r="MYI57" s="15"/>
      <c r="MYJ57" s="15"/>
      <c r="MYK57" s="15"/>
      <c r="MYL57" s="15"/>
      <c r="MYM57" s="15"/>
      <c r="MYN57" s="15"/>
      <c r="MYO57" s="15"/>
      <c r="MYP57" s="15"/>
      <c r="MYQ57" s="15"/>
      <c r="MYR57" s="15"/>
      <c r="MYS57" s="15"/>
      <c r="MYT57" s="15"/>
      <c r="MYU57" s="15"/>
      <c r="MYV57" s="15"/>
      <c r="MYW57" s="15"/>
      <c r="MYX57" s="15"/>
      <c r="MYY57" s="15"/>
      <c r="MYZ57" s="15"/>
      <c r="MZA57" s="15"/>
      <c r="MZB57" s="15"/>
      <c r="MZC57" s="15"/>
      <c r="MZD57" s="15"/>
      <c r="MZE57" s="15"/>
      <c r="MZF57" s="15"/>
      <c r="MZG57" s="15"/>
      <c r="MZH57" s="15"/>
      <c r="MZI57" s="15"/>
      <c r="MZJ57" s="15"/>
      <c r="MZK57" s="15"/>
      <c r="MZL57" s="15"/>
      <c r="MZM57" s="15"/>
      <c r="MZN57" s="15"/>
      <c r="MZO57" s="15"/>
      <c r="MZP57" s="15"/>
      <c r="MZQ57" s="15"/>
      <c r="MZR57" s="15"/>
      <c r="MZS57" s="15"/>
      <c r="MZT57" s="15"/>
      <c r="MZU57" s="15"/>
      <c r="MZV57" s="15"/>
      <c r="MZW57" s="15"/>
      <c r="MZX57" s="15"/>
      <c r="MZY57" s="15"/>
      <c r="MZZ57" s="15"/>
      <c r="NAA57" s="15"/>
      <c r="NAB57" s="15"/>
      <c r="NAC57" s="15"/>
      <c r="NAD57" s="15"/>
      <c r="NAE57" s="15"/>
      <c r="NAF57" s="15"/>
      <c r="NAG57" s="15"/>
      <c r="NAH57" s="15"/>
      <c r="NAI57" s="15"/>
      <c r="NAJ57" s="15"/>
      <c r="NAK57" s="15"/>
      <c r="NAL57" s="15"/>
      <c r="NAM57" s="15"/>
      <c r="NAN57" s="15"/>
      <c r="NAO57" s="15"/>
      <c r="NAP57" s="15"/>
      <c r="NAQ57" s="15"/>
      <c r="NAR57" s="15"/>
      <c r="NAS57" s="15"/>
      <c r="NAT57" s="15"/>
      <c r="NAU57" s="15"/>
      <c r="NAV57" s="15"/>
      <c r="NAW57" s="15"/>
      <c r="NAX57" s="15"/>
      <c r="NAY57" s="15"/>
      <c r="NAZ57" s="15"/>
      <c r="NBA57" s="15"/>
      <c r="NBB57" s="15"/>
      <c r="NBC57" s="15"/>
      <c r="NBD57" s="15"/>
      <c r="NBE57" s="15"/>
      <c r="NBF57" s="15"/>
      <c r="NBG57" s="15"/>
      <c r="NBH57" s="15"/>
      <c r="NBI57" s="15"/>
      <c r="NBJ57" s="15"/>
      <c r="NBK57" s="15"/>
      <c r="NBL57" s="15"/>
      <c r="NBM57" s="15"/>
      <c r="NBN57" s="15"/>
      <c r="NBO57" s="15"/>
      <c r="NBP57" s="15"/>
      <c r="NBQ57" s="15"/>
      <c r="NBR57" s="15"/>
      <c r="NBS57" s="15"/>
      <c r="NBT57" s="15"/>
      <c r="NBU57" s="15"/>
      <c r="NBV57" s="15"/>
      <c r="NBW57" s="15"/>
      <c r="NBX57" s="15"/>
      <c r="NBY57" s="15"/>
      <c r="NBZ57" s="15"/>
      <c r="NCA57" s="15"/>
      <c r="NCB57" s="15"/>
      <c r="NCC57" s="15"/>
      <c r="NCD57" s="15"/>
      <c r="NCE57" s="15"/>
      <c r="NCF57" s="15"/>
      <c r="NCG57" s="15"/>
      <c r="NCH57" s="15"/>
      <c r="NCI57" s="15"/>
      <c r="NCJ57" s="15"/>
      <c r="NCK57" s="15"/>
      <c r="NCL57" s="15"/>
      <c r="NCM57" s="15"/>
      <c r="NCN57" s="15"/>
      <c r="NCO57" s="15"/>
      <c r="NCP57" s="15"/>
      <c r="NCQ57" s="15"/>
      <c r="NCR57" s="15"/>
      <c r="NCS57" s="15"/>
      <c r="NCT57" s="15"/>
      <c r="NCU57" s="15"/>
      <c r="NCV57" s="15"/>
      <c r="NCW57" s="15"/>
      <c r="NCX57" s="15"/>
      <c r="NCY57" s="15"/>
      <c r="NCZ57" s="15"/>
      <c r="NDA57" s="15"/>
      <c r="NDB57" s="15"/>
      <c r="NDC57" s="15"/>
      <c r="NDD57" s="15"/>
      <c r="NDE57" s="15"/>
      <c r="NDF57" s="15"/>
      <c r="NDG57" s="15"/>
      <c r="NDH57" s="15"/>
      <c r="NDI57" s="15"/>
      <c r="NDJ57" s="15"/>
      <c r="NDK57" s="15"/>
      <c r="NDL57" s="15"/>
      <c r="NDM57" s="15"/>
      <c r="NDN57" s="15"/>
      <c r="NDO57" s="15"/>
      <c r="NDP57" s="15"/>
      <c r="NDQ57" s="15"/>
      <c r="NDR57" s="15"/>
      <c r="NDS57" s="15"/>
      <c r="NDT57" s="15"/>
      <c r="NDU57" s="15"/>
      <c r="NDV57" s="15"/>
      <c r="NDW57" s="15"/>
      <c r="NDX57" s="15"/>
      <c r="NDY57" s="15"/>
      <c r="NDZ57" s="15"/>
      <c r="NEA57" s="15"/>
      <c r="NEB57" s="15"/>
      <c r="NEC57" s="15"/>
      <c r="NED57" s="15"/>
      <c r="NEE57" s="15"/>
      <c r="NEF57" s="15"/>
      <c r="NEG57" s="15"/>
      <c r="NEH57" s="15"/>
      <c r="NEI57" s="15"/>
      <c r="NEJ57" s="15"/>
      <c r="NEK57" s="15"/>
      <c r="NEL57" s="15"/>
      <c r="NEM57" s="15"/>
      <c r="NEN57" s="15"/>
      <c r="NEO57" s="15"/>
      <c r="NEP57" s="15"/>
      <c r="NEQ57" s="15"/>
      <c r="NER57" s="15"/>
      <c r="NES57" s="15"/>
      <c r="NET57" s="15"/>
      <c r="NEU57" s="15"/>
      <c r="NEV57" s="15"/>
      <c r="NEW57" s="15"/>
      <c r="NEX57" s="15"/>
      <c r="NEY57" s="15"/>
      <c r="NEZ57" s="15"/>
      <c r="NFA57" s="15"/>
      <c r="NFB57" s="15"/>
      <c r="NFC57" s="15"/>
      <c r="NFD57" s="15"/>
      <c r="NFE57" s="15"/>
      <c r="NFF57" s="15"/>
      <c r="NFG57" s="15"/>
      <c r="NFH57" s="15"/>
      <c r="NFI57" s="15"/>
      <c r="NFJ57" s="15"/>
      <c r="NFK57" s="15"/>
      <c r="NFL57" s="15"/>
      <c r="NFM57" s="15"/>
      <c r="NFN57" s="15"/>
      <c r="NFO57" s="15"/>
      <c r="NFP57" s="15"/>
      <c r="NFQ57" s="15"/>
      <c r="NFR57" s="15"/>
      <c r="NFS57" s="15"/>
      <c r="NFT57" s="15"/>
      <c r="NFU57" s="15"/>
      <c r="NFV57" s="15"/>
      <c r="NFW57" s="15"/>
      <c r="NFX57" s="15"/>
      <c r="NFY57" s="15"/>
      <c r="NFZ57" s="15"/>
      <c r="NGA57" s="15"/>
      <c r="NGB57" s="15"/>
      <c r="NGC57" s="15"/>
      <c r="NGD57" s="15"/>
      <c r="NGE57" s="15"/>
      <c r="NGF57" s="15"/>
      <c r="NGG57" s="15"/>
      <c r="NGH57" s="15"/>
      <c r="NGI57" s="15"/>
      <c r="NGJ57" s="15"/>
      <c r="NGK57" s="15"/>
      <c r="NGL57" s="15"/>
      <c r="NGM57" s="15"/>
      <c r="NGN57" s="15"/>
      <c r="NGO57" s="15"/>
      <c r="NGP57" s="15"/>
      <c r="NGQ57" s="15"/>
      <c r="NGR57" s="15"/>
      <c r="NGS57" s="15"/>
      <c r="NGT57" s="15"/>
      <c r="NGU57" s="15"/>
      <c r="NGV57" s="15"/>
      <c r="NGW57" s="15"/>
      <c r="NGX57" s="15"/>
      <c r="NGY57" s="15"/>
      <c r="NGZ57" s="15"/>
      <c r="NHA57" s="15"/>
      <c r="NHB57" s="15"/>
      <c r="NHC57" s="15"/>
      <c r="NHD57" s="15"/>
      <c r="NHE57" s="15"/>
      <c r="NHF57" s="15"/>
      <c r="NHG57" s="15"/>
      <c r="NHH57" s="15"/>
      <c r="NHI57" s="15"/>
      <c r="NHJ57" s="15"/>
      <c r="NHK57" s="15"/>
      <c r="NHL57" s="15"/>
      <c r="NHM57" s="15"/>
      <c r="NHN57" s="15"/>
      <c r="NHO57" s="15"/>
      <c r="NHP57" s="15"/>
      <c r="NHQ57" s="15"/>
      <c r="NHR57" s="15"/>
      <c r="NHS57" s="15"/>
      <c r="NHT57" s="15"/>
      <c r="NHU57" s="15"/>
      <c r="NHV57" s="15"/>
      <c r="NHW57" s="15"/>
      <c r="NHX57" s="15"/>
      <c r="NHY57" s="15"/>
      <c r="NHZ57" s="15"/>
      <c r="NIA57" s="15"/>
      <c r="NIB57" s="15"/>
      <c r="NIC57" s="15"/>
      <c r="NID57" s="15"/>
      <c r="NIE57" s="15"/>
      <c r="NIF57" s="15"/>
      <c r="NIG57" s="15"/>
      <c r="NIH57" s="15"/>
      <c r="NII57" s="15"/>
      <c r="NIJ57" s="15"/>
      <c r="NIK57" s="15"/>
      <c r="NIL57" s="15"/>
      <c r="NIM57" s="15"/>
      <c r="NIN57" s="15"/>
      <c r="NIO57" s="15"/>
      <c r="NIP57" s="15"/>
      <c r="NIQ57" s="15"/>
      <c r="NIR57" s="15"/>
      <c r="NIS57" s="15"/>
      <c r="NIT57" s="15"/>
      <c r="NIU57" s="15"/>
      <c r="NIV57" s="15"/>
      <c r="NIW57" s="15"/>
      <c r="NIX57" s="15"/>
      <c r="NIY57" s="15"/>
      <c r="NIZ57" s="15"/>
      <c r="NJA57" s="15"/>
      <c r="NJB57" s="15"/>
      <c r="NJC57" s="15"/>
      <c r="NJD57" s="15"/>
      <c r="NJE57" s="15"/>
      <c r="NJF57" s="15"/>
      <c r="NJG57" s="15"/>
      <c r="NJH57" s="15"/>
      <c r="NJI57" s="15"/>
      <c r="NJJ57" s="15"/>
      <c r="NJK57" s="15"/>
      <c r="NJL57" s="15"/>
      <c r="NJM57" s="15"/>
      <c r="NJN57" s="15"/>
      <c r="NJO57" s="15"/>
      <c r="NJP57" s="15"/>
      <c r="NJQ57" s="15"/>
      <c r="NJR57" s="15"/>
      <c r="NJS57" s="15"/>
      <c r="NJT57" s="15"/>
      <c r="NJU57" s="15"/>
      <c r="NJV57" s="15"/>
      <c r="NJW57" s="15"/>
      <c r="NJX57" s="15"/>
      <c r="NJY57" s="15"/>
      <c r="NJZ57" s="15"/>
      <c r="NKA57" s="15"/>
      <c r="NKB57" s="15"/>
      <c r="NKC57" s="15"/>
      <c r="NKD57" s="15"/>
      <c r="NKE57" s="15"/>
      <c r="NKF57" s="15"/>
      <c r="NKG57" s="15"/>
      <c r="NKH57" s="15"/>
      <c r="NKI57" s="15"/>
      <c r="NKJ57" s="15"/>
      <c r="NKK57" s="15"/>
      <c r="NKL57" s="15"/>
      <c r="NKM57" s="15"/>
      <c r="NKN57" s="15"/>
      <c r="NKO57" s="15"/>
      <c r="NKP57" s="15"/>
      <c r="NKQ57" s="15"/>
      <c r="NKR57" s="15"/>
      <c r="NKS57" s="15"/>
      <c r="NKT57" s="15"/>
      <c r="NKU57" s="15"/>
      <c r="NKV57" s="15"/>
      <c r="NKW57" s="15"/>
      <c r="NKX57" s="15"/>
      <c r="NKY57" s="15"/>
      <c r="NKZ57" s="15"/>
      <c r="NLA57" s="15"/>
      <c r="NLB57" s="15"/>
      <c r="NLC57" s="15"/>
      <c r="NLD57" s="15"/>
      <c r="NLE57" s="15"/>
      <c r="NLF57" s="15"/>
      <c r="NLG57" s="15"/>
      <c r="NLH57" s="15"/>
      <c r="NLI57" s="15"/>
      <c r="NLJ57" s="15"/>
      <c r="NLK57" s="15"/>
      <c r="NLL57" s="15"/>
      <c r="NLM57" s="15"/>
      <c r="NLN57" s="15"/>
      <c r="NLO57" s="15"/>
      <c r="NLP57" s="15"/>
      <c r="NLQ57" s="15"/>
      <c r="NLR57" s="15"/>
      <c r="NLS57" s="15"/>
      <c r="NLT57" s="15"/>
      <c r="NLU57" s="15"/>
      <c r="NLV57" s="15"/>
      <c r="NLW57" s="15"/>
      <c r="NLX57" s="15"/>
      <c r="NLY57" s="15"/>
      <c r="NLZ57" s="15"/>
      <c r="NMA57" s="15"/>
      <c r="NMB57" s="15"/>
      <c r="NMC57" s="15"/>
      <c r="NMD57" s="15"/>
      <c r="NME57" s="15"/>
      <c r="NMF57" s="15"/>
      <c r="NMG57" s="15"/>
      <c r="NMH57" s="15"/>
      <c r="NMI57" s="15"/>
      <c r="NMJ57" s="15"/>
      <c r="NMK57" s="15"/>
      <c r="NML57" s="15"/>
      <c r="NMM57" s="15"/>
      <c r="NMN57" s="15"/>
      <c r="NMO57" s="15"/>
      <c r="NMP57" s="15"/>
      <c r="NMQ57" s="15"/>
      <c r="NMR57" s="15"/>
      <c r="NMS57" s="15"/>
      <c r="NMT57" s="15"/>
      <c r="NMU57" s="15"/>
      <c r="NMV57" s="15"/>
      <c r="NMW57" s="15"/>
      <c r="NMX57" s="15"/>
      <c r="NMY57" s="15"/>
      <c r="NMZ57" s="15"/>
      <c r="NNA57" s="15"/>
      <c r="NNB57" s="15"/>
      <c r="NNC57" s="15"/>
      <c r="NND57" s="15"/>
      <c r="NNE57" s="15"/>
      <c r="NNF57" s="15"/>
      <c r="NNG57" s="15"/>
      <c r="NNH57" s="15"/>
      <c r="NNI57" s="15"/>
      <c r="NNJ57" s="15"/>
      <c r="NNK57" s="15"/>
      <c r="NNL57" s="15"/>
      <c r="NNM57" s="15"/>
      <c r="NNN57" s="15"/>
      <c r="NNO57" s="15"/>
      <c r="NNP57" s="15"/>
      <c r="NNQ57" s="15"/>
      <c r="NNR57" s="15"/>
      <c r="NNS57" s="15"/>
      <c r="NNT57" s="15"/>
      <c r="NNU57" s="15"/>
      <c r="NNV57" s="15"/>
      <c r="NNW57" s="15"/>
      <c r="NNX57" s="15"/>
      <c r="NNY57" s="15"/>
      <c r="NNZ57" s="15"/>
      <c r="NOA57" s="15"/>
      <c r="NOB57" s="15"/>
      <c r="NOC57" s="15"/>
      <c r="NOD57" s="15"/>
      <c r="NOE57" s="15"/>
      <c r="NOF57" s="15"/>
      <c r="NOG57" s="15"/>
      <c r="NOH57" s="15"/>
      <c r="NOI57" s="15"/>
      <c r="NOJ57" s="15"/>
      <c r="NOK57" s="15"/>
      <c r="NOL57" s="15"/>
      <c r="NOM57" s="15"/>
      <c r="NON57" s="15"/>
      <c r="NOO57" s="15"/>
      <c r="NOP57" s="15"/>
      <c r="NOQ57" s="15"/>
      <c r="NOR57" s="15"/>
      <c r="NOS57" s="15"/>
      <c r="NOT57" s="15"/>
      <c r="NOU57" s="15"/>
      <c r="NOV57" s="15"/>
      <c r="NOW57" s="15"/>
      <c r="NOX57" s="15"/>
      <c r="NOY57" s="15"/>
      <c r="NOZ57" s="15"/>
      <c r="NPA57" s="15"/>
      <c r="NPB57" s="15"/>
      <c r="NPC57" s="15"/>
      <c r="NPD57" s="15"/>
      <c r="NPE57" s="15"/>
      <c r="NPF57" s="15"/>
      <c r="NPG57" s="15"/>
      <c r="NPH57" s="15"/>
      <c r="NPI57" s="15"/>
      <c r="NPJ57" s="15"/>
      <c r="NPK57" s="15"/>
      <c r="NPL57" s="15"/>
      <c r="NPM57" s="15"/>
      <c r="NPN57" s="15"/>
      <c r="NPO57" s="15"/>
      <c r="NPP57" s="15"/>
      <c r="NPQ57" s="15"/>
      <c r="NPR57" s="15"/>
      <c r="NPS57" s="15"/>
      <c r="NPT57" s="15"/>
      <c r="NPU57" s="15"/>
      <c r="NPV57" s="15"/>
      <c r="NPW57" s="15"/>
      <c r="NPX57" s="15"/>
      <c r="NPY57" s="15"/>
      <c r="NPZ57" s="15"/>
      <c r="NQA57" s="15"/>
      <c r="NQB57" s="15"/>
      <c r="NQC57" s="15"/>
      <c r="NQD57" s="15"/>
      <c r="NQE57" s="15"/>
      <c r="NQF57" s="15"/>
      <c r="NQG57" s="15"/>
      <c r="NQH57" s="15"/>
      <c r="NQI57" s="15"/>
      <c r="NQJ57" s="15"/>
      <c r="NQK57" s="15"/>
      <c r="NQL57" s="15"/>
      <c r="NQM57" s="15"/>
      <c r="NQN57" s="15"/>
      <c r="NQO57" s="15"/>
      <c r="NQP57" s="15"/>
      <c r="NQQ57" s="15"/>
      <c r="NQR57" s="15"/>
      <c r="NQS57" s="15"/>
      <c r="NQT57" s="15"/>
      <c r="NQU57" s="15"/>
      <c r="NQV57" s="15"/>
      <c r="NQW57" s="15"/>
      <c r="NQX57" s="15"/>
      <c r="NQY57" s="15"/>
      <c r="NQZ57" s="15"/>
      <c r="NRA57" s="15"/>
      <c r="NRB57" s="15"/>
      <c r="NRC57" s="15"/>
      <c r="NRD57" s="15"/>
      <c r="NRE57" s="15"/>
      <c r="NRF57" s="15"/>
      <c r="NRG57" s="15"/>
      <c r="NRH57" s="15"/>
      <c r="NRI57" s="15"/>
      <c r="NRJ57" s="15"/>
      <c r="NRK57" s="15"/>
      <c r="NRL57" s="15"/>
      <c r="NRM57" s="15"/>
      <c r="NRN57" s="15"/>
      <c r="NRO57" s="15"/>
      <c r="NRP57" s="15"/>
      <c r="NRQ57" s="15"/>
      <c r="NRR57" s="15"/>
      <c r="NRS57" s="15"/>
      <c r="NRT57" s="15"/>
      <c r="NRU57" s="15"/>
      <c r="NRV57" s="15"/>
      <c r="NRW57" s="15"/>
      <c r="NRX57" s="15"/>
      <c r="NRY57" s="15"/>
      <c r="NRZ57" s="15"/>
      <c r="NSA57" s="15"/>
      <c r="NSB57" s="15"/>
      <c r="NSC57" s="15"/>
      <c r="NSD57" s="15"/>
      <c r="NSE57" s="15"/>
      <c r="NSF57" s="15"/>
      <c r="NSG57" s="15"/>
      <c r="NSH57" s="15"/>
      <c r="NSI57" s="15"/>
      <c r="NSJ57" s="15"/>
      <c r="NSK57" s="15"/>
      <c r="NSL57" s="15"/>
      <c r="NSM57" s="15"/>
      <c r="NSN57" s="15"/>
      <c r="NSO57" s="15"/>
      <c r="NSP57" s="15"/>
      <c r="NSQ57" s="15"/>
      <c r="NSR57" s="15"/>
      <c r="NSS57" s="15"/>
      <c r="NST57" s="15"/>
      <c r="NSU57" s="15"/>
      <c r="NSV57" s="15"/>
      <c r="NSW57" s="15"/>
      <c r="NSX57" s="15"/>
      <c r="NSY57" s="15"/>
      <c r="NSZ57" s="15"/>
      <c r="NTA57" s="15"/>
      <c r="NTB57" s="15"/>
      <c r="NTC57" s="15"/>
      <c r="NTD57" s="15"/>
      <c r="NTE57" s="15"/>
      <c r="NTF57" s="15"/>
      <c r="NTG57" s="15"/>
      <c r="NTH57" s="15"/>
      <c r="NTI57" s="15"/>
      <c r="NTJ57" s="15"/>
      <c r="NTK57" s="15"/>
      <c r="NTL57" s="15"/>
      <c r="NTM57" s="15"/>
      <c r="NTN57" s="15"/>
      <c r="NTO57" s="15"/>
      <c r="NTP57" s="15"/>
      <c r="NTQ57" s="15"/>
      <c r="NTR57" s="15"/>
      <c r="NTS57" s="15"/>
      <c r="NTT57" s="15"/>
      <c r="NTU57" s="15"/>
      <c r="NTV57" s="15"/>
      <c r="NTW57" s="15"/>
      <c r="NTX57" s="15"/>
      <c r="NTY57" s="15"/>
      <c r="NTZ57" s="15"/>
      <c r="NUA57" s="15"/>
      <c r="NUB57" s="15"/>
      <c r="NUC57" s="15"/>
      <c r="NUD57" s="15"/>
      <c r="NUE57" s="15"/>
      <c r="NUF57" s="15"/>
      <c r="NUG57" s="15"/>
      <c r="NUH57" s="15"/>
      <c r="NUI57" s="15"/>
      <c r="NUJ57" s="15"/>
      <c r="NUK57" s="15"/>
      <c r="NUL57" s="15"/>
      <c r="NUM57" s="15"/>
      <c r="NUN57" s="15"/>
      <c r="NUO57" s="15"/>
      <c r="NUP57" s="15"/>
      <c r="NUQ57" s="15"/>
      <c r="NUR57" s="15"/>
      <c r="NUS57" s="15"/>
      <c r="NUT57" s="15"/>
      <c r="NUU57" s="15"/>
      <c r="NUV57" s="15"/>
      <c r="NUW57" s="15"/>
      <c r="NUX57" s="15"/>
      <c r="NUY57" s="15"/>
      <c r="NUZ57" s="15"/>
      <c r="NVA57" s="15"/>
      <c r="NVB57" s="15"/>
      <c r="NVC57" s="15"/>
      <c r="NVD57" s="15"/>
      <c r="NVE57" s="15"/>
      <c r="NVF57" s="15"/>
      <c r="NVG57" s="15"/>
      <c r="NVH57" s="15"/>
      <c r="NVI57" s="15"/>
      <c r="NVJ57" s="15"/>
      <c r="NVK57" s="15"/>
      <c r="NVL57" s="15"/>
      <c r="NVM57" s="15"/>
      <c r="NVN57" s="15"/>
      <c r="NVO57" s="15"/>
      <c r="NVP57" s="15"/>
      <c r="NVQ57" s="15"/>
      <c r="NVR57" s="15"/>
      <c r="NVS57" s="15"/>
      <c r="NVT57" s="15"/>
      <c r="NVU57" s="15"/>
      <c r="NVV57" s="15"/>
      <c r="NVW57" s="15"/>
      <c r="NVX57" s="15"/>
      <c r="NVY57" s="15"/>
      <c r="NVZ57" s="15"/>
      <c r="NWA57" s="15"/>
      <c r="NWB57" s="15"/>
      <c r="NWC57" s="15"/>
      <c r="NWD57" s="15"/>
      <c r="NWE57" s="15"/>
      <c r="NWF57" s="15"/>
      <c r="NWG57" s="15"/>
      <c r="NWH57" s="15"/>
      <c r="NWI57" s="15"/>
      <c r="NWJ57" s="15"/>
      <c r="NWK57" s="15"/>
      <c r="NWL57" s="15"/>
      <c r="NWM57" s="15"/>
      <c r="NWN57" s="15"/>
      <c r="NWO57" s="15"/>
      <c r="NWP57" s="15"/>
      <c r="NWQ57" s="15"/>
      <c r="NWR57" s="15"/>
      <c r="NWS57" s="15"/>
      <c r="NWT57" s="15"/>
      <c r="NWU57" s="15"/>
      <c r="NWV57" s="15"/>
      <c r="NWW57" s="15"/>
      <c r="NWX57" s="15"/>
      <c r="NWY57" s="15"/>
      <c r="NWZ57" s="15"/>
      <c r="NXA57" s="15"/>
      <c r="NXB57" s="15"/>
      <c r="NXC57" s="15"/>
      <c r="NXD57" s="15"/>
      <c r="NXE57" s="15"/>
      <c r="NXF57" s="15"/>
      <c r="NXG57" s="15"/>
      <c r="NXH57" s="15"/>
      <c r="NXI57" s="15"/>
      <c r="NXJ57" s="15"/>
      <c r="NXK57" s="15"/>
      <c r="NXL57" s="15"/>
      <c r="NXM57" s="15"/>
      <c r="NXN57" s="15"/>
      <c r="NXO57" s="15"/>
      <c r="NXP57" s="15"/>
      <c r="NXQ57" s="15"/>
      <c r="NXR57" s="15"/>
      <c r="NXS57" s="15"/>
      <c r="NXT57" s="15"/>
      <c r="NXU57" s="15"/>
      <c r="NXV57" s="15"/>
      <c r="NXW57" s="15"/>
      <c r="NXX57" s="15"/>
      <c r="NXY57" s="15"/>
      <c r="NXZ57" s="15"/>
      <c r="NYA57" s="15"/>
      <c r="NYB57" s="15"/>
      <c r="NYC57" s="15"/>
      <c r="NYD57" s="15"/>
      <c r="NYE57" s="15"/>
      <c r="NYF57" s="15"/>
      <c r="NYG57" s="15"/>
      <c r="NYH57" s="15"/>
      <c r="NYI57" s="15"/>
      <c r="NYJ57" s="15"/>
      <c r="NYK57" s="15"/>
      <c r="NYL57" s="15"/>
      <c r="NYM57" s="15"/>
      <c r="NYN57" s="15"/>
      <c r="NYO57" s="15"/>
      <c r="NYP57" s="15"/>
      <c r="NYQ57" s="15"/>
      <c r="NYR57" s="15"/>
      <c r="NYS57" s="15"/>
      <c r="NYT57" s="15"/>
      <c r="NYU57" s="15"/>
      <c r="NYV57" s="15"/>
      <c r="NYW57" s="15"/>
      <c r="NYX57" s="15"/>
      <c r="NYY57" s="15"/>
      <c r="NYZ57" s="15"/>
      <c r="NZA57" s="15"/>
      <c r="NZB57" s="15"/>
      <c r="NZC57" s="15"/>
      <c r="NZD57" s="15"/>
      <c r="NZE57" s="15"/>
      <c r="NZF57" s="15"/>
      <c r="NZG57" s="15"/>
      <c r="NZH57" s="15"/>
      <c r="NZI57" s="15"/>
      <c r="NZJ57" s="15"/>
      <c r="NZK57" s="15"/>
      <c r="NZL57" s="15"/>
      <c r="NZM57" s="15"/>
      <c r="NZN57" s="15"/>
      <c r="NZO57" s="15"/>
      <c r="NZP57" s="15"/>
      <c r="NZQ57" s="15"/>
      <c r="NZR57" s="15"/>
      <c r="NZS57" s="15"/>
      <c r="NZT57" s="15"/>
      <c r="NZU57" s="15"/>
      <c r="NZV57" s="15"/>
      <c r="NZW57" s="15"/>
      <c r="NZX57" s="15"/>
      <c r="NZY57" s="15"/>
      <c r="NZZ57" s="15"/>
      <c r="OAA57" s="15"/>
      <c r="OAB57" s="15"/>
      <c r="OAC57" s="15"/>
      <c r="OAD57" s="15"/>
      <c r="OAE57" s="15"/>
      <c r="OAF57" s="15"/>
      <c r="OAG57" s="15"/>
      <c r="OAH57" s="15"/>
      <c r="OAI57" s="15"/>
      <c r="OAJ57" s="15"/>
      <c r="OAK57" s="15"/>
      <c r="OAL57" s="15"/>
      <c r="OAM57" s="15"/>
      <c r="OAN57" s="15"/>
      <c r="OAO57" s="15"/>
      <c r="OAP57" s="15"/>
      <c r="OAQ57" s="15"/>
      <c r="OAR57" s="15"/>
      <c r="OAS57" s="15"/>
      <c r="OAT57" s="15"/>
      <c r="OAU57" s="15"/>
      <c r="OAV57" s="15"/>
      <c r="OAW57" s="15"/>
      <c r="OAX57" s="15"/>
      <c r="OAY57" s="15"/>
      <c r="OAZ57" s="15"/>
      <c r="OBA57" s="15"/>
      <c r="OBB57" s="15"/>
      <c r="OBC57" s="15"/>
      <c r="OBD57" s="15"/>
      <c r="OBE57" s="15"/>
      <c r="OBF57" s="15"/>
      <c r="OBG57" s="15"/>
      <c r="OBH57" s="15"/>
      <c r="OBI57" s="15"/>
      <c r="OBJ57" s="15"/>
      <c r="OBK57" s="15"/>
      <c r="OBL57" s="15"/>
      <c r="OBM57" s="15"/>
      <c r="OBN57" s="15"/>
      <c r="OBO57" s="15"/>
      <c r="OBP57" s="15"/>
      <c r="OBQ57" s="15"/>
      <c r="OBR57" s="15"/>
      <c r="OBS57" s="15"/>
      <c r="OBT57" s="15"/>
      <c r="OBU57" s="15"/>
      <c r="OBV57" s="15"/>
      <c r="OBW57" s="15"/>
      <c r="OBX57" s="15"/>
      <c r="OBY57" s="15"/>
      <c r="OBZ57" s="15"/>
      <c r="OCA57" s="15"/>
      <c r="OCB57" s="15"/>
      <c r="OCC57" s="15"/>
      <c r="OCD57" s="15"/>
      <c r="OCE57" s="15"/>
      <c r="OCF57" s="15"/>
      <c r="OCG57" s="15"/>
      <c r="OCH57" s="15"/>
      <c r="OCI57" s="15"/>
      <c r="OCJ57" s="15"/>
      <c r="OCK57" s="15"/>
      <c r="OCL57" s="15"/>
      <c r="OCM57" s="15"/>
      <c r="OCN57" s="15"/>
      <c r="OCO57" s="15"/>
      <c r="OCP57" s="15"/>
      <c r="OCQ57" s="15"/>
      <c r="OCR57" s="15"/>
      <c r="OCS57" s="15"/>
      <c r="OCT57" s="15"/>
      <c r="OCU57" s="15"/>
      <c r="OCV57" s="15"/>
      <c r="OCW57" s="15"/>
      <c r="OCX57" s="15"/>
      <c r="OCY57" s="15"/>
      <c r="OCZ57" s="15"/>
      <c r="ODA57" s="15"/>
      <c r="ODB57" s="15"/>
      <c r="ODC57" s="15"/>
      <c r="ODD57" s="15"/>
      <c r="ODE57" s="15"/>
      <c r="ODF57" s="15"/>
      <c r="ODG57" s="15"/>
      <c r="ODH57" s="15"/>
      <c r="ODI57" s="15"/>
      <c r="ODJ57" s="15"/>
      <c r="ODK57" s="15"/>
      <c r="ODL57" s="15"/>
      <c r="ODM57" s="15"/>
      <c r="ODN57" s="15"/>
      <c r="ODO57" s="15"/>
      <c r="ODP57" s="15"/>
      <c r="ODQ57" s="15"/>
      <c r="ODR57" s="15"/>
      <c r="ODS57" s="15"/>
      <c r="ODT57" s="15"/>
      <c r="ODU57" s="15"/>
      <c r="ODV57" s="15"/>
      <c r="ODW57" s="15"/>
      <c r="ODX57" s="15"/>
      <c r="ODY57" s="15"/>
      <c r="ODZ57" s="15"/>
      <c r="OEA57" s="15"/>
      <c r="OEB57" s="15"/>
      <c r="OEC57" s="15"/>
      <c r="OED57" s="15"/>
      <c r="OEE57" s="15"/>
      <c r="OEF57" s="15"/>
      <c r="OEG57" s="15"/>
      <c r="OEH57" s="15"/>
      <c r="OEI57" s="15"/>
      <c r="OEJ57" s="15"/>
      <c r="OEK57" s="15"/>
      <c r="OEL57" s="15"/>
      <c r="OEM57" s="15"/>
      <c r="OEN57" s="15"/>
      <c r="OEO57" s="15"/>
      <c r="OEP57" s="15"/>
      <c r="OEQ57" s="15"/>
      <c r="OER57" s="15"/>
      <c r="OES57" s="15"/>
      <c r="OET57" s="15"/>
      <c r="OEU57" s="15"/>
      <c r="OEV57" s="15"/>
      <c r="OEW57" s="15"/>
      <c r="OEX57" s="15"/>
      <c r="OEY57" s="15"/>
      <c r="OEZ57" s="15"/>
      <c r="OFA57" s="15"/>
      <c r="OFB57" s="15"/>
      <c r="OFC57" s="15"/>
      <c r="OFD57" s="15"/>
      <c r="OFE57" s="15"/>
      <c r="OFF57" s="15"/>
      <c r="OFG57" s="15"/>
      <c r="OFH57" s="15"/>
      <c r="OFI57" s="15"/>
      <c r="OFJ57" s="15"/>
      <c r="OFK57" s="15"/>
      <c r="OFL57" s="15"/>
      <c r="OFM57" s="15"/>
      <c r="OFN57" s="15"/>
      <c r="OFO57" s="15"/>
      <c r="OFP57" s="15"/>
      <c r="OFQ57" s="15"/>
      <c r="OFR57" s="15"/>
      <c r="OFS57" s="15"/>
      <c r="OFT57" s="15"/>
      <c r="OFU57" s="15"/>
      <c r="OFV57" s="15"/>
      <c r="OFW57" s="15"/>
      <c r="OFX57" s="15"/>
      <c r="OFY57" s="15"/>
      <c r="OFZ57" s="15"/>
      <c r="OGA57" s="15"/>
      <c r="OGB57" s="15"/>
      <c r="OGC57" s="15"/>
      <c r="OGD57" s="15"/>
      <c r="OGE57" s="15"/>
      <c r="OGF57" s="15"/>
      <c r="OGG57" s="15"/>
      <c r="OGH57" s="15"/>
      <c r="OGI57" s="15"/>
      <c r="OGJ57" s="15"/>
      <c r="OGK57" s="15"/>
      <c r="OGL57" s="15"/>
      <c r="OGM57" s="15"/>
      <c r="OGN57" s="15"/>
      <c r="OGO57" s="15"/>
      <c r="OGP57" s="15"/>
      <c r="OGQ57" s="15"/>
      <c r="OGR57" s="15"/>
      <c r="OGS57" s="15"/>
      <c r="OGT57" s="15"/>
      <c r="OGU57" s="15"/>
      <c r="OGV57" s="15"/>
      <c r="OGW57" s="15"/>
      <c r="OGX57" s="15"/>
      <c r="OGY57" s="15"/>
      <c r="OGZ57" s="15"/>
      <c r="OHA57" s="15"/>
      <c r="OHB57" s="15"/>
      <c r="OHC57" s="15"/>
      <c r="OHD57" s="15"/>
      <c r="OHE57" s="15"/>
      <c r="OHF57" s="15"/>
      <c r="OHG57" s="15"/>
      <c r="OHH57" s="15"/>
      <c r="OHI57" s="15"/>
      <c r="OHJ57" s="15"/>
      <c r="OHK57" s="15"/>
      <c r="OHL57" s="15"/>
      <c r="OHM57" s="15"/>
      <c r="OHN57" s="15"/>
      <c r="OHO57" s="15"/>
      <c r="OHP57" s="15"/>
      <c r="OHQ57" s="15"/>
      <c r="OHR57" s="15"/>
      <c r="OHS57" s="15"/>
      <c r="OHT57" s="15"/>
      <c r="OHU57" s="15"/>
      <c r="OHV57" s="15"/>
      <c r="OHW57" s="15"/>
      <c r="OHX57" s="15"/>
      <c r="OHY57" s="15"/>
      <c r="OHZ57" s="15"/>
      <c r="OIA57" s="15"/>
      <c r="OIB57" s="15"/>
      <c r="OIC57" s="15"/>
      <c r="OID57" s="15"/>
      <c r="OIE57" s="15"/>
      <c r="OIF57" s="15"/>
      <c r="OIG57" s="15"/>
      <c r="OIH57" s="15"/>
      <c r="OII57" s="15"/>
      <c r="OIJ57" s="15"/>
      <c r="OIK57" s="15"/>
      <c r="OIL57" s="15"/>
      <c r="OIM57" s="15"/>
      <c r="OIN57" s="15"/>
      <c r="OIO57" s="15"/>
      <c r="OIP57" s="15"/>
      <c r="OIQ57" s="15"/>
      <c r="OIR57" s="15"/>
      <c r="OIS57" s="15"/>
      <c r="OIT57" s="15"/>
      <c r="OIU57" s="15"/>
      <c r="OIV57" s="15"/>
      <c r="OIW57" s="15"/>
      <c r="OIX57" s="15"/>
      <c r="OIY57" s="15"/>
      <c r="OIZ57" s="15"/>
      <c r="OJA57" s="15"/>
      <c r="OJB57" s="15"/>
      <c r="OJC57" s="15"/>
      <c r="OJD57" s="15"/>
      <c r="OJE57" s="15"/>
      <c r="OJF57" s="15"/>
      <c r="OJG57" s="15"/>
      <c r="OJH57" s="15"/>
      <c r="OJI57" s="15"/>
      <c r="OJJ57" s="15"/>
      <c r="OJK57" s="15"/>
      <c r="OJL57" s="15"/>
      <c r="OJM57" s="15"/>
      <c r="OJN57" s="15"/>
      <c r="OJO57" s="15"/>
      <c r="OJP57" s="15"/>
      <c r="OJQ57" s="15"/>
      <c r="OJR57" s="15"/>
      <c r="OJS57" s="15"/>
      <c r="OJT57" s="15"/>
      <c r="OJU57" s="15"/>
      <c r="OJV57" s="15"/>
      <c r="OJW57" s="15"/>
      <c r="OJX57" s="15"/>
      <c r="OJY57" s="15"/>
      <c r="OJZ57" s="15"/>
      <c r="OKA57" s="15"/>
      <c r="OKB57" s="15"/>
      <c r="OKC57" s="15"/>
      <c r="OKD57" s="15"/>
      <c r="OKE57" s="15"/>
      <c r="OKF57" s="15"/>
      <c r="OKG57" s="15"/>
      <c r="OKH57" s="15"/>
      <c r="OKI57" s="15"/>
      <c r="OKJ57" s="15"/>
      <c r="OKK57" s="15"/>
      <c r="OKL57" s="15"/>
      <c r="OKM57" s="15"/>
      <c r="OKN57" s="15"/>
      <c r="OKO57" s="15"/>
      <c r="OKP57" s="15"/>
      <c r="OKQ57" s="15"/>
      <c r="OKR57" s="15"/>
      <c r="OKS57" s="15"/>
      <c r="OKT57" s="15"/>
      <c r="OKU57" s="15"/>
      <c r="OKV57" s="15"/>
      <c r="OKW57" s="15"/>
      <c r="OKX57" s="15"/>
      <c r="OKY57" s="15"/>
      <c r="OKZ57" s="15"/>
      <c r="OLA57" s="15"/>
      <c r="OLB57" s="15"/>
      <c r="OLC57" s="15"/>
      <c r="OLD57" s="15"/>
      <c r="OLE57" s="15"/>
      <c r="OLF57" s="15"/>
      <c r="OLG57" s="15"/>
      <c r="OLH57" s="15"/>
      <c r="OLI57" s="15"/>
      <c r="OLJ57" s="15"/>
      <c r="OLK57" s="15"/>
      <c r="OLL57" s="15"/>
      <c r="OLM57" s="15"/>
      <c r="OLN57" s="15"/>
      <c r="OLO57" s="15"/>
      <c r="OLP57" s="15"/>
      <c r="OLQ57" s="15"/>
      <c r="OLR57" s="15"/>
      <c r="OLS57" s="15"/>
      <c r="OLT57" s="15"/>
      <c r="OLU57" s="15"/>
      <c r="OLV57" s="15"/>
      <c r="OLW57" s="15"/>
      <c r="OLX57" s="15"/>
      <c r="OLY57" s="15"/>
      <c r="OLZ57" s="15"/>
      <c r="OMA57" s="15"/>
      <c r="OMB57" s="15"/>
      <c r="OMC57" s="15"/>
      <c r="OMD57" s="15"/>
      <c r="OME57" s="15"/>
      <c r="OMF57" s="15"/>
      <c r="OMG57" s="15"/>
      <c r="OMH57" s="15"/>
      <c r="OMI57" s="15"/>
      <c r="OMJ57" s="15"/>
      <c r="OMK57" s="15"/>
      <c r="OML57" s="15"/>
      <c r="OMM57" s="15"/>
      <c r="OMN57" s="15"/>
      <c r="OMO57" s="15"/>
      <c r="OMP57" s="15"/>
      <c r="OMQ57" s="15"/>
      <c r="OMR57" s="15"/>
      <c r="OMS57" s="15"/>
      <c r="OMT57" s="15"/>
      <c r="OMU57" s="15"/>
      <c r="OMV57" s="15"/>
      <c r="OMW57" s="15"/>
      <c r="OMX57" s="15"/>
      <c r="OMY57" s="15"/>
      <c r="OMZ57" s="15"/>
      <c r="ONA57" s="15"/>
      <c r="ONB57" s="15"/>
      <c r="ONC57" s="15"/>
      <c r="OND57" s="15"/>
      <c r="ONE57" s="15"/>
      <c r="ONF57" s="15"/>
      <c r="ONG57" s="15"/>
      <c r="ONH57" s="15"/>
      <c r="ONI57" s="15"/>
      <c r="ONJ57" s="15"/>
      <c r="ONK57" s="15"/>
      <c r="ONL57" s="15"/>
      <c r="ONM57" s="15"/>
      <c r="ONN57" s="15"/>
      <c r="ONO57" s="15"/>
      <c r="ONP57" s="15"/>
      <c r="ONQ57" s="15"/>
      <c r="ONR57" s="15"/>
      <c r="ONS57" s="15"/>
      <c r="ONT57" s="15"/>
      <c r="ONU57" s="15"/>
      <c r="ONV57" s="15"/>
      <c r="ONW57" s="15"/>
      <c r="ONX57" s="15"/>
      <c r="ONY57" s="15"/>
      <c r="ONZ57" s="15"/>
      <c r="OOA57" s="15"/>
      <c r="OOB57" s="15"/>
      <c r="OOC57" s="15"/>
      <c r="OOD57" s="15"/>
      <c r="OOE57" s="15"/>
      <c r="OOF57" s="15"/>
      <c r="OOG57" s="15"/>
      <c r="OOH57" s="15"/>
      <c r="OOI57" s="15"/>
      <c r="OOJ57" s="15"/>
      <c r="OOK57" s="15"/>
      <c r="OOL57" s="15"/>
      <c r="OOM57" s="15"/>
      <c r="OON57" s="15"/>
      <c r="OOO57" s="15"/>
      <c r="OOP57" s="15"/>
      <c r="OOQ57" s="15"/>
      <c r="OOR57" s="15"/>
      <c r="OOS57" s="15"/>
      <c r="OOT57" s="15"/>
      <c r="OOU57" s="15"/>
      <c r="OOV57" s="15"/>
      <c r="OOW57" s="15"/>
      <c r="OOX57" s="15"/>
      <c r="OOY57" s="15"/>
      <c r="OOZ57" s="15"/>
      <c r="OPA57" s="15"/>
      <c r="OPB57" s="15"/>
      <c r="OPC57" s="15"/>
      <c r="OPD57" s="15"/>
      <c r="OPE57" s="15"/>
      <c r="OPF57" s="15"/>
      <c r="OPG57" s="15"/>
      <c r="OPH57" s="15"/>
      <c r="OPI57" s="15"/>
      <c r="OPJ57" s="15"/>
      <c r="OPK57" s="15"/>
      <c r="OPL57" s="15"/>
      <c r="OPM57" s="15"/>
      <c r="OPN57" s="15"/>
      <c r="OPO57" s="15"/>
      <c r="OPP57" s="15"/>
      <c r="OPQ57" s="15"/>
      <c r="OPR57" s="15"/>
      <c r="OPS57" s="15"/>
      <c r="OPT57" s="15"/>
      <c r="OPU57" s="15"/>
      <c r="OPV57" s="15"/>
      <c r="OPW57" s="15"/>
      <c r="OPX57" s="15"/>
      <c r="OPY57" s="15"/>
      <c r="OPZ57" s="15"/>
      <c r="OQA57" s="15"/>
      <c r="OQB57" s="15"/>
      <c r="OQC57" s="15"/>
      <c r="OQD57" s="15"/>
      <c r="OQE57" s="15"/>
      <c r="OQF57" s="15"/>
      <c r="OQG57" s="15"/>
      <c r="OQH57" s="15"/>
      <c r="OQI57" s="15"/>
      <c r="OQJ57" s="15"/>
      <c r="OQK57" s="15"/>
      <c r="OQL57" s="15"/>
      <c r="OQM57" s="15"/>
      <c r="OQN57" s="15"/>
      <c r="OQO57" s="15"/>
      <c r="OQP57" s="15"/>
      <c r="OQQ57" s="15"/>
      <c r="OQR57" s="15"/>
      <c r="OQS57" s="15"/>
      <c r="OQT57" s="15"/>
      <c r="OQU57" s="15"/>
      <c r="OQV57" s="15"/>
      <c r="OQW57" s="15"/>
      <c r="OQX57" s="15"/>
      <c r="OQY57" s="15"/>
      <c r="OQZ57" s="15"/>
      <c r="ORA57" s="15"/>
      <c r="ORB57" s="15"/>
      <c r="ORC57" s="15"/>
      <c r="ORD57" s="15"/>
      <c r="ORE57" s="15"/>
      <c r="ORF57" s="15"/>
      <c r="ORG57" s="15"/>
      <c r="ORH57" s="15"/>
      <c r="ORI57" s="15"/>
      <c r="ORJ57" s="15"/>
      <c r="ORK57" s="15"/>
      <c r="ORL57" s="15"/>
      <c r="ORM57" s="15"/>
      <c r="ORN57" s="15"/>
      <c r="ORO57" s="15"/>
      <c r="ORP57" s="15"/>
      <c r="ORQ57" s="15"/>
      <c r="ORR57" s="15"/>
      <c r="ORS57" s="15"/>
      <c r="ORT57" s="15"/>
      <c r="ORU57" s="15"/>
      <c r="ORV57" s="15"/>
      <c r="ORW57" s="15"/>
      <c r="ORX57" s="15"/>
      <c r="ORY57" s="15"/>
      <c r="ORZ57" s="15"/>
      <c r="OSA57" s="15"/>
      <c r="OSB57" s="15"/>
      <c r="OSC57" s="15"/>
      <c r="OSD57" s="15"/>
      <c r="OSE57" s="15"/>
      <c r="OSF57" s="15"/>
      <c r="OSG57" s="15"/>
      <c r="OSH57" s="15"/>
      <c r="OSI57" s="15"/>
      <c r="OSJ57" s="15"/>
      <c r="OSK57" s="15"/>
      <c r="OSL57" s="15"/>
      <c r="OSM57" s="15"/>
      <c r="OSN57" s="15"/>
      <c r="OSO57" s="15"/>
      <c r="OSP57" s="15"/>
      <c r="OSQ57" s="15"/>
      <c r="OSR57" s="15"/>
      <c r="OSS57" s="15"/>
      <c r="OST57" s="15"/>
      <c r="OSU57" s="15"/>
      <c r="OSV57" s="15"/>
      <c r="OSW57" s="15"/>
      <c r="OSX57" s="15"/>
      <c r="OSY57" s="15"/>
      <c r="OSZ57" s="15"/>
      <c r="OTA57" s="15"/>
      <c r="OTB57" s="15"/>
      <c r="OTC57" s="15"/>
      <c r="OTD57" s="15"/>
      <c r="OTE57" s="15"/>
      <c r="OTF57" s="15"/>
      <c r="OTG57" s="15"/>
      <c r="OTH57" s="15"/>
      <c r="OTI57" s="15"/>
      <c r="OTJ57" s="15"/>
      <c r="OTK57" s="15"/>
      <c r="OTL57" s="15"/>
      <c r="OTM57" s="15"/>
      <c r="OTN57" s="15"/>
      <c r="OTO57" s="15"/>
      <c r="OTP57" s="15"/>
      <c r="OTQ57" s="15"/>
      <c r="OTR57" s="15"/>
      <c r="OTS57" s="15"/>
      <c r="OTT57" s="15"/>
      <c r="OTU57" s="15"/>
      <c r="OTV57" s="15"/>
      <c r="OTW57" s="15"/>
      <c r="OTX57" s="15"/>
      <c r="OTY57" s="15"/>
      <c r="OTZ57" s="15"/>
      <c r="OUA57" s="15"/>
      <c r="OUB57" s="15"/>
      <c r="OUC57" s="15"/>
      <c r="OUD57" s="15"/>
      <c r="OUE57" s="15"/>
      <c r="OUF57" s="15"/>
      <c r="OUG57" s="15"/>
      <c r="OUH57" s="15"/>
      <c r="OUI57" s="15"/>
      <c r="OUJ57" s="15"/>
      <c r="OUK57" s="15"/>
      <c r="OUL57" s="15"/>
      <c r="OUM57" s="15"/>
      <c r="OUN57" s="15"/>
      <c r="OUO57" s="15"/>
      <c r="OUP57" s="15"/>
      <c r="OUQ57" s="15"/>
      <c r="OUR57" s="15"/>
      <c r="OUS57" s="15"/>
      <c r="OUT57" s="15"/>
      <c r="OUU57" s="15"/>
      <c r="OUV57" s="15"/>
      <c r="OUW57" s="15"/>
      <c r="OUX57" s="15"/>
      <c r="OUY57" s="15"/>
      <c r="OUZ57" s="15"/>
      <c r="OVA57" s="15"/>
      <c r="OVB57" s="15"/>
      <c r="OVC57" s="15"/>
      <c r="OVD57" s="15"/>
      <c r="OVE57" s="15"/>
      <c r="OVF57" s="15"/>
      <c r="OVG57" s="15"/>
      <c r="OVH57" s="15"/>
      <c r="OVI57" s="15"/>
      <c r="OVJ57" s="15"/>
      <c r="OVK57" s="15"/>
      <c r="OVL57" s="15"/>
      <c r="OVM57" s="15"/>
      <c r="OVN57" s="15"/>
      <c r="OVO57" s="15"/>
      <c r="OVP57" s="15"/>
      <c r="OVQ57" s="15"/>
      <c r="OVR57" s="15"/>
      <c r="OVS57" s="15"/>
      <c r="OVT57" s="15"/>
      <c r="OVU57" s="15"/>
      <c r="OVV57" s="15"/>
      <c r="OVW57" s="15"/>
      <c r="OVX57" s="15"/>
      <c r="OVY57" s="15"/>
      <c r="OVZ57" s="15"/>
      <c r="OWA57" s="15"/>
      <c r="OWB57" s="15"/>
      <c r="OWC57" s="15"/>
      <c r="OWD57" s="15"/>
      <c r="OWE57" s="15"/>
      <c r="OWF57" s="15"/>
      <c r="OWG57" s="15"/>
      <c r="OWH57" s="15"/>
      <c r="OWI57" s="15"/>
      <c r="OWJ57" s="15"/>
      <c r="OWK57" s="15"/>
      <c r="OWL57" s="15"/>
      <c r="OWM57" s="15"/>
      <c r="OWN57" s="15"/>
      <c r="OWO57" s="15"/>
      <c r="OWP57" s="15"/>
      <c r="OWQ57" s="15"/>
      <c r="OWR57" s="15"/>
      <c r="OWS57" s="15"/>
      <c r="OWT57" s="15"/>
      <c r="OWU57" s="15"/>
      <c r="OWV57" s="15"/>
      <c r="OWW57" s="15"/>
      <c r="OWX57" s="15"/>
      <c r="OWY57" s="15"/>
      <c r="OWZ57" s="15"/>
      <c r="OXA57" s="15"/>
      <c r="OXB57" s="15"/>
      <c r="OXC57" s="15"/>
      <c r="OXD57" s="15"/>
      <c r="OXE57" s="15"/>
      <c r="OXF57" s="15"/>
      <c r="OXG57" s="15"/>
      <c r="OXH57" s="15"/>
      <c r="OXI57" s="15"/>
      <c r="OXJ57" s="15"/>
      <c r="OXK57" s="15"/>
      <c r="OXL57" s="15"/>
      <c r="OXM57" s="15"/>
      <c r="OXN57" s="15"/>
      <c r="OXO57" s="15"/>
      <c r="OXP57" s="15"/>
      <c r="OXQ57" s="15"/>
      <c r="OXR57" s="15"/>
      <c r="OXS57" s="15"/>
      <c r="OXT57" s="15"/>
      <c r="OXU57" s="15"/>
      <c r="OXV57" s="15"/>
      <c r="OXW57" s="15"/>
      <c r="OXX57" s="15"/>
      <c r="OXY57" s="15"/>
      <c r="OXZ57" s="15"/>
      <c r="OYA57" s="15"/>
      <c r="OYB57" s="15"/>
      <c r="OYC57" s="15"/>
      <c r="OYD57" s="15"/>
      <c r="OYE57" s="15"/>
      <c r="OYF57" s="15"/>
      <c r="OYG57" s="15"/>
      <c r="OYH57" s="15"/>
      <c r="OYI57" s="15"/>
      <c r="OYJ57" s="15"/>
      <c r="OYK57" s="15"/>
      <c r="OYL57" s="15"/>
      <c r="OYM57" s="15"/>
      <c r="OYN57" s="15"/>
      <c r="OYO57" s="15"/>
      <c r="OYP57" s="15"/>
      <c r="OYQ57" s="15"/>
      <c r="OYR57" s="15"/>
      <c r="OYS57" s="15"/>
      <c r="OYT57" s="15"/>
      <c r="OYU57" s="15"/>
      <c r="OYV57" s="15"/>
      <c r="OYW57" s="15"/>
      <c r="OYX57" s="15"/>
      <c r="OYY57" s="15"/>
      <c r="OYZ57" s="15"/>
      <c r="OZA57" s="15"/>
      <c r="OZB57" s="15"/>
      <c r="OZC57" s="15"/>
      <c r="OZD57" s="15"/>
      <c r="OZE57" s="15"/>
      <c r="OZF57" s="15"/>
      <c r="OZG57" s="15"/>
      <c r="OZH57" s="15"/>
      <c r="OZI57" s="15"/>
      <c r="OZJ57" s="15"/>
      <c r="OZK57" s="15"/>
      <c r="OZL57" s="15"/>
      <c r="OZM57" s="15"/>
      <c r="OZN57" s="15"/>
      <c r="OZO57" s="15"/>
      <c r="OZP57" s="15"/>
      <c r="OZQ57" s="15"/>
      <c r="OZR57" s="15"/>
      <c r="OZS57" s="15"/>
      <c r="OZT57" s="15"/>
      <c r="OZU57" s="15"/>
      <c r="OZV57" s="15"/>
      <c r="OZW57" s="15"/>
      <c r="OZX57" s="15"/>
      <c r="OZY57" s="15"/>
      <c r="OZZ57" s="15"/>
      <c r="PAA57" s="15"/>
      <c r="PAB57" s="15"/>
      <c r="PAC57" s="15"/>
      <c r="PAD57" s="15"/>
      <c r="PAE57" s="15"/>
      <c r="PAF57" s="15"/>
      <c r="PAG57" s="15"/>
      <c r="PAH57" s="15"/>
      <c r="PAI57" s="15"/>
      <c r="PAJ57" s="15"/>
      <c r="PAK57" s="15"/>
      <c r="PAL57" s="15"/>
      <c r="PAM57" s="15"/>
      <c r="PAN57" s="15"/>
      <c r="PAO57" s="15"/>
      <c r="PAP57" s="15"/>
      <c r="PAQ57" s="15"/>
      <c r="PAR57" s="15"/>
      <c r="PAS57" s="15"/>
      <c r="PAT57" s="15"/>
      <c r="PAU57" s="15"/>
      <c r="PAV57" s="15"/>
      <c r="PAW57" s="15"/>
      <c r="PAX57" s="15"/>
      <c r="PAY57" s="15"/>
      <c r="PAZ57" s="15"/>
      <c r="PBA57" s="15"/>
      <c r="PBB57" s="15"/>
      <c r="PBC57" s="15"/>
      <c r="PBD57" s="15"/>
      <c r="PBE57" s="15"/>
      <c r="PBF57" s="15"/>
      <c r="PBG57" s="15"/>
      <c r="PBH57" s="15"/>
      <c r="PBI57" s="15"/>
      <c r="PBJ57" s="15"/>
      <c r="PBK57" s="15"/>
      <c r="PBL57" s="15"/>
      <c r="PBM57" s="15"/>
      <c r="PBN57" s="15"/>
      <c r="PBO57" s="15"/>
      <c r="PBP57" s="15"/>
      <c r="PBQ57" s="15"/>
      <c r="PBR57" s="15"/>
      <c r="PBS57" s="15"/>
      <c r="PBT57" s="15"/>
      <c r="PBU57" s="15"/>
      <c r="PBV57" s="15"/>
      <c r="PBW57" s="15"/>
      <c r="PBX57" s="15"/>
      <c r="PBY57" s="15"/>
      <c r="PBZ57" s="15"/>
      <c r="PCA57" s="15"/>
      <c r="PCB57" s="15"/>
      <c r="PCC57" s="15"/>
      <c r="PCD57" s="15"/>
      <c r="PCE57" s="15"/>
      <c r="PCF57" s="15"/>
      <c r="PCG57" s="15"/>
      <c r="PCH57" s="15"/>
      <c r="PCI57" s="15"/>
      <c r="PCJ57" s="15"/>
      <c r="PCK57" s="15"/>
      <c r="PCL57" s="15"/>
      <c r="PCM57" s="15"/>
      <c r="PCN57" s="15"/>
      <c r="PCO57" s="15"/>
      <c r="PCP57" s="15"/>
      <c r="PCQ57" s="15"/>
      <c r="PCR57" s="15"/>
      <c r="PCS57" s="15"/>
      <c r="PCT57" s="15"/>
      <c r="PCU57" s="15"/>
      <c r="PCV57" s="15"/>
      <c r="PCW57" s="15"/>
      <c r="PCX57" s="15"/>
      <c r="PCY57" s="15"/>
      <c r="PCZ57" s="15"/>
      <c r="PDA57" s="15"/>
      <c r="PDB57" s="15"/>
      <c r="PDC57" s="15"/>
      <c r="PDD57" s="15"/>
      <c r="PDE57" s="15"/>
      <c r="PDF57" s="15"/>
      <c r="PDG57" s="15"/>
      <c r="PDH57" s="15"/>
      <c r="PDI57" s="15"/>
      <c r="PDJ57" s="15"/>
      <c r="PDK57" s="15"/>
      <c r="PDL57" s="15"/>
      <c r="PDM57" s="15"/>
      <c r="PDN57" s="15"/>
      <c r="PDO57" s="15"/>
      <c r="PDP57" s="15"/>
      <c r="PDQ57" s="15"/>
      <c r="PDR57" s="15"/>
      <c r="PDS57" s="15"/>
      <c r="PDT57" s="15"/>
      <c r="PDU57" s="15"/>
      <c r="PDV57" s="15"/>
      <c r="PDW57" s="15"/>
      <c r="PDX57" s="15"/>
      <c r="PDY57" s="15"/>
      <c r="PDZ57" s="15"/>
      <c r="PEA57" s="15"/>
      <c r="PEB57" s="15"/>
      <c r="PEC57" s="15"/>
      <c r="PED57" s="15"/>
      <c r="PEE57" s="15"/>
      <c r="PEF57" s="15"/>
      <c r="PEG57" s="15"/>
      <c r="PEH57" s="15"/>
      <c r="PEI57" s="15"/>
      <c r="PEJ57" s="15"/>
      <c r="PEK57" s="15"/>
      <c r="PEL57" s="15"/>
      <c r="PEM57" s="15"/>
      <c r="PEN57" s="15"/>
      <c r="PEO57" s="15"/>
      <c r="PEP57" s="15"/>
      <c r="PEQ57" s="15"/>
      <c r="PER57" s="15"/>
      <c r="PES57" s="15"/>
      <c r="PET57" s="15"/>
      <c r="PEU57" s="15"/>
      <c r="PEV57" s="15"/>
      <c r="PEW57" s="15"/>
      <c r="PEX57" s="15"/>
      <c r="PEY57" s="15"/>
      <c r="PEZ57" s="15"/>
      <c r="PFA57" s="15"/>
      <c r="PFB57" s="15"/>
      <c r="PFC57" s="15"/>
      <c r="PFD57" s="15"/>
      <c r="PFE57" s="15"/>
      <c r="PFF57" s="15"/>
      <c r="PFG57" s="15"/>
      <c r="PFH57" s="15"/>
      <c r="PFI57" s="15"/>
      <c r="PFJ57" s="15"/>
      <c r="PFK57" s="15"/>
      <c r="PFL57" s="15"/>
      <c r="PFM57" s="15"/>
      <c r="PFN57" s="15"/>
      <c r="PFO57" s="15"/>
      <c r="PFP57" s="15"/>
      <c r="PFQ57" s="15"/>
      <c r="PFR57" s="15"/>
      <c r="PFS57" s="15"/>
      <c r="PFT57" s="15"/>
      <c r="PFU57" s="15"/>
      <c r="PFV57" s="15"/>
      <c r="PFW57" s="15"/>
      <c r="PFX57" s="15"/>
      <c r="PFY57" s="15"/>
      <c r="PFZ57" s="15"/>
      <c r="PGA57" s="15"/>
      <c r="PGB57" s="15"/>
      <c r="PGC57" s="15"/>
      <c r="PGD57" s="15"/>
      <c r="PGE57" s="15"/>
      <c r="PGF57" s="15"/>
      <c r="PGG57" s="15"/>
      <c r="PGH57" s="15"/>
      <c r="PGI57" s="15"/>
      <c r="PGJ57" s="15"/>
      <c r="PGK57" s="15"/>
      <c r="PGL57" s="15"/>
      <c r="PGM57" s="15"/>
      <c r="PGN57" s="15"/>
      <c r="PGO57" s="15"/>
      <c r="PGP57" s="15"/>
      <c r="PGQ57" s="15"/>
      <c r="PGR57" s="15"/>
      <c r="PGS57" s="15"/>
      <c r="PGT57" s="15"/>
      <c r="PGU57" s="15"/>
      <c r="PGV57" s="15"/>
      <c r="PGW57" s="15"/>
      <c r="PGX57" s="15"/>
      <c r="PGY57" s="15"/>
      <c r="PGZ57" s="15"/>
      <c r="PHA57" s="15"/>
      <c r="PHB57" s="15"/>
      <c r="PHC57" s="15"/>
      <c r="PHD57" s="15"/>
      <c r="PHE57" s="15"/>
      <c r="PHF57" s="15"/>
      <c r="PHG57" s="15"/>
      <c r="PHH57" s="15"/>
      <c r="PHI57" s="15"/>
      <c r="PHJ57" s="15"/>
      <c r="PHK57" s="15"/>
      <c r="PHL57" s="15"/>
      <c r="PHM57" s="15"/>
      <c r="PHN57" s="15"/>
      <c r="PHO57" s="15"/>
      <c r="PHP57" s="15"/>
      <c r="PHQ57" s="15"/>
      <c r="PHR57" s="15"/>
      <c r="PHS57" s="15"/>
      <c r="PHT57" s="15"/>
      <c r="PHU57" s="15"/>
      <c r="PHV57" s="15"/>
      <c r="PHW57" s="15"/>
      <c r="PHX57" s="15"/>
      <c r="PHY57" s="15"/>
      <c r="PHZ57" s="15"/>
      <c r="PIA57" s="15"/>
      <c r="PIB57" s="15"/>
      <c r="PIC57" s="15"/>
      <c r="PID57" s="15"/>
      <c r="PIE57" s="15"/>
      <c r="PIF57" s="15"/>
      <c r="PIG57" s="15"/>
      <c r="PIH57" s="15"/>
      <c r="PII57" s="15"/>
      <c r="PIJ57" s="15"/>
      <c r="PIK57" s="15"/>
      <c r="PIL57" s="15"/>
      <c r="PIM57" s="15"/>
      <c r="PIN57" s="15"/>
      <c r="PIO57" s="15"/>
      <c r="PIP57" s="15"/>
      <c r="PIQ57" s="15"/>
      <c r="PIR57" s="15"/>
      <c r="PIS57" s="15"/>
      <c r="PIT57" s="15"/>
      <c r="PIU57" s="15"/>
      <c r="PIV57" s="15"/>
      <c r="PIW57" s="15"/>
      <c r="PIX57" s="15"/>
      <c r="PIY57" s="15"/>
      <c r="PIZ57" s="15"/>
      <c r="PJA57" s="15"/>
      <c r="PJB57" s="15"/>
      <c r="PJC57" s="15"/>
      <c r="PJD57" s="15"/>
      <c r="PJE57" s="15"/>
      <c r="PJF57" s="15"/>
      <c r="PJG57" s="15"/>
      <c r="PJH57" s="15"/>
      <c r="PJI57" s="15"/>
      <c r="PJJ57" s="15"/>
      <c r="PJK57" s="15"/>
      <c r="PJL57" s="15"/>
      <c r="PJM57" s="15"/>
      <c r="PJN57" s="15"/>
      <c r="PJO57" s="15"/>
      <c r="PJP57" s="15"/>
      <c r="PJQ57" s="15"/>
      <c r="PJR57" s="15"/>
      <c r="PJS57" s="15"/>
      <c r="PJT57" s="15"/>
      <c r="PJU57" s="15"/>
      <c r="PJV57" s="15"/>
      <c r="PJW57" s="15"/>
      <c r="PJX57" s="15"/>
      <c r="PJY57" s="15"/>
      <c r="PJZ57" s="15"/>
      <c r="PKA57" s="15"/>
      <c r="PKB57" s="15"/>
      <c r="PKC57" s="15"/>
      <c r="PKD57" s="15"/>
      <c r="PKE57" s="15"/>
      <c r="PKF57" s="15"/>
      <c r="PKG57" s="15"/>
      <c r="PKH57" s="15"/>
      <c r="PKI57" s="15"/>
      <c r="PKJ57" s="15"/>
      <c r="PKK57" s="15"/>
      <c r="PKL57" s="15"/>
      <c r="PKM57" s="15"/>
      <c r="PKN57" s="15"/>
      <c r="PKO57" s="15"/>
      <c r="PKP57" s="15"/>
      <c r="PKQ57" s="15"/>
      <c r="PKR57" s="15"/>
      <c r="PKS57" s="15"/>
      <c r="PKT57" s="15"/>
      <c r="PKU57" s="15"/>
      <c r="PKV57" s="15"/>
      <c r="PKW57" s="15"/>
      <c r="PKX57" s="15"/>
      <c r="PKY57" s="15"/>
      <c r="PKZ57" s="15"/>
      <c r="PLA57" s="15"/>
      <c r="PLB57" s="15"/>
      <c r="PLC57" s="15"/>
      <c r="PLD57" s="15"/>
      <c r="PLE57" s="15"/>
      <c r="PLF57" s="15"/>
      <c r="PLG57" s="15"/>
      <c r="PLH57" s="15"/>
      <c r="PLI57" s="15"/>
      <c r="PLJ57" s="15"/>
      <c r="PLK57" s="15"/>
      <c r="PLL57" s="15"/>
      <c r="PLM57" s="15"/>
      <c r="PLN57" s="15"/>
      <c r="PLO57" s="15"/>
      <c r="PLP57" s="15"/>
      <c r="PLQ57" s="15"/>
      <c r="PLR57" s="15"/>
      <c r="PLS57" s="15"/>
      <c r="PLT57" s="15"/>
      <c r="PLU57" s="15"/>
      <c r="PLV57" s="15"/>
      <c r="PLW57" s="15"/>
      <c r="PLX57" s="15"/>
      <c r="PLY57" s="15"/>
      <c r="PLZ57" s="15"/>
      <c r="PMA57" s="15"/>
      <c r="PMB57" s="15"/>
      <c r="PMC57" s="15"/>
      <c r="PMD57" s="15"/>
      <c r="PME57" s="15"/>
      <c r="PMF57" s="15"/>
      <c r="PMG57" s="15"/>
      <c r="PMH57" s="15"/>
      <c r="PMI57" s="15"/>
      <c r="PMJ57" s="15"/>
      <c r="PMK57" s="15"/>
      <c r="PML57" s="15"/>
      <c r="PMM57" s="15"/>
      <c r="PMN57" s="15"/>
      <c r="PMO57" s="15"/>
      <c r="PMP57" s="15"/>
      <c r="PMQ57" s="15"/>
      <c r="PMR57" s="15"/>
      <c r="PMS57" s="15"/>
      <c r="PMT57" s="15"/>
      <c r="PMU57" s="15"/>
      <c r="PMV57" s="15"/>
      <c r="PMW57" s="15"/>
      <c r="PMX57" s="15"/>
      <c r="PMY57" s="15"/>
      <c r="PMZ57" s="15"/>
      <c r="PNA57" s="15"/>
      <c r="PNB57" s="15"/>
      <c r="PNC57" s="15"/>
      <c r="PND57" s="15"/>
      <c r="PNE57" s="15"/>
      <c r="PNF57" s="15"/>
      <c r="PNG57" s="15"/>
      <c r="PNH57" s="15"/>
      <c r="PNI57" s="15"/>
      <c r="PNJ57" s="15"/>
      <c r="PNK57" s="15"/>
      <c r="PNL57" s="15"/>
      <c r="PNM57" s="15"/>
      <c r="PNN57" s="15"/>
      <c r="PNO57" s="15"/>
      <c r="PNP57" s="15"/>
      <c r="PNQ57" s="15"/>
      <c r="PNR57" s="15"/>
      <c r="PNS57" s="15"/>
      <c r="PNT57" s="15"/>
      <c r="PNU57" s="15"/>
      <c r="PNV57" s="15"/>
      <c r="PNW57" s="15"/>
      <c r="PNX57" s="15"/>
      <c r="PNY57" s="15"/>
      <c r="PNZ57" s="15"/>
      <c r="POA57" s="15"/>
      <c r="POB57" s="15"/>
      <c r="POC57" s="15"/>
      <c r="POD57" s="15"/>
      <c r="POE57" s="15"/>
      <c r="POF57" s="15"/>
      <c r="POG57" s="15"/>
      <c r="POH57" s="15"/>
      <c r="POI57" s="15"/>
      <c r="POJ57" s="15"/>
      <c r="POK57" s="15"/>
      <c r="POL57" s="15"/>
      <c r="POM57" s="15"/>
      <c r="PON57" s="15"/>
      <c r="POO57" s="15"/>
      <c r="POP57" s="15"/>
      <c r="POQ57" s="15"/>
      <c r="POR57" s="15"/>
      <c r="POS57" s="15"/>
      <c r="POT57" s="15"/>
      <c r="POU57" s="15"/>
      <c r="POV57" s="15"/>
      <c r="POW57" s="15"/>
      <c r="POX57" s="15"/>
      <c r="POY57" s="15"/>
      <c r="POZ57" s="15"/>
      <c r="PPA57" s="15"/>
      <c r="PPB57" s="15"/>
      <c r="PPC57" s="15"/>
      <c r="PPD57" s="15"/>
      <c r="PPE57" s="15"/>
      <c r="PPF57" s="15"/>
      <c r="PPG57" s="15"/>
      <c r="PPH57" s="15"/>
      <c r="PPI57" s="15"/>
      <c r="PPJ57" s="15"/>
      <c r="PPK57" s="15"/>
      <c r="PPL57" s="15"/>
      <c r="PPM57" s="15"/>
      <c r="PPN57" s="15"/>
      <c r="PPO57" s="15"/>
      <c r="PPP57" s="15"/>
      <c r="PPQ57" s="15"/>
      <c r="PPR57" s="15"/>
      <c r="PPS57" s="15"/>
      <c r="PPT57" s="15"/>
      <c r="PPU57" s="15"/>
      <c r="PPV57" s="15"/>
      <c r="PPW57" s="15"/>
      <c r="PPX57" s="15"/>
      <c r="PPY57" s="15"/>
      <c r="PPZ57" s="15"/>
      <c r="PQA57" s="15"/>
      <c r="PQB57" s="15"/>
      <c r="PQC57" s="15"/>
      <c r="PQD57" s="15"/>
      <c r="PQE57" s="15"/>
      <c r="PQF57" s="15"/>
      <c r="PQG57" s="15"/>
      <c r="PQH57" s="15"/>
      <c r="PQI57" s="15"/>
      <c r="PQJ57" s="15"/>
      <c r="PQK57" s="15"/>
      <c r="PQL57" s="15"/>
      <c r="PQM57" s="15"/>
      <c r="PQN57" s="15"/>
      <c r="PQO57" s="15"/>
      <c r="PQP57" s="15"/>
      <c r="PQQ57" s="15"/>
      <c r="PQR57" s="15"/>
      <c r="PQS57" s="15"/>
      <c r="PQT57" s="15"/>
      <c r="PQU57" s="15"/>
      <c r="PQV57" s="15"/>
      <c r="PQW57" s="15"/>
      <c r="PQX57" s="15"/>
      <c r="PQY57" s="15"/>
      <c r="PQZ57" s="15"/>
      <c r="PRA57" s="15"/>
      <c r="PRB57" s="15"/>
      <c r="PRC57" s="15"/>
      <c r="PRD57" s="15"/>
      <c r="PRE57" s="15"/>
      <c r="PRF57" s="15"/>
      <c r="PRG57" s="15"/>
      <c r="PRH57" s="15"/>
      <c r="PRI57" s="15"/>
      <c r="PRJ57" s="15"/>
      <c r="PRK57" s="15"/>
      <c r="PRL57" s="15"/>
      <c r="PRM57" s="15"/>
      <c r="PRN57" s="15"/>
      <c r="PRO57" s="15"/>
      <c r="PRP57" s="15"/>
      <c r="PRQ57" s="15"/>
      <c r="PRR57" s="15"/>
      <c r="PRS57" s="15"/>
      <c r="PRT57" s="15"/>
      <c r="PRU57" s="15"/>
      <c r="PRV57" s="15"/>
      <c r="PRW57" s="15"/>
      <c r="PRX57" s="15"/>
      <c r="PRY57" s="15"/>
      <c r="PRZ57" s="15"/>
      <c r="PSA57" s="15"/>
      <c r="PSB57" s="15"/>
      <c r="PSC57" s="15"/>
      <c r="PSD57" s="15"/>
      <c r="PSE57" s="15"/>
      <c r="PSF57" s="15"/>
      <c r="PSG57" s="15"/>
      <c r="PSH57" s="15"/>
      <c r="PSI57" s="15"/>
      <c r="PSJ57" s="15"/>
      <c r="PSK57" s="15"/>
      <c r="PSL57" s="15"/>
      <c r="PSM57" s="15"/>
      <c r="PSN57" s="15"/>
      <c r="PSO57" s="15"/>
      <c r="PSP57" s="15"/>
      <c r="PSQ57" s="15"/>
      <c r="PSR57" s="15"/>
      <c r="PSS57" s="15"/>
      <c r="PST57" s="15"/>
      <c r="PSU57" s="15"/>
      <c r="PSV57" s="15"/>
      <c r="PSW57" s="15"/>
      <c r="PSX57" s="15"/>
      <c r="PSY57" s="15"/>
      <c r="PSZ57" s="15"/>
      <c r="PTA57" s="15"/>
      <c r="PTB57" s="15"/>
      <c r="PTC57" s="15"/>
      <c r="PTD57" s="15"/>
      <c r="PTE57" s="15"/>
      <c r="PTF57" s="15"/>
      <c r="PTG57" s="15"/>
      <c r="PTH57" s="15"/>
      <c r="PTI57" s="15"/>
      <c r="PTJ57" s="15"/>
      <c r="PTK57" s="15"/>
      <c r="PTL57" s="15"/>
      <c r="PTM57" s="15"/>
      <c r="PTN57" s="15"/>
      <c r="PTO57" s="15"/>
      <c r="PTP57" s="15"/>
      <c r="PTQ57" s="15"/>
      <c r="PTR57" s="15"/>
      <c r="PTS57" s="15"/>
      <c r="PTT57" s="15"/>
      <c r="PTU57" s="15"/>
      <c r="PTV57" s="15"/>
      <c r="PTW57" s="15"/>
      <c r="PTX57" s="15"/>
      <c r="PTY57" s="15"/>
      <c r="PTZ57" s="15"/>
      <c r="PUA57" s="15"/>
      <c r="PUB57" s="15"/>
      <c r="PUC57" s="15"/>
      <c r="PUD57" s="15"/>
      <c r="PUE57" s="15"/>
      <c r="PUF57" s="15"/>
      <c r="PUG57" s="15"/>
      <c r="PUH57" s="15"/>
      <c r="PUI57" s="15"/>
      <c r="PUJ57" s="15"/>
      <c r="PUK57" s="15"/>
      <c r="PUL57" s="15"/>
      <c r="PUM57" s="15"/>
      <c r="PUN57" s="15"/>
      <c r="PUO57" s="15"/>
      <c r="PUP57" s="15"/>
      <c r="PUQ57" s="15"/>
      <c r="PUR57" s="15"/>
      <c r="PUS57" s="15"/>
      <c r="PUT57" s="15"/>
      <c r="PUU57" s="15"/>
      <c r="PUV57" s="15"/>
      <c r="PUW57" s="15"/>
      <c r="PUX57" s="15"/>
      <c r="PUY57" s="15"/>
      <c r="PUZ57" s="15"/>
      <c r="PVA57" s="15"/>
      <c r="PVB57" s="15"/>
      <c r="PVC57" s="15"/>
      <c r="PVD57" s="15"/>
      <c r="PVE57" s="15"/>
      <c r="PVF57" s="15"/>
      <c r="PVG57" s="15"/>
      <c r="PVH57" s="15"/>
      <c r="PVI57" s="15"/>
      <c r="PVJ57" s="15"/>
      <c r="PVK57" s="15"/>
      <c r="PVL57" s="15"/>
      <c r="PVM57" s="15"/>
      <c r="PVN57" s="15"/>
      <c r="PVO57" s="15"/>
      <c r="PVP57" s="15"/>
      <c r="PVQ57" s="15"/>
      <c r="PVR57" s="15"/>
      <c r="PVS57" s="15"/>
      <c r="PVT57" s="15"/>
      <c r="PVU57" s="15"/>
      <c r="PVV57" s="15"/>
      <c r="PVW57" s="15"/>
      <c r="PVX57" s="15"/>
      <c r="PVY57" s="15"/>
      <c r="PVZ57" s="15"/>
      <c r="PWA57" s="15"/>
      <c r="PWB57" s="15"/>
      <c r="PWC57" s="15"/>
      <c r="PWD57" s="15"/>
      <c r="PWE57" s="15"/>
      <c r="PWF57" s="15"/>
      <c r="PWG57" s="15"/>
      <c r="PWH57" s="15"/>
      <c r="PWI57" s="15"/>
      <c r="PWJ57" s="15"/>
      <c r="PWK57" s="15"/>
      <c r="PWL57" s="15"/>
      <c r="PWM57" s="15"/>
      <c r="PWN57" s="15"/>
      <c r="PWO57" s="15"/>
      <c r="PWP57" s="15"/>
      <c r="PWQ57" s="15"/>
      <c r="PWR57" s="15"/>
      <c r="PWS57" s="15"/>
      <c r="PWT57" s="15"/>
      <c r="PWU57" s="15"/>
      <c r="PWV57" s="15"/>
      <c r="PWW57" s="15"/>
      <c r="PWX57" s="15"/>
      <c r="PWY57" s="15"/>
      <c r="PWZ57" s="15"/>
      <c r="PXA57" s="15"/>
      <c r="PXB57" s="15"/>
      <c r="PXC57" s="15"/>
      <c r="PXD57" s="15"/>
      <c r="PXE57" s="15"/>
      <c r="PXF57" s="15"/>
      <c r="PXG57" s="15"/>
      <c r="PXH57" s="15"/>
      <c r="PXI57" s="15"/>
      <c r="PXJ57" s="15"/>
      <c r="PXK57" s="15"/>
      <c r="PXL57" s="15"/>
      <c r="PXM57" s="15"/>
      <c r="PXN57" s="15"/>
      <c r="PXO57" s="15"/>
      <c r="PXP57" s="15"/>
      <c r="PXQ57" s="15"/>
      <c r="PXR57" s="15"/>
      <c r="PXS57" s="15"/>
      <c r="PXT57" s="15"/>
      <c r="PXU57" s="15"/>
      <c r="PXV57" s="15"/>
      <c r="PXW57" s="15"/>
      <c r="PXX57" s="15"/>
      <c r="PXY57" s="15"/>
      <c r="PXZ57" s="15"/>
      <c r="PYA57" s="15"/>
      <c r="PYB57" s="15"/>
      <c r="PYC57" s="15"/>
      <c r="PYD57" s="15"/>
      <c r="PYE57" s="15"/>
      <c r="PYF57" s="15"/>
      <c r="PYG57" s="15"/>
      <c r="PYH57" s="15"/>
      <c r="PYI57" s="15"/>
      <c r="PYJ57" s="15"/>
      <c r="PYK57" s="15"/>
      <c r="PYL57" s="15"/>
      <c r="PYM57" s="15"/>
      <c r="PYN57" s="15"/>
      <c r="PYO57" s="15"/>
      <c r="PYP57" s="15"/>
      <c r="PYQ57" s="15"/>
      <c r="PYR57" s="15"/>
      <c r="PYS57" s="15"/>
      <c r="PYT57" s="15"/>
      <c r="PYU57" s="15"/>
      <c r="PYV57" s="15"/>
      <c r="PYW57" s="15"/>
      <c r="PYX57" s="15"/>
      <c r="PYY57" s="15"/>
      <c r="PYZ57" s="15"/>
      <c r="PZA57" s="15"/>
      <c r="PZB57" s="15"/>
      <c r="PZC57" s="15"/>
      <c r="PZD57" s="15"/>
      <c r="PZE57" s="15"/>
      <c r="PZF57" s="15"/>
      <c r="PZG57" s="15"/>
      <c r="PZH57" s="15"/>
      <c r="PZI57" s="15"/>
      <c r="PZJ57" s="15"/>
      <c r="PZK57" s="15"/>
      <c r="PZL57" s="15"/>
      <c r="PZM57" s="15"/>
      <c r="PZN57" s="15"/>
      <c r="PZO57" s="15"/>
      <c r="PZP57" s="15"/>
      <c r="PZQ57" s="15"/>
      <c r="PZR57" s="15"/>
      <c r="PZS57" s="15"/>
      <c r="PZT57" s="15"/>
      <c r="PZU57" s="15"/>
      <c r="PZV57" s="15"/>
      <c r="PZW57" s="15"/>
      <c r="PZX57" s="15"/>
      <c r="PZY57" s="15"/>
      <c r="PZZ57" s="15"/>
      <c r="QAA57" s="15"/>
      <c r="QAB57" s="15"/>
      <c r="QAC57" s="15"/>
      <c r="QAD57" s="15"/>
      <c r="QAE57" s="15"/>
      <c r="QAF57" s="15"/>
      <c r="QAG57" s="15"/>
      <c r="QAH57" s="15"/>
      <c r="QAI57" s="15"/>
      <c r="QAJ57" s="15"/>
      <c r="QAK57" s="15"/>
      <c r="QAL57" s="15"/>
      <c r="QAM57" s="15"/>
      <c r="QAN57" s="15"/>
      <c r="QAO57" s="15"/>
      <c r="QAP57" s="15"/>
      <c r="QAQ57" s="15"/>
      <c r="QAR57" s="15"/>
      <c r="QAS57" s="15"/>
      <c r="QAT57" s="15"/>
      <c r="QAU57" s="15"/>
      <c r="QAV57" s="15"/>
      <c r="QAW57" s="15"/>
      <c r="QAX57" s="15"/>
      <c r="QAY57" s="15"/>
      <c r="QAZ57" s="15"/>
      <c r="QBA57" s="15"/>
      <c r="QBB57" s="15"/>
      <c r="QBC57" s="15"/>
      <c r="QBD57" s="15"/>
      <c r="QBE57" s="15"/>
      <c r="QBF57" s="15"/>
      <c r="QBG57" s="15"/>
      <c r="QBH57" s="15"/>
      <c r="QBI57" s="15"/>
      <c r="QBJ57" s="15"/>
      <c r="QBK57" s="15"/>
      <c r="QBL57" s="15"/>
      <c r="QBM57" s="15"/>
      <c r="QBN57" s="15"/>
      <c r="QBO57" s="15"/>
      <c r="QBP57" s="15"/>
      <c r="QBQ57" s="15"/>
      <c r="QBR57" s="15"/>
      <c r="QBS57" s="15"/>
      <c r="QBT57" s="15"/>
      <c r="QBU57" s="15"/>
      <c r="QBV57" s="15"/>
      <c r="QBW57" s="15"/>
      <c r="QBX57" s="15"/>
      <c r="QBY57" s="15"/>
      <c r="QBZ57" s="15"/>
      <c r="QCA57" s="15"/>
      <c r="QCB57" s="15"/>
      <c r="QCC57" s="15"/>
      <c r="QCD57" s="15"/>
      <c r="QCE57" s="15"/>
      <c r="QCF57" s="15"/>
      <c r="QCG57" s="15"/>
      <c r="QCH57" s="15"/>
      <c r="QCI57" s="15"/>
      <c r="QCJ57" s="15"/>
      <c r="QCK57" s="15"/>
      <c r="QCL57" s="15"/>
      <c r="QCM57" s="15"/>
      <c r="QCN57" s="15"/>
      <c r="QCO57" s="15"/>
      <c r="QCP57" s="15"/>
      <c r="QCQ57" s="15"/>
      <c r="QCR57" s="15"/>
      <c r="QCS57" s="15"/>
      <c r="QCT57" s="15"/>
      <c r="QCU57" s="15"/>
      <c r="QCV57" s="15"/>
      <c r="QCW57" s="15"/>
      <c r="QCX57" s="15"/>
      <c r="QCY57" s="15"/>
      <c r="QCZ57" s="15"/>
      <c r="QDA57" s="15"/>
      <c r="QDB57" s="15"/>
      <c r="QDC57" s="15"/>
      <c r="QDD57" s="15"/>
      <c r="QDE57" s="15"/>
      <c r="QDF57" s="15"/>
      <c r="QDG57" s="15"/>
      <c r="QDH57" s="15"/>
      <c r="QDI57" s="15"/>
      <c r="QDJ57" s="15"/>
      <c r="QDK57" s="15"/>
      <c r="QDL57" s="15"/>
      <c r="QDM57" s="15"/>
      <c r="QDN57" s="15"/>
      <c r="QDO57" s="15"/>
      <c r="QDP57" s="15"/>
      <c r="QDQ57" s="15"/>
      <c r="QDR57" s="15"/>
      <c r="QDS57" s="15"/>
      <c r="QDT57" s="15"/>
      <c r="QDU57" s="15"/>
      <c r="QDV57" s="15"/>
      <c r="QDW57" s="15"/>
      <c r="QDX57" s="15"/>
      <c r="QDY57" s="15"/>
      <c r="QDZ57" s="15"/>
      <c r="QEA57" s="15"/>
      <c r="QEB57" s="15"/>
      <c r="QEC57" s="15"/>
      <c r="QED57" s="15"/>
      <c r="QEE57" s="15"/>
      <c r="QEF57" s="15"/>
      <c r="QEG57" s="15"/>
      <c r="QEH57" s="15"/>
      <c r="QEI57" s="15"/>
      <c r="QEJ57" s="15"/>
      <c r="QEK57" s="15"/>
      <c r="QEL57" s="15"/>
      <c r="QEM57" s="15"/>
      <c r="QEN57" s="15"/>
      <c r="QEO57" s="15"/>
      <c r="QEP57" s="15"/>
      <c r="QEQ57" s="15"/>
      <c r="QER57" s="15"/>
      <c r="QES57" s="15"/>
      <c r="QET57" s="15"/>
      <c r="QEU57" s="15"/>
      <c r="QEV57" s="15"/>
      <c r="QEW57" s="15"/>
      <c r="QEX57" s="15"/>
      <c r="QEY57" s="15"/>
      <c r="QEZ57" s="15"/>
      <c r="QFA57" s="15"/>
      <c r="QFB57" s="15"/>
      <c r="QFC57" s="15"/>
      <c r="QFD57" s="15"/>
      <c r="QFE57" s="15"/>
      <c r="QFF57" s="15"/>
      <c r="QFG57" s="15"/>
      <c r="QFH57" s="15"/>
      <c r="QFI57" s="15"/>
      <c r="QFJ57" s="15"/>
      <c r="QFK57" s="15"/>
      <c r="QFL57" s="15"/>
      <c r="QFM57" s="15"/>
      <c r="QFN57" s="15"/>
      <c r="QFO57" s="15"/>
      <c r="QFP57" s="15"/>
      <c r="QFQ57" s="15"/>
      <c r="QFR57" s="15"/>
      <c r="QFS57" s="15"/>
      <c r="QFT57" s="15"/>
      <c r="QFU57" s="15"/>
      <c r="QFV57" s="15"/>
      <c r="QFW57" s="15"/>
      <c r="QFX57" s="15"/>
      <c r="QFY57" s="15"/>
      <c r="QFZ57" s="15"/>
      <c r="QGA57" s="15"/>
      <c r="QGB57" s="15"/>
      <c r="QGC57" s="15"/>
      <c r="QGD57" s="15"/>
      <c r="QGE57" s="15"/>
      <c r="QGF57" s="15"/>
      <c r="QGG57" s="15"/>
      <c r="QGH57" s="15"/>
      <c r="QGI57" s="15"/>
      <c r="QGJ57" s="15"/>
      <c r="QGK57" s="15"/>
      <c r="QGL57" s="15"/>
      <c r="QGM57" s="15"/>
      <c r="QGN57" s="15"/>
      <c r="QGO57" s="15"/>
      <c r="QGP57" s="15"/>
      <c r="QGQ57" s="15"/>
      <c r="QGR57" s="15"/>
      <c r="QGS57" s="15"/>
      <c r="QGT57" s="15"/>
      <c r="QGU57" s="15"/>
      <c r="QGV57" s="15"/>
      <c r="QGW57" s="15"/>
      <c r="QGX57" s="15"/>
      <c r="QGY57" s="15"/>
      <c r="QGZ57" s="15"/>
      <c r="QHA57" s="15"/>
      <c r="QHB57" s="15"/>
      <c r="QHC57" s="15"/>
      <c r="QHD57" s="15"/>
      <c r="QHE57" s="15"/>
      <c r="QHF57" s="15"/>
      <c r="QHG57" s="15"/>
      <c r="QHH57" s="15"/>
      <c r="QHI57" s="15"/>
      <c r="QHJ57" s="15"/>
      <c r="QHK57" s="15"/>
      <c r="QHL57" s="15"/>
      <c r="QHM57" s="15"/>
      <c r="QHN57" s="15"/>
      <c r="QHO57" s="15"/>
      <c r="QHP57" s="15"/>
      <c r="QHQ57" s="15"/>
      <c r="QHR57" s="15"/>
      <c r="QHS57" s="15"/>
      <c r="QHT57" s="15"/>
      <c r="QHU57" s="15"/>
      <c r="QHV57" s="15"/>
      <c r="QHW57" s="15"/>
      <c r="QHX57" s="15"/>
      <c r="QHY57" s="15"/>
      <c r="QHZ57" s="15"/>
      <c r="QIA57" s="15"/>
      <c r="QIB57" s="15"/>
      <c r="QIC57" s="15"/>
      <c r="QID57" s="15"/>
      <c r="QIE57" s="15"/>
      <c r="QIF57" s="15"/>
      <c r="QIG57" s="15"/>
      <c r="QIH57" s="15"/>
      <c r="QII57" s="15"/>
      <c r="QIJ57" s="15"/>
      <c r="QIK57" s="15"/>
      <c r="QIL57" s="15"/>
      <c r="QIM57" s="15"/>
      <c r="QIN57" s="15"/>
      <c r="QIO57" s="15"/>
      <c r="QIP57" s="15"/>
      <c r="QIQ57" s="15"/>
      <c r="QIR57" s="15"/>
      <c r="QIS57" s="15"/>
      <c r="QIT57" s="15"/>
      <c r="QIU57" s="15"/>
      <c r="QIV57" s="15"/>
      <c r="QIW57" s="15"/>
      <c r="QIX57" s="15"/>
      <c r="QIY57" s="15"/>
      <c r="QIZ57" s="15"/>
      <c r="QJA57" s="15"/>
      <c r="QJB57" s="15"/>
      <c r="QJC57" s="15"/>
      <c r="QJD57" s="15"/>
      <c r="QJE57" s="15"/>
      <c r="QJF57" s="15"/>
      <c r="QJG57" s="15"/>
      <c r="QJH57" s="15"/>
      <c r="QJI57" s="15"/>
      <c r="QJJ57" s="15"/>
      <c r="QJK57" s="15"/>
      <c r="QJL57" s="15"/>
      <c r="QJM57" s="15"/>
      <c r="QJN57" s="15"/>
      <c r="QJO57" s="15"/>
      <c r="QJP57" s="15"/>
      <c r="QJQ57" s="15"/>
      <c r="QJR57" s="15"/>
      <c r="QJS57" s="15"/>
      <c r="QJT57" s="15"/>
      <c r="QJU57" s="15"/>
      <c r="QJV57" s="15"/>
      <c r="QJW57" s="15"/>
      <c r="QJX57" s="15"/>
      <c r="QJY57" s="15"/>
      <c r="QJZ57" s="15"/>
      <c r="QKA57" s="15"/>
      <c r="QKB57" s="15"/>
      <c r="QKC57" s="15"/>
      <c r="QKD57" s="15"/>
      <c r="QKE57" s="15"/>
      <c r="QKF57" s="15"/>
      <c r="QKG57" s="15"/>
      <c r="QKH57" s="15"/>
      <c r="QKI57" s="15"/>
      <c r="QKJ57" s="15"/>
      <c r="QKK57" s="15"/>
      <c r="QKL57" s="15"/>
      <c r="QKM57" s="15"/>
      <c r="QKN57" s="15"/>
      <c r="QKO57" s="15"/>
      <c r="QKP57" s="15"/>
      <c r="QKQ57" s="15"/>
      <c r="QKR57" s="15"/>
      <c r="QKS57" s="15"/>
      <c r="QKT57" s="15"/>
      <c r="QKU57" s="15"/>
      <c r="QKV57" s="15"/>
      <c r="QKW57" s="15"/>
      <c r="QKX57" s="15"/>
      <c r="QKY57" s="15"/>
      <c r="QKZ57" s="15"/>
      <c r="QLA57" s="15"/>
      <c r="QLB57" s="15"/>
      <c r="QLC57" s="15"/>
      <c r="QLD57" s="15"/>
      <c r="QLE57" s="15"/>
      <c r="QLF57" s="15"/>
      <c r="QLG57" s="15"/>
      <c r="QLH57" s="15"/>
      <c r="QLI57" s="15"/>
      <c r="QLJ57" s="15"/>
      <c r="QLK57" s="15"/>
      <c r="QLL57" s="15"/>
      <c r="QLM57" s="15"/>
      <c r="QLN57" s="15"/>
      <c r="QLO57" s="15"/>
      <c r="QLP57" s="15"/>
      <c r="QLQ57" s="15"/>
      <c r="QLR57" s="15"/>
      <c r="QLS57" s="15"/>
      <c r="QLT57" s="15"/>
      <c r="QLU57" s="15"/>
      <c r="QLV57" s="15"/>
      <c r="QLW57" s="15"/>
      <c r="QLX57" s="15"/>
      <c r="QLY57" s="15"/>
      <c r="QLZ57" s="15"/>
      <c r="QMA57" s="15"/>
      <c r="QMB57" s="15"/>
      <c r="QMC57" s="15"/>
      <c r="QMD57" s="15"/>
      <c r="QME57" s="15"/>
      <c r="QMF57" s="15"/>
      <c r="QMG57" s="15"/>
      <c r="QMH57" s="15"/>
      <c r="QMI57" s="15"/>
      <c r="QMJ57" s="15"/>
      <c r="QMK57" s="15"/>
      <c r="QML57" s="15"/>
      <c r="QMM57" s="15"/>
      <c r="QMN57" s="15"/>
      <c r="QMO57" s="15"/>
      <c r="QMP57" s="15"/>
      <c r="QMQ57" s="15"/>
      <c r="QMR57" s="15"/>
      <c r="QMS57" s="15"/>
      <c r="QMT57" s="15"/>
      <c r="QMU57" s="15"/>
      <c r="QMV57" s="15"/>
      <c r="QMW57" s="15"/>
      <c r="QMX57" s="15"/>
      <c r="QMY57" s="15"/>
      <c r="QMZ57" s="15"/>
      <c r="QNA57" s="15"/>
      <c r="QNB57" s="15"/>
      <c r="QNC57" s="15"/>
      <c r="QND57" s="15"/>
      <c r="QNE57" s="15"/>
      <c r="QNF57" s="15"/>
      <c r="QNG57" s="15"/>
      <c r="QNH57" s="15"/>
      <c r="QNI57" s="15"/>
      <c r="QNJ57" s="15"/>
      <c r="QNK57" s="15"/>
      <c r="QNL57" s="15"/>
      <c r="QNM57" s="15"/>
      <c r="QNN57" s="15"/>
      <c r="QNO57" s="15"/>
      <c r="QNP57" s="15"/>
      <c r="QNQ57" s="15"/>
      <c r="QNR57" s="15"/>
      <c r="QNS57" s="15"/>
      <c r="QNT57" s="15"/>
      <c r="QNU57" s="15"/>
      <c r="QNV57" s="15"/>
      <c r="QNW57" s="15"/>
      <c r="QNX57" s="15"/>
      <c r="QNY57" s="15"/>
      <c r="QNZ57" s="15"/>
      <c r="QOA57" s="15"/>
      <c r="QOB57" s="15"/>
      <c r="QOC57" s="15"/>
      <c r="QOD57" s="15"/>
      <c r="QOE57" s="15"/>
      <c r="QOF57" s="15"/>
      <c r="QOG57" s="15"/>
      <c r="QOH57" s="15"/>
      <c r="QOI57" s="15"/>
      <c r="QOJ57" s="15"/>
      <c r="QOK57" s="15"/>
      <c r="QOL57" s="15"/>
      <c r="QOM57" s="15"/>
      <c r="QON57" s="15"/>
      <c r="QOO57" s="15"/>
      <c r="QOP57" s="15"/>
      <c r="QOQ57" s="15"/>
      <c r="QOR57" s="15"/>
      <c r="QOS57" s="15"/>
      <c r="QOT57" s="15"/>
      <c r="QOU57" s="15"/>
      <c r="QOV57" s="15"/>
      <c r="QOW57" s="15"/>
      <c r="QOX57" s="15"/>
      <c r="QOY57" s="15"/>
      <c r="QOZ57" s="15"/>
      <c r="QPA57" s="15"/>
      <c r="QPB57" s="15"/>
      <c r="QPC57" s="15"/>
      <c r="QPD57" s="15"/>
      <c r="QPE57" s="15"/>
      <c r="QPF57" s="15"/>
      <c r="QPG57" s="15"/>
      <c r="QPH57" s="15"/>
      <c r="QPI57" s="15"/>
      <c r="QPJ57" s="15"/>
      <c r="QPK57" s="15"/>
      <c r="QPL57" s="15"/>
      <c r="QPM57" s="15"/>
      <c r="QPN57" s="15"/>
      <c r="QPO57" s="15"/>
      <c r="QPP57" s="15"/>
      <c r="QPQ57" s="15"/>
      <c r="QPR57" s="15"/>
      <c r="QPS57" s="15"/>
      <c r="QPT57" s="15"/>
      <c r="QPU57" s="15"/>
      <c r="QPV57" s="15"/>
      <c r="QPW57" s="15"/>
      <c r="QPX57" s="15"/>
      <c r="QPY57" s="15"/>
      <c r="QPZ57" s="15"/>
      <c r="QQA57" s="15"/>
      <c r="QQB57" s="15"/>
      <c r="QQC57" s="15"/>
      <c r="QQD57" s="15"/>
      <c r="QQE57" s="15"/>
      <c r="QQF57" s="15"/>
      <c r="QQG57" s="15"/>
      <c r="QQH57" s="15"/>
      <c r="QQI57" s="15"/>
      <c r="QQJ57" s="15"/>
      <c r="QQK57" s="15"/>
      <c r="QQL57" s="15"/>
      <c r="QQM57" s="15"/>
      <c r="QQN57" s="15"/>
      <c r="QQO57" s="15"/>
      <c r="QQP57" s="15"/>
      <c r="QQQ57" s="15"/>
      <c r="QQR57" s="15"/>
      <c r="QQS57" s="15"/>
      <c r="QQT57" s="15"/>
      <c r="QQU57" s="15"/>
      <c r="QQV57" s="15"/>
      <c r="QQW57" s="15"/>
      <c r="QQX57" s="15"/>
      <c r="QQY57" s="15"/>
      <c r="QQZ57" s="15"/>
      <c r="QRA57" s="15"/>
      <c r="QRB57" s="15"/>
      <c r="QRC57" s="15"/>
      <c r="QRD57" s="15"/>
      <c r="QRE57" s="15"/>
      <c r="QRF57" s="15"/>
      <c r="QRG57" s="15"/>
      <c r="QRH57" s="15"/>
      <c r="QRI57" s="15"/>
      <c r="QRJ57" s="15"/>
      <c r="QRK57" s="15"/>
      <c r="QRL57" s="15"/>
      <c r="QRM57" s="15"/>
      <c r="QRN57" s="15"/>
      <c r="QRO57" s="15"/>
      <c r="QRP57" s="15"/>
      <c r="QRQ57" s="15"/>
      <c r="QRR57" s="15"/>
      <c r="QRS57" s="15"/>
      <c r="QRT57" s="15"/>
      <c r="QRU57" s="15"/>
      <c r="QRV57" s="15"/>
      <c r="QRW57" s="15"/>
      <c r="QRX57" s="15"/>
      <c r="QRY57" s="15"/>
      <c r="QRZ57" s="15"/>
      <c r="QSA57" s="15"/>
      <c r="QSB57" s="15"/>
      <c r="QSC57" s="15"/>
      <c r="QSD57" s="15"/>
      <c r="QSE57" s="15"/>
      <c r="QSF57" s="15"/>
      <c r="QSG57" s="15"/>
      <c r="QSH57" s="15"/>
      <c r="QSI57" s="15"/>
      <c r="QSJ57" s="15"/>
      <c r="QSK57" s="15"/>
      <c r="QSL57" s="15"/>
      <c r="QSM57" s="15"/>
      <c r="QSN57" s="15"/>
      <c r="QSO57" s="15"/>
      <c r="QSP57" s="15"/>
      <c r="QSQ57" s="15"/>
      <c r="QSR57" s="15"/>
      <c r="QSS57" s="15"/>
      <c r="QST57" s="15"/>
      <c r="QSU57" s="15"/>
      <c r="QSV57" s="15"/>
      <c r="QSW57" s="15"/>
      <c r="QSX57" s="15"/>
      <c r="QSY57" s="15"/>
      <c r="QSZ57" s="15"/>
      <c r="QTA57" s="15"/>
      <c r="QTB57" s="15"/>
      <c r="QTC57" s="15"/>
      <c r="QTD57" s="15"/>
      <c r="QTE57" s="15"/>
      <c r="QTF57" s="15"/>
      <c r="QTG57" s="15"/>
      <c r="QTH57" s="15"/>
      <c r="QTI57" s="15"/>
      <c r="QTJ57" s="15"/>
      <c r="QTK57" s="15"/>
      <c r="QTL57" s="15"/>
      <c r="QTM57" s="15"/>
      <c r="QTN57" s="15"/>
      <c r="QTO57" s="15"/>
      <c r="QTP57" s="15"/>
      <c r="QTQ57" s="15"/>
      <c r="QTR57" s="15"/>
      <c r="QTS57" s="15"/>
      <c r="QTT57" s="15"/>
      <c r="QTU57" s="15"/>
      <c r="QTV57" s="15"/>
      <c r="QTW57" s="15"/>
      <c r="QTX57" s="15"/>
      <c r="QTY57" s="15"/>
      <c r="QTZ57" s="15"/>
      <c r="QUA57" s="15"/>
      <c r="QUB57" s="15"/>
      <c r="QUC57" s="15"/>
      <c r="QUD57" s="15"/>
      <c r="QUE57" s="15"/>
      <c r="QUF57" s="15"/>
      <c r="QUG57" s="15"/>
      <c r="QUH57" s="15"/>
      <c r="QUI57" s="15"/>
      <c r="QUJ57" s="15"/>
      <c r="QUK57" s="15"/>
      <c r="QUL57" s="15"/>
      <c r="QUM57" s="15"/>
      <c r="QUN57" s="15"/>
      <c r="QUO57" s="15"/>
      <c r="QUP57" s="15"/>
      <c r="QUQ57" s="15"/>
      <c r="QUR57" s="15"/>
      <c r="QUS57" s="15"/>
      <c r="QUT57" s="15"/>
      <c r="QUU57" s="15"/>
      <c r="QUV57" s="15"/>
      <c r="QUW57" s="15"/>
      <c r="QUX57" s="15"/>
      <c r="QUY57" s="15"/>
      <c r="QUZ57" s="15"/>
      <c r="QVA57" s="15"/>
      <c r="QVB57" s="15"/>
      <c r="QVC57" s="15"/>
      <c r="QVD57" s="15"/>
      <c r="QVE57" s="15"/>
      <c r="QVF57" s="15"/>
      <c r="QVG57" s="15"/>
      <c r="QVH57" s="15"/>
      <c r="QVI57" s="15"/>
      <c r="QVJ57" s="15"/>
      <c r="QVK57" s="15"/>
      <c r="QVL57" s="15"/>
      <c r="QVM57" s="15"/>
      <c r="QVN57" s="15"/>
      <c r="QVO57" s="15"/>
      <c r="QVP57" s="15"/>
      <c r="QVQ57" s="15"/>
      <c r="QVR57" s="15"/>
      <c r="QVS57" s="15"/>
      <c r="QVT57" s="15"/>
      <c r="QVU57" s="15"/>
      <c r="QVV57" s="15"/>
      <c r="QVW57" s="15"/>
      <c r="QVX57" s="15"/>
      <c r="QVY57" s="15"/>
      <c r="QVZ57" s="15"/>
      <c r="QWA57" s="15"/>
      <c r="QWB57" s="15"/>
      <c r="QWC57" s="15"/>
      <c r="QWD57" s="15"/>
      <c r="QWE57" s="15"/>
      <c r="QWF57" s="15"/>
      <c r="QWG57" s="15"/>
      <c r="QWH57" s="15"/>
      <c r="QWI57" s="15"/>
      <c r="QWJ57" s="15"/>
      <c r="QWK57" s="15"/>
      <c r="QWL57" s="15"/>
      <c r="QWM57" s="15"/>
      <c r="QWN57" s="15"/>
      <c r="QWO57" s="15"/>
      <c r="QWP57" s="15"/>
      <c r="QWQ57" s="15"/>
      <c r="QWR57" s="15"/>
      <c r="QWS57" s="15"/>
      <c r="QWT57" s="15"/>
      <c r="QWU57" s="15"/>
      <c r="QWV57" s="15"/>
      <c r="QWW57" s="15"/>
      <c r="QWX57" s="15"/>
      <c r="QWY57" s="15"/>
      <c r="QWZ57" s="15"/>
      <c r="QXA57" s="15"/>
      <c r="QXB57" s="15"/>
      <c r="QXC57" s="15"/>
      <c r="QXD57" s="15"/>
      <c r="QXE57" s="15"/>
      <c r="QXF57" s="15"/>
      <c r="QXG57" s="15"/>
      <c r="QXH57" s="15"/>
      <c r="QXI57" s="15"/>
      <c r="QXJ57" s="15"/>
      <c r="QXK57" s="15"/>
      <c r="QXL57" s="15"/>
      <c r="QXM57" s="15"/>
      <c r="QXN57" s="15"/>
      <c r="QXO57" s="15"/>
      <c r="QXP57" s="15"/>
      <c r="QXQ57" s="15"/>
      <c r="QXR57" s="15"/>
      <c r="QXS57" s="15"/>
      <c r="QXT57" s="15"/>
      <c r="QXU57" s="15"/>
      <c r="QXV57" s="15"/>
      <c r="QXW57" s="15"/>
      <c r="QXX57" s="15"/>
      <c r="QXY57" s="15"/>
      <c r="QXZ57" s="15"/>
      <c r="QYA57" s="15"/>
      <c r="QYB57" s="15"/>
      <c r="QYC57" s="15"/>
      <c r="QYD57" s="15"/>
      <c r="QYE57" s="15"/>
      <c r="QYF57" s="15"/>
      <c r="QYG57" s="15"/>
      <c r="QYH57" s="15"/>
      <c r="QYI57" s="15"/>
      <c r="QYJ57" s="15"/>
      <c r="QYK57" s="15"/>
      <c r="QYL57" s="15"/>
      <c r="QYM57" s="15"/>
      <c r="QYN57" s="15"/>
      <c r="QYO57" s="15"/>
      <c r="QYP57" s="15"/>
      <c r="QYQ57" s="15"/>
      <c r="QYR57" s="15"/>
      <c r="QYS57" s="15"/>
      <c r="QYT57" s="15"/>
      <c r="QYU57" s="15"/>
      <c r="QYV57" s="15"/>
      <c r="QYW57" s="15"/>
      <c r="QYX57" s="15"/>
      <c r="QYY57" s="15"/>
      <c r="QYZ57" s="15"/>
      <c r="QZA57" s="15"/>
      <c r="QZB57" s="15"/>
      <c r="QZC57" s="15"/>
      <c r="QZD57" s="15"/>
      <c r="QZE57" s="15"/>
      <c r="QZF57" s="15"/>
      <c r="QZG57" s="15"/>
      <c r="QZH57" s="15"/>
      <c r="QZI57" s="15"/>
      <c r="QZJ57" s="15"/>
      <c r="QZK57" s="15"/>
      <c r="QZL57" s="15"/>
      <c r="QZM57" s="15"/>
      <c r="QZN57" s="15"/>
      <c r="QZO57" s="15"/>
      <c r="QZP57" s="15"/>
      <c r="QZQ57" s="15"/>
      <c r="QZR57" s="15"/>
      <c r="QZS57" s="15"/>
      <c r="QZT57" s="15"/>
      <c r="QZU57" s="15"/>
      <c r="QZV57" s="15"/>
      <c r="QZW57" s="15"/>
      <c r="QZX57" s="15"/>
      <c r="QZY57" s="15"/>
      <c r="QZZ57" s="15"/>
      <c r="RAA57" s="15"/>
      <c r="RAB57" s="15"/>
      <c r="RAC57" s="15"/>
      <c r="RAD57" s="15"/>
      <c r="RAE57" s="15"/>
      <c r="RAF57" s="15"/>
      <c r="RAG57" s="15"/>
      <c r="RAH57" s="15"/>
      <c r="RAI57" s="15"/>
      <c r="RAJ57" s="15"/>
      <c r="RAK57" s="15"/>
      <c r="RAL57" s="15"/>
      <c r="RAM57" s="15"/>
      <c r="RAN57" s="15"/>
      <c r="RAO57" s="15"/>
      <c r="RAP57" s="15"/>
      <c r="RAQ57" s="15"/>
      <c r="RAR57" s="15"/>
      <c r="RAS57" s="15"/>
      <c r="RAT57" s="15"/>
      <c r="RAU57" s="15"/>
      <c r="RAV57" s="15"/>
      <c r="RAW57" s="15"/>
      <c r="RAX57" s="15"/>
      <c r="RAY57" s="15"/>
      <c r="RAZ57" s="15"/>
      <c r="RBA57" s="15"/>
      <c r="RBB57" s="15"/>
      <c r="RBC57" s="15"/>
      <c r="RBD57" s="15"/>
      <c r="RBE57" s="15"/>
      <c r="RBF57" s="15"/>
      <c r="RBG57" s="15"/>
      <c r="RBH57" s="15"/>
      <c r="RBI57" s="15"/>
      <c r="RBJ57" s="15"/>
      <c r="RBK57" s="15"/>
      <c r="RBL57" s="15"/>
      <c r="RBM57" s="15"/>
      <c r="RBN57" s="15"/>
      <c r="RBO57" s="15"/>
      <c r="RBP57" s="15"/>
      <c r="RBQ57" s="15"/>
      <c r="RBR57" s="15"/>
      <c r="RBS57" s="15"/>
      <c r="RBT57" s="15"/>
      <c r="RBU57" s="15"/>
      <c r="RBV57" s="15"/>
      <c r="RBW57" s="15"/>
      <c r="RBX57" s="15"/>
      <c r="RBY57" s="15"/>
      <c r="RBZ57" s="15"/>
      <c r="RCA57" s="15"/>
      <c r="RCB57" s="15"/>
      <c r="RCC57" s="15"/>
      <c r="RCD57" s="15"/>
      <c r="RCE57" s="15"/>
      <c r="RCF57" s="15"/>
      <c r="RCG57" s="15"/>
      <c r="RCH57" s="15"/>
      <c r="RCI57" s="15"/>
      <c r="RCJ57" s="15"/>
      <c r="RCK57" s="15"/>
      <c r="RCL57" s="15"/>
      <c r="RCM57" s="15"/>
      <c r="RCN57" s="15"/>
      <c r="RCO57" s="15"/>
      <c r="RCP57" s="15"/>
      <c r="RCQ57" s="15"/>
      <c r="RCR57" s="15"/>
      <c r="RCS57" s="15"/>
      <c r="RCT57" s="15"/>
      <c r="RCU57" s="15"/>
      <c r="RCV57" s="15"/>
      <c r="RCW57" s="15"/>
      <c r="RCX57" s="15"/>
      <c r="RCY57" s="15"/>
      <c r="RCZ57" s="15"/>
      <c r="RDA57" s="15"/>
      <c r="RDB57" s="15"/>
      <c r="RDC57" s="15"/>
      <c r="RDD57" s="15"/>
      <c r="RDE57" s="15"/>
      <c r="RDF57" s="15"/>
      <c r="RDG57" s="15"/>
      <c r="RDH57" s="15"/>
      <c r="RDI57" s="15"/>
      <c r="RDJ57" s="15"/>
      <c r="RDK57" s="15"/>
      <c r="RDL57" s="15"/>
      <c r="RDM57" s="15"/>
      <c r="RDN57" s="15"/>
      <c r="RDO57" s="15"/>
      <c r="RDP57" s="15"/>
      <c r="RDQ57" s="15"/>
      <c r="RDR57" s="15"/>
      <c r="RDS57" s="15"/>
      <c r="RDT57" s="15"/>
      <c r="RDU57" s="15"/>
      <c r="RDV57" s="15"/>
      <c r="RDW57" s="15"/>
      <c r="RDX57" s="15"/>
      <c r="RDY57" s="15"/>
      <c r="RDZ57" s="15"/>
      <c r="REA57" s="15"/>
      <c r="REB57" s="15"/>
      <c r="REC57" s="15"/>
      <c r="RED57" s="15"/>
      <c r="REE57" s="15"/>
      <c r="REF57" s="15"/>
      <c r="REG57" s="15"/>
      <c r="REH57" s="15"/>
      <c r="REI57" s="15"/>
      <c r="REJ57" s="15"/>
      <c r="REK57" s="15"/>
      <c r="REL57" s="15"/>
      <c r="REM57" s="15"/>
      <c r="REN57" s="15"/>
      <c r="REO57" s="15"/>
      <c r="REP57" s="15"/>
      <c r="REQ57" s="15"/>
      <c r="RER57" s="15"/>
      <c r="RES57" s="15"/>
      <c r="RET57" s="15"/>
      <c r="REU57" s="15"/>
      <c r="REV57" s="15"/>
      <c r="REW57" s="15"/>
      <c r="REX57" s="15"/>
      <c r="REY57" s="15"/>
      <c r="REZ57" s="15"/>
      <c r="RFA57" s="15"/>
      <c r="RFB57" s="15"/>
      <c r="RFC57" s="15"/>
      <c r="RFD57" s="15"/>
      <c r="RFE57" s="15"/>
      <c r="RFF57" s="15"/>
      <c r="RFG57" s="15"/>
      <c r="RFH57" s="15"/>
      <c r="RFI57" s="15"/>
      <c r="RFJ57" s="15"/>
      <c r="RFK57" s="15"/>
      <c r="RFL57" s="15"/>
      <c r="RFM57" s="15"/>
      <c r="RFN57" s="15"/>
      <c r="RFO57" s="15"/>
      <c r="RFP57" s="15"/>
      <c r="RFQ57" s="15"/>
      <c r="RFR57" s="15"/>
      <c r="RFS57" s="15"/>
      <c r="RFT57" s="15"/>
      <c r="RFU57" s="15"/>
      <c r="RFV57" s="15"/>
      <c r="RFW57" s="15"/>
      <c r="RFX57" s="15"/>
      <c r="RFY57" s="15"/>
      <c r="RFZ57" s="15"/>
      <c r="RGA57" s="15"/>
      <c r="RGB57" s="15"/>
      <c r="RGC57" s="15"/>
      <c r="RGD57" s="15"/>
      <c r="RGE57" s="15"/>
      <c r="RGF57" s="15"/>
      <c r="RGG57" s="15"/>
      <c r="RGH57" s="15"/>
      <c r="RGI57" s="15"/>
      <c r="RGJ57" s="15"/>
      <c r="RGK57" s="15"/>
      <c r="RGL57" s="15"/>
      <c r="RGM57" s="15"/>
      <c r="RGN57" s="15"/>
      <c r="RGO57" s="15"/>
      <c r="RGP57" s="15"/>
      <c r="RGQ57" s="15"/>
      <c r="RGR57" s="15"/>
      <c r="RGS57" s="15"/>
      <c r="RGT57" s="15"/>
      <c r="RGU57" s="15"/>
      <c r="RGV57" s="15"/>
      <c r="RGW57" s="15"/>
      <c r="RGX57" s="15"/>
      <c r="RGY57" s="15"/>
      <c r="RGZ57" s="15"/>
      <c r="RHA57" s="15"/>
      <c r="RHB57" s="15"/>
      <c r="RHC57" s="15"/>
      <c r="RHD57" s="15"/>
      <c r="RHE57" s="15"/>
      <c r="RHF57" s="15"/>
      <c r="RHG57" s="15"/>
      <c r="RHH57" s="15"/>
      <c r="RHI57" s="15"/>
      <c r="RHJ57" s="15"/>
      <c r="RHK57" s="15"/>
      <c r="RHL57" s="15"/>
      <c r="RHM57" s="15"/>
      <c r="RHN57" s="15"/>
      <c r="RHO57" s="15"/>
      <c r="RHP57" s="15"/>
      <c r="RHQ57" s="15"/>
      <c r="RHR57" s="15"/>
      <c r="RHS57" s="15"/>
      <c r="RHT57" s="15"/>
      <c r="RHU57" s="15"/>
      <c r="RHV57" s="15"/>
      <c r="RHW57" s="15"/>
      <c r="RHX57" s="15"/>
      <c r="RHY57" s="15"/>
      <c r="RHZ57" s="15"/>
      <c r="RIA57" s="15"/>
      <c r="RIB57" s="15"/>
      <c r="RIC57" s="15"/>
      <c r="RID57" s="15"/>
      <c r="RIE57" s="15"/>
      <c r="RIF57" s="15"/>
      <c r="RIG57" s="15"/>
      <c r="RIH57" s="15"/>
      <c r="RII57" s="15"/>
      <c r="RIJ57" s="15"/>
      <c r="RIK57" s="15"/>
      <c r="RIL57" s="15"/>
      <c r="RIM57" s="15"/>
      <c r="RIN57" s="15"/>
      <c r="RIO57" s="15"/>
      <c r="RIP57" s="15"/>
      <c r="RIQ57" s="15"/>
      <c r="RIR57" s="15"/>
      <c r="RIS57" s="15"/>
      <c r="RIT57" s="15"/>
      <c r="RIU57" s="15"/>
      <c r="RIV57" s="15"/>
      <c r="RIW57" s="15"/>
      <c r="RIX57" s="15"/>
      <c r="RIY57" s="15"/>
      <c r="RIZ57" s="15"/>
      <c r="RJA57" s="15"/>
      <c r="RJB57" s="15"/>
      <c r="RJC57" s="15"/>
      <c r="RJD57" s="15"/>
      <c r="RJE57" s="15"/>
      <c r="RJF57" s="15"/>
      <c r="RJG57" s="15"/>
      <c r="RJH57" s="15"/>
      <c r="RJI57" s="15"/>
      <c r="RJJ57" s="15"/>
      <c r="RJK57" s="15"/>
      <c r="RJL57" s="15"/>
      <c r="RJM57" s="15"/>
      <c r="RJN57" s="15"/>
      <c r="RJO57" s="15"/>
      <c r="RJP57" s="15"/>
      <c r="RJQ57" s="15"/>
      <c r="RJR57" s="15"/>
      <c r="RJS57" s="15"/>
      <c r="RJT57" s="15"/>
      <c r="RJU57" s="15"/>
      <c r="RJV57" s="15"/>
      <c r="RJW57" s="15"/>
      <c r="RJX57" s="15"/>
      <c r="RJY57" s="15"/>
      <c r="RJZ57" s="15"/>
      <c r="RKA57" s="15"/>
      <c r="RKB57" s="15"/>
      <c r="RKC57" s="15"/>
      <c r="RKD57" s="15"/>
      <c r="RKE57" s="15"/>
      <c r="RKF57" s="15"/>
      <c r="RKG57" s="15"/>
      <c r="RKH57" s="15"/>
      <c r="RKI57" s="15"/>
      <c r="RKJ57" s="15"/>
      <c r="RKK57" s="15"/>
      <c r="RKL57" s="15"/>
      <c r="RKM57" s="15"/>
      <c r="RKN57" s="15"/>
      <c r="RKO57" s="15"/>
      <c r="RKP57" s="15"/>
      <c r="RKQ57" s="15"/>
      <c r="RKR57" s="15"/>
      <c r="RKS57" s="15"/>
      <c r="RKT57" s="15"/>
      <c r="RKU57" s="15"/>
      <c r="RKV57" s="15"/>
      <c r="RKW57" s="15"/>
      <c r="RKX57" s="15"/>
      <c r="RKY57" s="15"/>
      <c r="RKZ57" s="15"/>
      <c r="RLA57" s="15"/>
      <c r="RLB57" s="15"/>
      <c r="RLC57" s="15"/>
      <c r="RLD57" s="15"/>
      <c r="RLE57" s="15"/>
      <c r="RLF57" s="15"/>
      <c r="RLG57" s="15"/>
      <c r="RLH57" s="15"/>
      <c r="RLI57" s="15"/>
      <c r="RLJ57" s="15"/>
      <c r="RLK57" s="15"/>
      <c r="RLL57" s="15"/>
      <c r="RLM57" s="15"/>
      <c r="RLN57" s="15"/>
      <c r="RLO57" s="15"/>
      <c r="RLP57" s="15"/>
      <c r="RLQ57" s="15"/>
      <c r="RLR57" s="15"/>
      <c r="RLS57" s="15"/>
      <c r="RLT57" s="15"/>
      <c r="RLU57" s="15"/>
      <c r="RLV57" s="15"/>
      <c r="RLW57" s="15"/>
      <c r="RLX57" s="15"/>
      <c r="RLY57" s="15"/>
      <c r="RLZ57" s="15"/>
      <c r="RMA57" s="15"/>
      <c r="RMB57" s="15"/>
      <c r="RMC57" s="15"/>
      <c r="RMD57" s="15"/>
      <c r="RME57" s="15"/>
      <c r="RMF57" s="15"/>
      <c r="RMG57" s="15"/>
      <c r="RMH57" s="15"/>
      <c r="RMI57" s="15"/>
      <c r="RMJ57" s="15"/>
      <c r="RMK57" s="15"/>
      <c r="RML57" s="15"/>
      <c r="RMM57" s="15"/>
      <c r="RMN57" s="15"/>
      <c r="RMO57" s="15"/>
      <c r="RMP57" s="15"/>
      <c r="RMQ57" s="15"/>
      <c r="RMR57" s="15"/>
      <c r="RMS57" s="15"/>
      <c r="RMT57" s="15"/>
      <c r="RMU57" s="15"/>
      <c r="RMV57" s="15"/>
      <c r="RMW57" s="15"/>
      <c r="RMX57" s="15"/>
      <c r="RMY57" s="15"/>
      <c r="RMZ57" s="15"/>
      <c r="RNA57" s="15"/>
      <c r="RNB57" s="15"/>
      <c r="RNC57" s="15"/>
      <c r="RND57" s="15"/>
      <c r="RNE57" s="15"/>
      <c r="RNF57" s="15"/>
      <c r="RNG57" s="15"/>
      <c r="RNH57" s="15"/>
      <c r="RNI57" s="15"/>
      <c r="RNJ57" s="15"/>
      <c r="RNK57" s="15"/>
      <c r="RNL57" s="15"/>
      <c r="RNM57" s="15"/>
      <c r="RNN57" s="15"/>
      <c r="RNO57" s="15"/>
      <c r="RNP57" s="15"/>
      <c r="RNQ57" s="15"/>
      <c r="RNR57" s="15"/>
      <c r="RNS57" s="15"/>
      <c r="RNT57" s="15"/>
      <c r="RNU57" s="15"/>
      <c r="RNV57" s="15"/>
      <c r="RNW57" s="15"/>
      <c r="RNX57" s="15"/>
      <c r="RNY57" s="15"/>
      <c r="RNZ57" s="15"/>
      <c r="ROA57" s="15"/>
      <c r="ROB57" s="15"/>
      <c r="ROC57" s="15"/>
      <c r="ROD57" s="15"/>
      <c r="ROE57" s="15"/>
      <c r="ROF57" s="15"/>
      <c r="ROG57" s="15"/>
      <c r="ROH57" s="15"/>
      <c r="ROI57" s="15"/>
      <c r="ROJ57" s="15"/>
      <c r="ROK57" s="15"/>
      <c r="ROL57" s="15"/>
      <c r="ROM57" s="15"/>
      <c r="RON57" s="15"/>
      <c r="ROO57" s="15"/>
      <c r="ROP57" s="15"/>
      <c r="ROQ57" s="15"/>
      <c r="ROR57" s="15"/>
      <c r="ROS57" s="15"/>
      <c r="ROT57" s="15"/>
      <c r="ROU57" s="15"/>
      <c r="ROV57" s="15"/>
      <c r="ROW57" s="15"/>
      <c r="ROX57" s="15"/>
      <c r="ROY57" s="15"/>
      <c r="ROZ57" s="15"/>
      <c r="RPA57" s="15"/>
      <c r="RPB57" s="15"/>
      <c r="RPC57" s="15"/>
      <c r="RPD57" s="15"/>
      <c r="RPE57" s="15"/>
      <c r="RPF57" s="15"/>
      <c r="RPG57" s="15"/>
      <c r="RPH57" s="15"/>
      <c r="RPI57" s="15"/>
      <c r="RPJ57" s="15"/>
      <c r="RPK57" s="15"/>
      <c r="RPL57" s="15"/>
      <c r="RPM57" s="15"/>
      <c r="RPN57" s="15"/>
      <c r="RPO57" s="15"/>
      <c r="RPP57" s="15"/>
      <c r="RPQ57" s="15"/>
      <c r="RPR57" s="15"/>
      <c r="RPS57" s="15"/>
      <c r="RPT57" s="15"/>
      <c r="RPU57" s="15"/>
      <c r="RPV57" s="15"/>
      <c r="RPW57" s="15"/>
      <c r="RPX57" s="15"/>
      <c r="RPY57" s="15"/>
      <c r="RPZ57" s="15"/>
      <c r="RQA57" s="15"/>
      <c r="RQB57" s="15"/>
      <c r="RQC57" s="15"/>
      <c r="RQD57" s="15"/>
      <c r="RQE57" s="15"/>
      <c r="RQF57" s="15"/>
      <c r="RQG57" s="15"/>
      <c r="RQH57" s="15"/>
      <c r="RQI57" s="15"/>
      <c r="RQJ57" s="15"/>
      <c r="RQK57" s="15"/>
      <c r="RQL57" s="15"/>
      <c r="RQM57" s="15"/>
      <c r="RQN57" s="15"/>
      <c r="RQO57" s="15"/>
      <c r="RQP57" s="15"/>
      <c r="RQQ57" s="15"/>
      <c r="RQR57" s="15"/>
      <c r="RQS57" s="15"/>
      <c r="RQT57" s="15"/>
      <c r="RQU57" s="15"/>
      <c r="RQV57" s="15"/>
      <c r="RQW57" s="15"/>
      <c r="RQX57" s="15"/>
      <c r="RQY57" s="15"/>
      <c r="RQZ57" s="15"/>
      <c r="RRA57" s="15"/>
      <c r="RRB57" s="15"/>
      <c r="RRC57" s="15"/>
      <c r="RRD57" s="15"/>
      <c r="RRE57" s="15"/>
      <c r="RRF57" s="15"/>
      <c r="RRG57" s="15"/>
      <c r="RRH57" s="15"/>
      <c r="RRI57" s="15"/>
      <c r="RRJ57" s="15"/>
      <c r="RRK57" s="15"/>
      <c r="RRL57" s="15"/>
      <c r="RRM57" s="15"/>
      <c r="RRN57" s="15"/>
      <c r="RRO57" s="15"/>
      <c r="RRP57" s="15"/>
      <c r="RRQ57" s="15"/>
      <c r="RRR57" s="15"/>
      <c r="RRS57" s="15"/>
      <c r="RRT57" s="15"/>
      <c r="RRU57" s="15"/>
      <c r="RRV57" s="15"/>
      <c r="RRW57" s="15"/>
      <c r="RRX57" s="15"/>
      <c r="RRY57" s="15"/>
      <c r="RRZ57" s="15"/>
      <c r="RSA57" s="15"/>
      <c r="RSB57" s="15"/>
      <c r="RSC57" s="15"/>
      <c r="RSD57" s="15"/>
      <c r="RSE57" s="15"/>
      <c r="RSF57" s="15"/>
      <c r="RSG57" s="15"/>
      <c r="RSH57" s="15"/>
      <c r="RSI57" s="15"/>
      <c r="RSJ57" s="15"/>
      <c r="RSK57" s="15"/>
      <c r="RSL57" s="15"/>
      <c r="RSM57" s="15"/>
      <c r="RSN57" s="15"/>
      <c r="RSO57" s="15"/>
      <c r="RSP57" s="15"/>
      <c r="RSQ57" s="15"/>
      <c r="RSR57" s="15"/>
      <c r="RSS57" s="15"/>
      <c r="RST57" s="15"/>
      <c r="RSU57" s="15"/>
      <c r="RSV57" s="15"/>
      <c r="RSW57" s="15"/>
      <c r="RSX57" s="15"/>
      <c r="RSY57" s="15"/>
      <c r="RSZ57" s="15"/>
      <c r="RTA57" s="15"/>
      <c r="RTB57" s="15"/>
      <c r="RTC57" s="15"/>
      <c r="RTD57" s="15"/>
      <c r="RTE57" s="15"/>
      <c r="RTF57" s="15"/>
      <c r="RTG57" s="15"/>
      <c r="RTH57" s="15"/>
      <c r="RTI57" s="15"/>
      <c r="RTJ57" s="15"/>
      <c r="RTK57" s="15"/>
      <c r="RTL57" s="15"/>
      <c r="RTM57" s="15"/>
      <c r="RTN57" s="15"/>
      <c r="RTO57" s="15"/>
      <c r="RTP57" s="15"/>
      <c r="RTQ57" s="15"/>
      <c r="RTR57" s="15"/>
      <c r="RTS57" s="15"/>
      <c r="RTT57" s="15"/>
      <c r="RTU57" s="15"/>
      <c r="RTV57" s="15"/>
      <c r="RTW57" s="15"/>
      <c r="RTX57" s="15"/>
      <c r="RTY57" s="15"/>
      <c r="RTZ57" s="15"/>
      <c r="RUA57" s="15"/>
      <c r="RUB57" s="15"/>
      <c r="RUC57" s="15"/>
      <c r="RUD57" s="15"/>
      <c r="RUE57" s="15"/>
      <c r="RUF57" s="15"/>
      <c r="RUG57" s="15"/>
      <c r="RUH57" s="15"/>
      <c r="RUI57" s="15"/>
      <c r="RUJ57" s="15"/>
      <c r="RUK57" s="15"/>
      <c r="RUL57" s="15"/>
      <c r="RUM57" s="15"/>
      <c r="RUN57" s="15"/>
      <c r="RUO57" s="15"/>
      <c r="RUP57" s="15"/>
      <c r="RUQ57" s="15"/>
      <c r="RUR57" s="15"/>
      <c r="RUS57" s="15"/>
      <c r="RUT57" s="15"/>
      <c r="RUU57" s="15"/>
      <c r="RUV57" s="15"/>
      <c r="RUW57" s="15"/>
      <c r="RUX57" s="15"/>
      <c r="RUY57" s="15"/>
      <c r="RUZ57" s="15"/>
      <c r="RVA57" s="15"/>
      <c r="RVB57" s="15"/>
      <c r="RVC57" s="15"/>
      <c r="RVD57" s="15"/>
      <c r="RVE57" s="15"/>
      <c r="RVF57" s="15"/>
      <c r="RVG57" s="15"/>
      <c r="RVH57" s="15"/>
      <c r="RVI57" s="15"/>
      <c r="RVJ57" s="15"/>
      <c r="RVK57" s="15"/>
      <c r="RVL57" s="15"/>
      <c r="RVM57" s="15"/>
      <c r="RVN57" s="15"/>
      <c r="RVO57" s="15"/>
      <c r="RVP57" s="15"/>
      <c r="RVQ57" s="15"/>
      <c r="RVR57" s="15"/>
      <c r="RVS57" s="15"/>
      <c r="RVT57" s="15"/>
      <c r="RVU57" s="15"/>
      <c r="RVV57" s="15"/>
      <c r="RVW57" s="15"/>
      <c r="RVX57" s="15"/>
      <c r="RVY57" s="15"/>
      <c r="RVZ57" s="15"/>
      <c r="RWA57" s="15"/>
      <c r="RWB57" s="15"/>
      <c r="RWC57" s="15"/>
      <c r="RWD57" s="15"/>
      <c r="RWE57" s="15"/>
      <c r="RWF57" s="15"/>
      <c r="RWG57" s="15"/>
      <c r="RWH57" s="15"/>
      <c r="RWI57" s="15"/>
      <c r="RWJ57" s="15"/>
      <c r="RWK57" s="15"/>
      <c r="RWL57" s="15"/>
      <c r="RWM57" s="15"/>
      <c r="RWN57" s="15"/>
      <c r="RWO57" s="15"/>
      <c r="RWP57" s="15"/>
      <c r="RWQ57" s="15"/>
      <c r="RWR57" s="15"/>
      <c r="RWS57" s="15"/>
      <c r="RWT57" s="15"/>
      <c r="RWU57" s="15"/>
      <c r="RWV57" s="15"/>
      <c r="RWW57" s="15"/>
      <c r="RWX57" s="15"/>
      <c r="RWY57" s="15"/>
      <c r="RWZ57" s="15"/>
      <c r="RXA57" s="15"/>
      <c r="RXB57" s="15"/>
      <c r="RXC57" s="15"/>
      <c r="RXD57" s="15"/>
      <c r="RXE57" s="15"/>
      <c r="RXF57" s="15"/>
      <c r="RXG57" s="15"/>
      <c r="RXH57" s="15"/>
      <c r="RXI57" s="15"/>
      <c r="RXJ57" s="15"/>
      <c r="RXK57" s="15"/>
      <c r="RXL57" s="15"/>
      <c r="RXM57" s="15"/>
      <c r="RXN57" s="15"/>
      <c r="RXO57" s="15"/>
      <c r="RXP57" s="15"/>
      <c r="RXQ57" s="15"/>
      <c r="RXR57" s="15"/>
      <c r="RXS57" s="15"/>
      <c r="RXT57" s="15"/>
      <c r="RXU57" s="15"/>
      <c r="RXV57" s="15"/>
      <c r="RXW57" s="15"/>
      <c r="RXX57" s="15"/>
      <c r="RXY57" s="15"/>
      <c r="RXZ57" s="15"/>
      <c r="RYA57" s="15"/>
      <c r="RYB57" s="15"/>
      <c r="RYC57" s="15"/>
      <c r="RYD57" s="15"/>
      <c r="RYE57" s="15"/>
      <c r="RYF57" s="15"/>
      <c r="RYG57" s="15"/>
      <c r="RYH57" s="15"/>
      <c r="RYI57" s="15"/>
      <c r="RYJ57" s="15"/>
      <c r="RYK57" s="15"/>
      <c r="RYL57" s="15"/>
      <c r="RYM57" s="15"/>
      <c r="RYN57" s="15"/>
      <c r="RYO57" s="15"/>
      <c r="RYP57" s="15"/>
      <c r="RYQ57" s="15"/>
      <c r="RYR57" s="15"/>
      <c r="RYS57" s="15"/>
      <c r="RYT57" s="15"/>
      <c r="RYU57" s="15"/>
      <c r="RYV57" s="15"/>
      <c r="RYW57" s="15"/>
      <c r="RYX57" s="15"/>
      <c r="RYY57" s="15"/>
      <c r="RYZ57" s="15"/>
      <c r="RZA57" s="15"/>
      <c r="RZB57" s="15"/>
      <c r="RZC57" s="15"/>
      <c r="RZD57" s="15"/>
      <c r="RZE57" s="15"/>
      <c r="RZF57" s="15"/>
      <c r="RZG57" s="15"/>
      <c r="RZH57" s="15"/>
      <c r="RZI57" s="15"/>
      <c r="RZJ57" s="15"/>
      <c r="RZK57" s="15"/>
      <c r="RZL57" s="15"/>
      <c r="RZM57" s="15"/>
      <c r="RZN57" s="15"/>
      <c r="RZO57" s="15"/>
      <c r="RZP57" s="15"/>
      <c r="RZQ57" s="15"/>
      <c r="RZR57" s="15"/>
      <c r="RZS57" s="15"/>
      <c r="RZT57" s="15"/>
      <c r="RZU57" s="15"/>
      <c r="RZV57" s="15"/>
      <c r="RZW57" s="15"/>
      <c r="RZX57" s="15"/>
      <c r="RZY57" s="15"/>
      <c r="RZZ57" s="15"/>
      <c r="SAA57" s="15"/>
      <c r="SAB57" s="15"/>
      <c r="SAC57" s="15"/>
      <c r="SAD57" s="15"/>
      <c r="SAE57" s="15"/>
      <c r="SAF57" s="15"/>
      <c r="SAG57" s="15"/>
      <c r="SAH57" s="15"/>
      <c r="SAI57" s="15"/>
      <c r="SAJ57" s="15"/>
      <c r="SAK57" s="15"/>
      <c r="SAL57" s="15"/>
      <c r="SAM57" s="15"/>
      <c r="SAN57" s="15"/>
      <c r="SAO57" s="15"/>
      <c r="SAP57" s="15"/>
      <c r="SAQ57" s="15"/>
      <c r="SAR57" s="15"/>
      <c r="SAS57" s="15"/>
      <c r="SAT57" s="15"/>
      <c r="SAU57" s="15"/>
      <c r="SAV57" s="15"/>
      <c r="SAW57" s="15"/>
      <c r="SAX57" s="15"/>
      <c r="SAY57" s="15"/>
      <c r="SAZ57" s="15"/>
      <c r="SBA57" s="15"/>
      <c r="SBB57" s="15"/>
      <c r="SBC57" s="15"/>
      <c r="SBD57" s="15"/>
      <c r="SBE57" s="15"/>
      <c r="SBF57" s="15"/>
      <c r="SBG57" s="15"/>
      <c r="SBH57" s="15"/>
      <c r="SBI57" s="15"/>
      <c r="SBJ57" s="15"/>
      <c r="SBK57" s="15"/>
      <c r="SBL57" s="15"/>
      <c r="SBM57" s="15"/>
      <c r="SBN57" s="15"/>
      <c r="SBO57" s="15"/>
      <c r="SBP57" s="15"/>
      <c r="SBQ57" s="15"/>
      <c r="SBR57" s="15"/>
      <c r="SBS57" s="15"/>
      <c r="SBT57" s="15"/>
      <c r="SBU57" s="15"/>
      <c r="SBV57" s="15"/>
      <c r="SBW57" s="15"/>
      <c r="SBX57" s="15"/>
      <c r="SBY57" s="15"/>
      <c r="SBZ57" s="15"/>
      <c r="SCA57" s="15"/>
      <c r="SCB57" s="15"/>
      <c r="SCC57" s="15"/>
      <c r="SCD57" s="15"/>
      <c r="SCE57" s="15"/>
      <c r="SCF57" s="15"/>
      <c r="SCG57" s="15"/>
      <c r="SCH57" s="15"/>
      <c r="SCI57" s="15"/>
      <c r="SCJ57" s="15"/>
      <c r="SCK57" s="15"/>
      <c r="SCL57" s="15"/>
      <c r="SCM57" s="15"/>
      <c r="SCN57" s="15"/>
      <c r="SCO57" s="15"/>
      <c r="SCP57" s="15"/>
      <c r="SCQ57" s="15"/>
      <c r="SCR57" s="15"/>
      <c r="SCS57" s="15"/>
      <c r="SCT57" s="15"/>
      <c r="SCU57" s="15"/>
      <c r="SCV57" s="15"/>
      <c r="SCW57" s="15"/>
      <c r="SCX57" s="15"/>
      <c r="SCY57" s="15"/>
      <c r="SCZ57" s="15"/>
      <c r="SDA57" s="15"/>
      <c r="SDB57" s="15"/>
      <c r="SDC57" s="15"/>
      <c r="SDD57" s="15"/>
      <c r="SDE57" s="15"/>
      <c r="SDF57" s="15"/>
      <c r="SDG57" s="15"/>
      <c r="SDH57" s="15"/>
      <c r="SDI57" s="15"/>
      <c r="SDJ57" s="15"/>
      <c r="SDK57" s="15"/>
      <c r="SDL57" s="15"/>
      <c r="SDM57" s="15"/>
      <c r="SDN57" s="15"/>
      <c r="SDO57" s="15"/>
      <c r="SDP57" s="15"/>
      <c r="SDQ57" s="15"/>
      <c r="SDR57" s="15"/>
      <c r="SDS57" s="15"/>
      <c r="SDT57" s="15"/>
      <c r="SDU57" s="15"/>
      <c r="SDV57" s="15"/>
      <c r="SDW57" s="15"/>
      <c r="SDX57" s="15"/>
      <c r="SDY57" s="15"/>
      <c r="SDZ57" s="15"/>
      <c r="SEA57" s="15"/>
      <c r="SEB57" s="15"/>
      <c r="SEC57" s="15"/>
      <c r="SED57" s="15"/>
      <c r="SEE57" s="15"/>
      <c r="SEF57" s="15"/>
      <c r="SEG57" s="15"/>
      <c r="SEH57" s="15"/>
      <c r="SEI57" s="15"/>
      <c r="SEJ57" s="15"/>
      <c r="SEK57" s="15"/>
      <c r="SEL57" s="15"/>
      <c r="SEM57" s="15"/>
      <c r="SEN57" s="15"/>
      <c r="SEO57" s="15"/>
      <c r="SEP57" s="15"/>
      <c r="SEQ57" s="15"/>
      <c r="SER57" s="15"/>
      <c r="SES57" s="15"/>
      <c r="SET57" s="15"/>
      <c r="SEU57" s="15"/>
      <c r="SEV57" s="15"/>
      <c r="SEW57" s="15"/>
      <c r="SEX57" s="15"/>
      <c r="SEY57" s="15"/>
      <c r="SEZ57" s="15"/>
      <c r="SFA57" s="15"/>
      <c r="SFB57" s="15"/>
      <c r="SFC57" s="15"/>
      <c r="SFD57" s="15"/>
      <c r="SFE57" s="15"/>
      <c r="SFF57" s="15"/>
      <c r="SFG57" s="15"/>
      <c r="SFH57" s="15"/>
      <c r="SFI57" s="15"/>
      <c r="SFJ57" s="15"/>
      <c r="SFK57" s="15"/>
      <c r="SFL57" s="15"/>
      <c r="SFM57" s="15"/>
      <c r="SFN57" s="15"/>
      <c r="SFO57" s="15"/>
      <c r="SFP57" s="15"/>
      <c r="SFQ57" s="15"/>
      <c r="SFR57" s="15"/>
      <c r="SFS57" s="15"/>
      <c r="SFT57" s="15"/>
      <c r="SFU57" s="15"/>
      <c r="SFV57" s="15"/>
      <c r="SFW57" s="15"/>
      <c r="SFX57" s="15"/>
      <c r="SFY57" s="15"/>
      <c r="SFZ57" s="15"/>
      <c r="SGA57" s="15"/>
      <c r="SGB57" s="15"/>
      <c r="SGC57" s="15"/>
      <c r="SGD57" s="15"/>
      <c r="SGE57" s="15"/>
      <c r="SGF57" s="15"/>
      <c r="SGG57" s="15"/>
      <c r="SGH57" s="15"/>
      <c r="SGI57" s="15"/>
      <c r="SGJ57" s="15"/>
      <c r="SGK57" s="15"/>
      <c r="SGL57" s="15"/>
      <c r="SGM57" s="15"/>
      <c r="SGN57" s="15"/>
      <c r="SGO57" s="15"/>
      <c r="SGP57" s="15"/>
      <c r="SGQ57" s="15"/>
      <c r="SGR57" s="15"/>
      <c r="SGS57" s="15"/>
      <c r="SGT57" s="15"/>
      <c r="SGU57" s="15"/>
      <c r="SGV57" s="15"/>
      <c r="SGW57" s="15"/>
      <c r="SGX57" s="15"/>
      <c r="SGY57" s="15"/>
      <c r="SGZ57" s="15"/>
      <c r="SHA57" s="15"/>
      <c r="SHB57" s="15"/>
      <c r="SHC57" s="15"/>
      <c r="SHD57" s="15"/>
      <c r="SHE57" s="15"/>
      <c r="SHF57" s="15"/>
      <c r="SHG57" s="15"/>
      <c r="SHH57" s="15"/>
      <c r="SHI57" s="15"/>
      <c r="SHJ57" s="15"/>
      <c r="SHK57" s="15"/>
      <c r="SHL57" s="15"/>
      <c r="SHM57" s="15"/>
      <c r="SHN57" s="15"/>
      <c r="SHO57" s="15"/>
      <c r="SHP57" s="15"/>
      <c r="SHQ57" s="15"/>
      <c r="SHR57" s="15"/>
      <c r="SHS57" s="15"/>
      <c r="SHT57" s="15"/>
      <c r="SHU57" s="15"/>
      <c r="SHV57" s="15"/>
      <c r="SHW57" s="15"/>
      <c r="SHX57" s="15"/>
      <c r="SHY57" s="15"/>
      <c r="SHZ57" s="15"/>
      <c r="SIA57" s="15"/>
      <c r="SIB57" s="15"/>
      <c r="SIC57" s="15"/>
      <c r="SID57" s="15"/>
      <c r="SIE57" s="15"/>
      <c r="SIF57" s="15"/>
      <c r="SIG57" s="15"/>
      <c r="SIH57" s="15"/>
      <c r="SII57" s="15"/>
      <c r="SIJ57" s="15"/>
      <c r="SIK57" s="15"/>
      <c r="SIL57" s="15"/>
      <c r="SIM57" s="15"/>
      <c r="SIN57" s="15"/>
      <c r="SIO57" s="15"/>
      <c r="SIP57" s="15"/>
      <c r="SIQ57" s="15"/>
      <c r="SIR57" s="15"/>
      <c r="SIS57" s="15"/>
      <c r="SIT57" s="15"/>
      <c r="SIU57" s="15"/>
      <c r="SIV57" s="15"/>
      <c r="SIW57" s="15"/>
      <c r="SIX57" s="15"/>
      <c r="SIY57" s="15"/>
      <c r="SIZ57" s="15"/>
      <c r="SJA57" s="15"/>
      <c r="SJB57" s="15"/>
      <c r="SJC57" s="15"/>
      <c r="SJD57" s="15"/>
      <c r="SJE57" s="15"/>
      <c r="SJF57" s="15"/>
      <c r="SJG57" s="15"/>
      <c r="SJH57" s="15"/>
      <c r="SJI57" s="15"/>
      <c r="SJJ57" s="15"/>
      <c r="SJK57" s="15"/>
      <c r="SJL57" s="15"/>
      <c r="SJM57" s="15"/>
      <c r="SJN57" s="15"/>
      <c r="SJO57" s="15"/>
      <c r="SJP57" s="15"/>
      <c r="SJQ57" s="15"/>
      <c r="SJR57" s="15"/>
      <c r="SJS57" s="15"/>
      <c r="SJT57" s="15"/>
      <c r="SJU57" s="15"/>
      <c r="SJV57" s="15"/>
      <c r="SJW57" s="15"/>
      <c r="SJX57" s="15"/>
      <c r="SJY57" s="15"/>
      <c r="SJZ57" s="15"/>
      <c r="SKA57" s="15"/>
      <c r="SKB57" s="15"/>
      <c r="SKC57" s="15"/>
      <c r="SKD57" s="15"/>
      <c r="SKE57" s="15"/>
      <c r="SKF57" s="15"/>
      <c r="SKG57" s="15"/>
      <c r="SKH57" s="15"/>
      <c r="SKI57" s="15"/>
      <c r="SKJ57" s="15"/>
      <c r="SKK57" s="15"/>
      <c r="SKL57" s="15"/>
      <c r="SKM57" s="15"/>
      <c r="SKN57" s="15"/>
      <c r="SKO57" s="15"/>
      <c r="SKP57" s="15"/>
      <c r="SKQ57" s="15"/>
      <c r="SKR57" s="15"/>
      <c r="SKS57" s="15"/>
      <c r="SKT57" s="15"/>
      <c r="SKU57" s="15"/>
      <c r="SKV57" s="15"/>
      <c r="SKW57" s="15"/>
      <c r="SKX57" s="15"/>
      <c r="SKY57" s="15"/>
      <c r="SKZ57" s="15"/>
      <c r="SLA57" s="15"/>
      <c r="SLB57" s="15"/>
      <c r="SLC57" s="15"/>
      <c r="SLD57" s="15"/>
      <c r="SLE57" s="15"/>
      <c r="SLF57" s="15"/>
      <c r="SLG57" s="15"/>
      <c r="SLH57" s="15"/>
      <c r="SLI57" s="15"/>
      <c r="SLJ57" s="15"/>
      <c r="SLK57" s="15"/>
      <c r="SLL57" s="15"/>
      <c r="SLM57" s="15"/>
      <c r="SLN57" s="15"/>
      <c r="SLO57" s="15"/>
      <c r="SLP57" s="15"/>
      <c r="SLQ57" s="15"/>
      <c r="SLR57" s="15"/>
      <c r="SLS57" s="15"/>
      <c r="SLT57" s="15"/>
      <c r="SLU57" s="15"/>
      <c r="SLV57" s="15"/>
      <c r="SLW57" s="15"/>
      <c r="SLX57" s="15"/>
      <c r="SLY57" s="15"/>
      <c r="SLZ57" s="15"/>
      <c r="SMA57" s="15"/>
      <c r="SMB57" s="15"/>
      <c r="SMC57" s="15"/>
      <c r="SMD57" s="15"/>
      <c r="SME57" s="15"/>
      <c r="SMF57" s="15"/>
      <c r="SMG57" s="15"/>
      <c r="SMH57" s="15"/>
      <c r="SMI57" s="15"/>
      <c r="SMJ57" s="15"/>
      <c r="SMK57" s="15"/>
      <c r="SML57" s="15"/>
      <c r="SMM57" s="15"/>
      <c r="SMN57" s="15"/>
      <c r="SMO57" s="15"/>
      <c r="SMP57" s="15"/>
      <c r="SMQ57" s="15"/>
      <c r="SMR57" s="15"/>
      <c r="SMS57" s="15"/>
      <c r="SMT57" s="15"/>
      <c r="SMU57" s="15"/>
      <c r="SMV57" s="15"/>
      <c r="SMW57" s="15"/>
      <c r="SMX57" s="15"/>
      <c r="SMY57" s="15"/>
      <c r="SMZ57" s="15"/>
      <c r="SNA57" s="15"/>
      <c r="SNB57" s="15"/>
      <c r="SNC57" s="15"/>
      <c r="SND57" s="15"/>
      <c r="SNE57" s="15"/>
      <c r="SNF57" s="15"/>
      <c r="SNG57" s="15"/>
      <c r="SNH57" s="15"/>
      <c r="SNI57" s="15"/>
      <c r="SNJ57" s="15"/>
      <c r="SNK57" s="15"/>
      <c r="SNL57" s="15"/>
      <c r="SNM57" s="15"/>
      <c r="SNN57" s="15"/>
      <c r="SNO57" s="15"/>
      <c r="SNP57" s="15"/>
      <c r="SNQ57" s="15"/>
      <c r="SNR57" s="15"/>
      <c r="SNS57" s="15"/>
      <c r="SNT57" s="15"/>
      <c r="SNU57" s="15"/>
      <c r="SNV57" s="15"/>
      <c r="SNW57" s="15"/>
      <c r="SNX57" s="15"/>
      <c r="SNY57" s="15"/>
      <c r="SNZ57" s="15"/>
      <c r="SOA57" s="15"/>
      <c r="SOB57" s="15"/>
      <c r="SOC57" s="15"/>
      <c r="SOD57" s="15"/>
      <c r="SOE57" s="15"/>
      <c r="SOF57" s="15"/>
      <c r="SOG57" s="15"/>
      <c r="SOH57" s="15"/>
      <c r="SOI57" s="15"/>
      <c r="SOJ57" s="15"/>
      <c r="SOK57" s="15"/>
      <c r="SOL57" s="15"/>
      <c r="SOM57" s="15"/>
      <c r="SON57" s="15"/>
      <c r="SOO57" s="15"/>
      <c r="SOP57" s="15"/>
      <c r="SOQ57" s="15"/>
      <c r="SOR57" s="15"/>
      <c r="SOS57" s="15"/>
      <c r="SOT57" s="15"/>
      <c r="SOU57" s="15"/>
      <c r="SOV57" s="15"/>
      <c r="SOW57" s="15"/>
      <c r="SOX57" s="15"/>
      <c r="SOY57" s="15"/>
      <c r="SOZ57" s="15"/>
      <c r="SPA57" s="15"/>
      <c r="SPB57" s="15"/>
      <c r="SPC57" s="15"/>
      <c r="SPD57" s="15"/>
      <c r="SPE57" s="15"/>
      <c r="SPF57" s="15"/>
      <c r="SPG57" s="15"/>
      <c r="SPH57" s="15"/>
      <c r="SPI57" s="15"/>
      <c r="SPJ57" s="15"/>
      <c r="SPK57" s="15"/>
      <c r="SPL57" s="15"/>
      <c r="SPM57" s="15"/>
      <c r="SPN57" s="15"/>
      <c r="SPO57" s="15"/>
      <c r="SPP57" s="15"/>
      <c r="SPQ57" s="15"/>
      <c r="SPR57" s="15"/>
      <c r="SPS57" s="15"/>
      <c r="SPT57" s="15"/>
      <c r="SPU57" s="15"/>
      <c r="SPV57" s="15"/>
      <c r="SPW57" s="15"/>
      <c r="SPX57" s="15"/>
      <c r="SPY57" s="15"/>
      <c r="SPZ57" s="15"/>
      <c r="SQA57" s="15"/>
      <c r="SQB57" s="15"/>
      <c r="SQC57" s="15"/>
      <c r="SQD57" s="15"/>
      <c r="SQE57" s="15"/>
      <c r="SQF57" s="15"/>
      <c r="SQG57" s="15"/>
      <c r="SQH57" s="15"/>
      <c r="SQI57" s="15"/>
      <c r="SQJ57" s="15"/>
      <c r="SQK57" s="15"/>
      <c r="SQL57" s="15"/>
      <c r="SQM57" s="15"/>
      <c r="SQN57" s="15"/>
      <c r="SQO57" s="15"/>
      <c r="SQP57" s="15"/>
      <c r="SQQ57" s="15"/>
      <c r="SQR57" s="15"/>
      <c r="SQS57" s="15"/>
      <c r="SQT57" s="15"/>
      <c r="SQU57" s="15"/>
      <c r="SQV57" s="15"/>
      <c r="SQW57" s="15"/>
      <c r="SQX57" s="15"/>
      <c r="SQY57" s="15"/>
      <c r="SQZ57" s="15"/>
      <c r="SRA57" s="15"/>
      <c r="SRB57" s="15"/>
      <c r="SRC57" s="15"/>
      <c r="SRD57" s="15"/>
      <c r="SRE57" s="15"/>
      <c r="SRF57" s="15"/>
      <c r="SRG57" s="15"/>
      <c r="SRH57" s="15"/>
      <c r="SRI57" s="15"/>
      <c r="SRJ57" s="15"/>
      <c r="SRK57" s="15"/>
      <c r="SRL57" s="15"/>
      <c r="SRM57" s="15"/>
      <c r="SRN57" s="15"/>
      <c r="SRO57" s="15"/>
      <c r="SRP57" s="15"/>
      <c r="SRQ57" s="15"/>
      <c r="SRR57" s="15"/>
      <c r="SRS57" s="15"/>
      <c r="SRT57" s="15"/>
      <c r="SRU57" s="15"/>
      <c r="SRV57" s="15"/>
      <c r="SRW57" s="15"/>
      <c r="SRX57" s="15"/>
      <c r="SRY57" s="15"/>
      <c r="SRZ57" s="15"/>
      <c r="SSA57" s="15"/>
      <c r="SSB57" s="15"/>
      <c r="SSC57" s="15"/>
      <c r="SSD57" s="15"/>
      <c r="SSE57" s="15"/>
      <c r="SSF57" s="15"/>
      <c r="SSG57" s="15"/>
      <c r="SSH57" s="15"/>
      <c r="SSI57" s="15"/>
      <c r="SSJ57" s="15"/>
      <c r="SSK57" s="15"/>
      <c r="SSL57" s="15"/>
      <c r="SSM57" s="15"/>
      <c r="SSN57" s="15"/>
      <c r="SSO57" s="15"/>
      <c r="SSP57" s="15"/>
      <c r="SSQ57" s="15"/>
      <c r="SSR57" s="15"/>
      <c r="SSS57" s="15"/>
      <c r="SST57" s="15"/>
      <c r="SSU57" s="15"/>
      <c r="SSV57" s="15"/>
      <c r="SSW57" s="15"/>
      <c r="SSX57" s="15"/>
      <c r="SSY57" s="15"/>
      <c r="SSZ57" s="15"/>
      <c r="STA57" s="15"/>
      <c r="STB57" s="15"/>
      <c r="STC57" s="15"/>
      <c r="STD57" s="15"/>
      <c r="STE57" s="15"/>
      <c r="STF57" s="15"/>
      <c r="STG57" s="15"/>
      <c r="STH57" s="15"/>
      <c r="STI57" s="15"/>
      <c r="STJ57" s="15"/>
      <c r="STK57" s="15"/>
      <c r="STL57" s="15"/>
      <c r="STM57" s="15"/>
      <c r="STN57" s="15"/>
      <c r="STO57" s="15"/>
      <c r="STP57" s="15"/>
      <c r="STQ57" s="15"/>
      <c r="STR57" s="15"/>
      <c r="STS57" s="15"/>
      <c r="STT57" s="15"/>
      <c r="STU57" s="15"/>
      <c r="STV57" s="15"/>
      <c r="STW57" s="15"/>
      <c r="STX57" s="15"/>
      <c r="STY57" s="15"/>
      <c r="STZ57" s="15"/>
      <c r="SUA57" s="15"/>
      <c r="SUB57" s="15"/>
      <c r="SUC57" s="15"/>
      <c r="SUD57" s="15"/>
      <c r="SUE57" s="15"/>
      <c r="SUF57" s="15"/>
      <c r="SUG57" s="15"/>
      <c r="SUH57" s="15"/>
      <c r="SUI57" s="15"/>
      <c r="SUJ57" s="15"/>
      <c r="SUK57" s="15"/>
      <c r="SUL57" s="15"/>
      <c r="SUM57" s="15"/>
      <c r="SUN57" s="15"/>
      <c r="SUO57" s="15"/>
      <c r="SUP57" s="15"/>
      <c r="SUQ57" s="15"/>
      <c r="SUR57" s="15"/>
      <c r="SUS57" s="15"/>
      <c r="SUT57" s="15"/>
      <c r="SUU57" s="15"/>
      <c r="SUV57" s="15"/>
      <c r="SUW57" s="15"/>
      <c r="SUX57" s="15"/>
      <c r="SUY57" s="15"/>
      <c r="SUZ57" s="15"/>
      <c r="SVA57" s="15"/>
      <c r="SVB57" s="15"/>
      <c r="SVC57" s="15"/>
      <c r="SVD57" s="15"/>
      <c r="SVE57" s="15"/>
      <c r="SVF57" s="15"/>
      <c r="SVG57" s="15"/>
      <c r="SVH57" s="15"/>
      <c r="SVI57" s="15"/>
      <c r="SVJ57" s="15"/>
      <c r="SVK57" s="15"/>
      <c r="SVL57" s="15"/>
      <c r="SVM57" s="15"/>
      <c r="SVN57" s="15"/>
      <c r="SVO57" s="15"/>
      <c r="SVP57" s="15"/>
      <c r="SVQ57" s="15"/>
      <c r="SVR57" s="15"/>
      <c r="SVS57" s="15"/>
      <c r="SVT57" s="15"/>
      <c r="SVU57" s="15"/>
      <c r="SVV57" s="15"/>
      <c r="SVW57" s="15"/>
      <c r="SVX57" s="15"/>
      <c r="SVY57" s="15"/>
      <c r="SVZ57" s="15"/>
      <c r="SWA57" s="15"/>
      <c r="SWB57" s="15"/>
      <c r="SWC57" s="15"/>
      <c r="SWD57" s="15"/>
      <c r="SWE57" s="15"/>
      <c r="SWF57" s="15"/>
      <c r="SWG57" s="15"/>
      <c r="SWH57" s="15"/>
      <c r="SWI57" s="15"/>
      <c r="SWJ57" s="15"/>
      <c r="SWK57" s="15"/>
      <c r="SWL57" s="15"/>
      <c r="SWM57" s="15"/>
      <c r="SWN57" s="15"/>
      <c r="SWO57" s="15"/>
      <c r="SWP57" s="15"/>
      <c r="SWQ57" s="15"/>
      <c r="SWR57" s="15"/>
      <c r="SWS57" s="15"/>
      <c r="SWT57" s="15"/>
      <c r="SWU57" s="15"/>
      <c r="SWV57" s="15"/>
      <c r="SWW57" s="15"/>
      <c r="SWX57" s="15"/>
      <c r="SWY57" s="15"/>
      <c r="SWZ57" s="15"/>
      <c r="SXA57" s="15"/>
      <c r="SXB57" s="15"/>
      <c r="SXC57" s="15"/>
      <c r="SXD57" s="15"/>
      <c r="SXE57" s="15"/>
      <c r="SXF57" s="15"/>
      <c r="SXG57" s="15"/>
      <c r="SXH57" s="15"/>
      <c r="SXI57" s="15"/>
      <c r="SXJ57" s="15"/>
      <c r="SXK57" s="15"/>
      <c r="SXL57" s="15"/>
      <c r="SXM57" s="15"/>
      <c r="SXN57" s="15"/>
      <c r="SXO57" s="15"/>
      <c r="SXP57" s="15"/>
      <c r="SXQ57" s="15"/>
      <c r="SXR57" s="15"/>
      <c r="SXS57" s="15"/>
      <c r="SXT57" s="15"/>
      <c r="SXU57" s="15"/>
      <c r="SXV57" s="15"/>
      <c r="SXW57" s="15"/>
      <c r="SXX57" s="15"/>
      <c r="SXY57" s="15"/>
      <c r="SXZ57" s="15"/>
      <c r="SYA57" s="15"/>
      <c r="SYB57" s="15"/>
      <c r="SYC57" s="15"/>
      <c r="SYD57" s="15"/>
      <c r="SYE57" s="15"/>
      <c r="SYF57" s="15"/>
      <c r="SYG57" s="15"/>
      <c r="SYH57" s="15"/>
      <c r="SYI57" s="15"/>
      <c r="SYJ57" s="15"/>
      <c r="SYK57" s="15"/>
      <c r="SYL57" s="15"/>
      <c r="SYM57" s="15"/>
      <c r="SYN57" s="15"/>
      <c r="SYO57" s="15"/>
      <c r="SYP57" s="15"/>
      <c r="SYQ57" s="15"/>
      <c r="SYR57" s="15"/>
      <c r="SYS57" s="15"/>
      <c r="SYT57" s="15"/>
      <c r="SYU57" s="15"/>
      <c r="SYV57" s="15"/>
      <c r="SYW57" s="15"/>
      <c r="SYX57" s="15"/>
      <c r="SYY57" s="15"/>
      <c r="SYZ57" s="15"/>
      <c r="SZA57" s="15"/>
      <c r="SZB57" s="15"/>
      <c r="SZC57" s="15"/>
      <c r="SZD57" s="15"/>
      <c r="SZE57" s="15"/>
      <c r="SZF57" s="15"/>
      <c r="SZG57" s="15"/>
      <c r="SZH57" s="15"/>
      <c r="SZI57" s="15"/>
      <c r="SZJ57" s="15"/>
      <c r="SZK57" s="15"/>
      <c r="SZL57" s="15"/>
      <c r="SZM57" s="15"/>
      <c r="SZN57" s="15"/>
      <c r="SZO57" s="15"/>
      <c r="SZP57" s="15"/>
      <c r="SZQ57" s="15"/>
      <c r="SZR57" s="15"/>
      <c r="SZS57" s="15"/>
      <c r="SZT57" s="15"/>
      <c r="SZU57" s="15"/>
      <c r="SZV57" s="15"/>
      <c r="SZW57" s="15"/>
      <c r="SZX57" s="15"/>
      <c r="SZY57" s="15"/>
      <c r="SZZ57" s="15"/>
      <c r="TAA57" s="15"/>
      <c r="TAB57" s="15"/>
      <c r="TAC57" s="15"/>
      <c r="TAD57" s="15"/>
      <c r="TAE57" s="15"/>
      <c r="TAF57" s="15"/>
      <c r="TAG57" s="15"/>
      <c r="TAH57" s="15"/>
      <c r="TAI57" s="15"/>
      <c r="TAJ57" s="15"/>
      <c r="TAK57" s="15"/>
      <c r="TAL57" s="15"/>
      <c r="TAM57" s="15"/>
      <c r="TAN57" s="15"/>
      <c r="TAO57" s="15"/>
      <c r="TAP57" s="15"/>
      <c r="TAQ57" s="15"/>
      <c r="TAR57" s="15"/>
      <c r="TAS57" s="15"/>
      <c r="TAT57" s="15"/>
      <c r="TAU57" s="15"/>
      <c r="TAV57" s="15"/>
      <c r="TAW57" s="15"/>
      <c r="TAX57" s="15"/>
      <c r="TAY57" s="15"/>
      <c r="TAZ57" s="15"/>
      <c r="TBA57" s="15"/>
      <c r="TBB57" s="15"/>
      <c r="TBC57" s="15"/>
      <c r="TBD57" s="15"/>
      <c r="TBE57" s="15"/>
      <c r="TBF57" s="15"/>
      <c r="TBG57" s="15"/>
      <c r="TBH57" s="15"/>
      <c r="TBI57" s="15"/>
      <c r="TBJ57" s="15"/>
      <c r="TBK57" s="15"/>
      <c r="TBL57" s="15"/>
      <c r="TBM57" s="15"/>
      <c r="TBN57" s="15"/>
      <c r="TBO57" s="15"/>
      <c r="TBP57" s="15"/>
      <c r="TBQ57" s="15"/>
      <c r="TBR57" s="15"/>
      <c r="TBS57" s="15"/>
      <c r="TBT57" s="15"/>
      <c r="TBU57" s="15"/>
      <c r="TBV57" s="15"/>
      <c r="TBW57" s="15"/>
      <c r="TBX57" s="15"/>
      <c r="TBY57" s="15"/>
      <c r="TBZ57" s="15"/>
      <c r="TCA57" s="15"/>
      <c r="TCB57" s="15"/>
      <c r="TCC57" s="15"/>
      <c r="TCD57" s="15"/>
      <c r="TCE57" s="15"/>
      <c r="TCF57" s="15"/>
      <c r="TCG57" s="15"/>
      <c r="TCH57" s="15"/>
      <c r="TCI57" s="15"/>
      <c r="TCJ57" s="15"/>
      <c r="TCK57" s="15"/>
      <c r="TCL57" s="15"/>
      <c r="TCM57" s="15"/>
      <c r="TCN57" s="15"/>
      <c r="TCO57" s="15"/>
      <c r="TCP57" s="15"/>
      <c r="TCQ57" s="15"/>
      <c r="TCR57" s="15"/>
      <c r="TCS57" s="15"/>
      <c r="TCT57" s="15"/>
      <c r="TCU57" s="15"/>
      <c r="TCV57" s="15"/>
      <c r="TCW57" s="15"/>
      <c r="TCX57" s="15"/>
      <c r="TCY57" s="15"/>
      <c r="TCZ57" s="15"/>
      <c r="TDA57" s="15"/>
      <c r="TDB57" s="15"/>
      <c r="TDC57" s="15"/>
      <c r="TDD57" s="15"/>
      <c r="TDE57" s="15"/>
      <c r="TDF57" s="15"/>
      <c r="TDG57" s="15"/>
      <c r="TDH57" s="15"/>
      <c r="TDI57" s="15"/>
      <c r="TDJ57" s="15"/>
      <c r="TDK57" s="15"/>
      <c r="TDL57" s="15"/>
      <c r="TDM57" s="15"/>
      <c r="TDN57" s="15"/>
      <c r="TDO57" s="15"/>
      <c r="TDP57" s="15"/>
      <c r="TDQ57" s="15"/>
      <c r="TDR57" s="15"/>
      <c r="TDS57" s="15"/>
      <c r="TDT57" s="15"/>
      <c r="TDU57" s="15"/>
      <c r="TDV57" s="15"/>
      <c r="TDW57" s="15"/>
      <c r="TDX57" s="15"/>
      <c r="TDY57" s="15"/>
      <c r="TDZ57" s="15"/>
      <c r="TEA57" s="15"/>
      <c r="TEB57" s="15"/>
      <c r="TEC57" s="15"/>
      <c r="TED57" s="15"/>
      <c r="TEE57" s="15"/>
      <c r="TEF57" s="15"/>
      <c r="TEG57" s="15"/>
      <c r="TEH57" s="15"/>
      <c r="TEI57" s="15"/>
      <c r="TEJ57" s="15"/>
      <c r="TEK57" s="15"/>
      <c r="TEL57" s="15"/>
      <c r="TEM57" s="15"/>
      <c r="TEN57" s="15"/>
      <c r="TEO57" s="15"/>
      <c r="TEP57" s="15"/>
      <c r="TEQ57" s="15"/>
      <c r="TER57" s="15"/>
      <c r="TES57" s="15"/>
      <c r="TET57" s="15"/>
      <c r="TEU57" s="15"/>
      <c r="TEV57" s="15"/>
      <c r="TEW57" s="15"/>
      <c r="TEX57" s="15"/>
      <c r="TEY57" s="15"/>
      <c r="TEZ57" s="15"/>
      <c r="TFA57" s="15"/>
      <c r="TFB57" s="15"/>
      <c r="TFC57" s="15"/>
      <c r="TFD57" s="15"/>
      <c r="TFE57" s="15"/>
      <c r="TFF57" s="15"/>
      <c r="TFG57" s="15"/>
      <c r="TFH57" s="15"/>
      <c r="TFI57" s="15"/>
      <c r="TFJ57" s="15"/>
      <c r="TFK57" s="15"/>
      <c r="TFL57" s="15"/>
      <c r="TFM57" s="15"/>
      <c r="TFN57" s="15"/>
      <c r="TFO57" s="15"/>
      <c r="TFP57" s="15"/>
      <c r="TFQ57" s="15"/>
      <c r="TFR57" s="15"/>
      <c r="TFS57" s="15"/>
      <c r="TFT57" s="15"/>
      <c r="TFU57" s="15"/>
      <c r="TFV57" s="15"/>
      <c r="TFW57" s="15"/>
      <c r="TFX57" s="15"/>
      <c r="TFY57" s="15"/>
      <c r="TFZ57" s="15"/>
      <c r="TGA57" s="15"/>
      <c r="TGB57" s="15"/>
      <c r="TGC57" s="15"/>
      <c r="TGD57" s="15"/>
      <c r="TGE57" s="15"/>
      <c r="TGF57" s="15"/>
      <c r="TGG57" s="15"/>
      <c r="TGH57" s="15"/>
      <c r="TGI57" s="15"/>
      <c r="TGJ57" s="15"/>
      <c r="TGK57" s="15"/>
      <c r="TGL57" s="15"/>
      <c r="TGM57" s="15"/>
      <c r="TGN57" s="15"/>
      <c r="TGO57" s="15"/>
      <c r="TGP57" s="15"/>
      <c r="TGQ57" s="15"/>
      <c r="TGR57" s="15"/>
      <c r="TGS57" s="15"/>
      <c r="TGT57" s="15"/>
      <c r="TGU57" s="15"/>
      <c r="TGV57" s="15"/>
      <c r="TGW57" s="15"/>
      <c r="TGX57" s="15"/>
      <c r="TGY57" s="15"/>
      <c r="TGZ57" s="15"/>
      <c r="THA57" s="15"/>
      <c r="THB57" s="15"/>
      <c r="THC57" s="15"/>
      <c r="THD57" s="15"/>
      <c r="THE57" s="15"/>
      <c r="THF57" s="15"/>
      <c r="THG57" s="15"/>
      <c r="THH57" s="15"/>
      <c r="THI57" s="15"/>
      <c r="THJ57" s="15"/>
      <c r="THK57" s="15"/>
      <c r="THL57" s="15"/>
      <c r="THM57" s="15"/>
      <c r="THN57" s="15"/>
      <c r="THO57" s="15"/>
      <c r="THP57" s="15"/>
      <c r="THQ57" s="15"/>
      <c r="THR57" s="15"/>
      <c r="THS57" s="15"/>
      <c r="THT57" s="15"/>
      <c r="THU57" s="15"/>
      <c r="THV57" s="15"/>
      <c r="THW57" s="15"/>
      <c r="THX57" s="15"/>
      <c r="THY57" s="15"/>
      <c r="THZ57" s="15"/>
      <c r="TIA57" s="15"/>
      <c r="TIB57" s="15"/>
      <c r="TIC57" s="15"/>
      <c r="TID57" s="15"/>
      <c r="TIE57" s="15"/>
      <c r="TIF57" s="15"/>
      <c r="TIG57" s="15"/>
      <c r="TIH57" s="15"/>
      <c r="TII57" s="15"/>
      <c r="TIJ57" s="15"/>
      <c r="TIK57" s="15"/>
      <c r="TIL57" s="15"/>
      <c r="TIM57" s="15"/>
      <c r="TIN57" s="15"/>
      <c r="TIO57" s="15"/>
      <c r="TIP57" s="15"/>
      <c r="TIQ57" s="15"/>
      <c r="TIR57" s="15"/>
      <c r="TIS57" s="15"/>
      <c r="TIT57" s="15"/>
      <c r="TIU57" s="15"/>
      <c r="TIV57" s="15"/>
      <c r="TIW57" s="15"/>
      <c r="TIX57" s="15"/>
      <c r="TIY57" s="15"/>
      <c r="TIZ57" s="15"/>
      <c r="TJA57" s="15"/>
      <c r="TJB57" s="15"/>
      <c r="TJC57" s="15"/>
      <c r="TJD57" s="15"/>
      <c r="TJE57" s="15"/>
      <c r="TJF57" s="15"/>
      <c r="TJG57" s="15"/>
      <c r="TJH57" s="15"/>
      <c r="TJI57" s="15"/>
      <c r="TJJ57" s="15"/>
      <c r="TJK57" s="15"/>
      <c r="TJL57" s="15"/>
      <c r="TJM57" s="15"/>
      <c r="TJN57" s="15"/>
      <c r="TJO57" s="15"/>
      <c r="TJP57" s="15"/>
      <c r="TJQ57" s="15"/>
      <c r="TJR57" s="15"/>
      <c r="TJS57" s="15"/>
      <c r="TJT57" s="15"/>
      <c r="TJU57" s="15"/>
      <c r="TJV57" s="15"/>
      <c r="TJW57" s="15"/>
      <c r="TJX57" s="15"/>
      <c r="TJY57" s="15"/>
      <c r="TJZ57" s="15"/>
      <c r="TKA57" s="15"/>
      <c r="TKB57" s="15"/>
      <c r="TKC57" s="15"/>
      <c r="TKD57" s="15"/>
      <c r="TKE57" s="15"/>
      <c r="TKF57" s="15"/>
      <c r="TKG57" s="15"/>
      <c r="TKH57" s="15"/>
      <c r="TKI57" s="15"/>
      <c r="TKJ57" s="15"/>
      <c r="TKK57" s="15"/>
      <c r="TKL57" s="15"/>
      <c r="TKM57" s="15"/>
      <c r="TKN57" s="15"/>
      <c r="TKO57" s="15"/>
      <c r="TKP57" s="15"/>
      <c r="TKQ57" s="15"/>
      <c r="TKR57" s="15"/>
      <c r="TKS57" s="15"/>
      <c r="TKT57" s="15"/>
      <c r="TKU57" s="15"/>
      <c r="TKV57" s="15"/>
      <c r="TKW57" s="15"/>
      <c r="TKX57" s="15"/>
      <c r="TKY57" s="15"/>
      <c r="TKZ57" s="15"/>
      <c r="TLA57" s="15"/>
      <c r="TLB57" s="15"/>
      <c r="TLC57" s="15"/>
      <c r="TLD57" s="15"/>
      <c r="TLE57" s="15"/>
      <c r="TLF57" s="15"/>
      <c r="TLG57" s="15"/>
      <c r="TLH57" s="15"/>
      <c r="TLI57" s="15"/>
      <c r="TLJ57" s="15"/>
      <c r="TLK57" s="15"/>
      <c r="TLL57" s="15"/>
      <c r="TLM57" s="15"/>
      <c r="TLN57" s="15"/>
      <c r="TLO57" s="15"/>
      <c r="TLP57" s="15"/>
      <c r="TLQ57" s="15"/>
      <c r="TLR57" s="15"/>
      <c r="TLS57" s="15"/>
      <c r="TLT57" s="15"/>
      <c r="TLU57" s="15"/>
      <c r="TLV57" s="15"/>
      <c r="TLW57" s="15"/>
      <c r="TLX57" s="15"/>
      <c r="TLY57" s="15"/>
      <c r="TLZ57" s="15"/>
      <c r="TMA57" s="15"/>
      <c r="TMB57" s="15"/>
      <c r="TMC57" s="15"/>
      <c r="TMD57" s="15"/>
      <c r="TME57" s="15"/>
      <c r="TMF57" s="15"/>
      <c r="TMG57" s="15"/>
      <c r="TMH57" s="15"/>
      <c r="TMI57" s="15"/>
      <c r="TMJ57" s="15"/>
      <c r="TMK57" s="15"/>
      <c r="TML57" s="15"/>
      <c r="TMM57" s="15"/>
      <c r="TMN57" s="15"/>
      <c r="TMO57" s="15"/>
      <c r="TMP57" s="15"/>
      <c r="TMQ57" s="15"/>
      <c r="TMR57" s="15"/>
      <c r="TMS57" s="15"/>
      <c r="TMT57" s="15"/>
      <c r="TMU57" s="15"/>
      <c r="TMV57" s="15"/>
      <c r="TMW57" s="15"/>
      <c r="TMX57" s="15"/>
      <c r="TMY57" s="15"/>
      <c r="TMZ57" s="15"/>
      <c r="TNA57" s="15"/>
      <c r="TNB57" s="15"/>
      <c r="TNC57" s="15"/>
      <c r="TND57" s="15"/>
      <c r="TNE57" s="15"/>
      <c r="TNF57" s="15"/>
      <c r="TNG57" s="15"/>
      <c r="TNH57" s="15"/>
      <c r="TNI57" s="15"/>
      <c r="TNJ57" s="15"/>
      <c r="TNK57" s="15"/>
      <c r="TNL57" s="15"/>
      <c r="TNM57" s="15"/>
      <c r="TNN57" s="15"/>
      <c r="TNO57" s="15"/>
      <c r="TNP57" s="15"/>
      <c r="TNQ57" s="15"/>
      <c r="TNR57" s="15"/>
      <c r="TNS57" s="15"/>
      <c r="TNT57" s="15"/>
      <c r="TNU57" s="15"/>
      <c r="TNV57" s="15"/>
      <c r="TNW57" s="15"/>
      <c r="TNX57" s="15"/>
      <c r="TNY57" s="15"/>
      <c r="TNZ57" s="15"/>
      <c r="TOA57" s="15"/>
      <c r="TOB57" s="15"/>
      <c r="TOC57" s="15"/>
      <c r="TOD57" s="15"/>
      <c r="TOE57" s="15"/>
      <c r="TOF57" s="15"/>
      <c r="TOG57" s="15"/>
      <c r="TOH57" s="15"/>
      <c r="TOI57" s="15"/>
      <c r="TOJ57" s="15"/>
      <c r="TOK57" s="15"/>
      <c r="TOL57" s="15"/>
      <c r="TOM57" s="15"/>
      <c r="TON57" s="15"/>
      <c r="TOO57" s="15"/>
      <c r="TOP57" s="15"/>
      <c r="TOQ57" s="15"/>
      <c r="TOR57" s="15"/>
      <c r="TOS57" s="15"/>
      <c r="TOT57" s="15"/>
      <c r="TOU57" s="15"/>
      <c r="TOV57" s="15"/>
      <c r="TOW57" s="15"/>
      <c r="TOX57" s="15"/>
      <c r="TOY57" s="15"/>
      <c r="TOZ57" s="15"/>
      <c r="TPA57" s="15"/>
      <c r="TPB57" s="15"/>
      <c r="TPC57" s="15"/>
      <c r="TPD57" s="15"/>
      <c r="TPE57" s="15"/>
      <c r="TPF57" s="15"/>
      <c r="TPG57" s="15"/>
      <c r="TPH57" s="15"/>
      <c r="TPI57" s="15"/>
      <c r="TPJ57" s="15"/>
      <c r="TPK57" s="15"/>
      <c r="TPL57" s="15"/>
      <c r="TPM57" s="15"/>
      <c r="TPN57" s="15"/>
      <c r="TPO57" s="15"/>
      <c r="TPP57" s="15"/>
      <c r="TPQ57" s="15"/>
      <c r="TPR57" s="15"/>
      <c r="TPS57" s="15"/>
      <c r="TPT57" s="15"/>
      <c r="TPU57" s="15"/>
      <c r="TPV57" s="15"/>
      <c r="TPW57" s="15"/>
      <c r="TPX57" s="15"/>
      <c r="TPY57" s="15"/>
      <c r="TPZ57" s="15"/>
      <c r="TQA57" s="15"/>
      <c r="TQB57" s="15"/>
      <c r="TQC57" s="15"/>
      <c r="TQD57" s="15"/>
      <c r="TQE57" s="15"/>
      <c r="TQF57" s="15"/>
      <c r="TQG57" s="15"/>
      <c r="TQH57" s="15"/>
      <c r="TQI57" s="15"/>
      <c r="TQJ57" s="15"/>
      <c r="TQK57" s="15"/>
      <c r="TQL57" s="15"/>
      <c r="TQM57" s="15"/>
      <c r="TQN57" s="15"/>
      <c r="TQO57" s="15"/>
      <c r="TQP57" s="15"/>
      <c r="TQQ57" s="15"/>
      <c r="TQR57" s="15"/>
      <c r="TQS57" s="15"/>
      <c r="TQT57" s="15"/>
      <c r="TQU57" s="15"/>
      <c r="TQV57" s="15"/>
      <c r="TQW57" s="15"/>
      <c r="TQX57" s="15"/>
      <c r="TQY57" s="15"/>
      <c r="TQZ57" s="15"/>
      <c r="TRA57" s="15"/>
      <c r="TRB57" s="15"/>
      <c r="TRC57" s="15"/>
      <c r="TRD57" s="15"/>
      <c r="TRE57" s="15"/>
      <c r="TRF57" s="15"/>
      <c r="TRG57" s="15"/>
      <c r="TRH57" s="15"/>
      <c r="TRI57" s="15"/>
      <c r="TRJ57" s="15"/>
      <c r="TRK57" s="15"/>
      <c r="TRL57" s="15"/>
      <c r="TRM57" s="15"/>
      <c r="TRN57" s="15"/>
      <c r="TRO57" s="15"/>
      <c r="TRP57" s="15"/>
      <c r="TRQ57" s="15"/>
      <c r="TRR57" s="15"/>
      <c r="TRS57" s="15"/>
      <c r="TRT57" s="15"/>
      <c r="TRU57" s="15"/>
      <c r="TRV57" s="15"/>
      <c r="TRW57" s="15"/>
      <c r="TRX57" s="15"/>
      <c r="TRY57" s="15"/>
      <c r="TRZ57" s="15"/>
      <c r="TSA57" s="15"/>
      <c r="TSB57" s="15"/>
      <c r="TSC57" s="15"/>
      <c r="TSD57" s="15"/>
      <c r="TSE57" s="15"/>
      <c r="TSF57" s="15"/>
      <c r="TSG57" s="15"/>
      <c r="TSH57" s="15"/>
      <c r="TSI57" s="15"/>
      <c r="TSJ57" s="15"/>
      <c r="TSK57" s="15"/>
      <c r="TSL57" s="15"/>
      <c r="TSM57" s="15"/>
      <c r="TSN57" s="15"/>
      <c r="TSO57" s="15"/>
      <c r="TSP57" s="15"/>
      <c r="TSQ57" s="15"/>
      <c r="TSR57" s="15"/>
      <c r="TSS57" s="15"/>
      <c r="TST57" s="15"/>
      <c r="TSU57" s="15"/>
      <c r="TSV57" s="15"/>
      <c r="TSW57" s="15"/>
      <c r="TSX57" s="15"/>
      <c r="TSY57" s="15"/>
      <c r="TSZ57" s="15"/>
      <c r="TTA57" s="15"/>
      <c r="TTB57" s="15"/>
      <c r="TTC57" s="15"/>
      <c r="TTD57" s="15"/>
      <c r="TTE57" s="15"/>
      <c r="TTF57" s="15"/>
      <c r="TTG57" s="15"/>
      <c r="TTH57" s="15"/>
      <c r="TTI57" s="15"/>
      <c r="TTJ57" s="15"/>
      <c r="TTK57" s="15"/>
      <c r="TTL57" s="15"/>
      <c r="TTM57" s="15"/>
      <c r="TTN57" s="15"/>
      <c r="TTO57" s="15"/>
      <c r="TTP57" s="15"/>
      <c r="TTQ57" s="15"/>
      <c r="TTR57" s="15"/>
      <c r="TTS57" s="15"/>
      <c r="TTT57" s="15"/>
      <c r="TTU57" s="15"/>
      <c r="TTV57" s="15"/>
      <c r="TTW57" s="15"/>
      <c r="TTX57" s="15"/>
      <c r="TTY57" s="15"/>
      <c r="TTZ57" s="15"/>
      <c r="TUA57" s="15"/>
      <c r="TUB57" s="15"/>
      <c r="TUC57" s="15"/>
      <c r="TUD57" s="15"/>
      <c r="TUE57" s="15"/>
      <c r="TUF57" s="15"/>
      <c r="TUG57" s="15"/>
      <c r="TUH57" s="15"/>
      <c r="TUI57" s="15"/>
      <c r="TUJ57" s="15"/>
      <c r="TUK57" s="15"/>
      <c r="TUL57" s="15"/>
      <c r="TUM57" s="15"/>
      <c r="TUN57" s="15"/>
      <c r="TUO57" s="15"/>
      <c r="TUP57" s="15"/>
      <c r="TUQ57" s="15"/>
      <c r="TUR57" s="15"/>
      <c r="TUS57" s="15"/>
      <c r="TUT57" s="15"/>
      <c r="TUU57" s="15"/>
      <c r="TUV57" s="15"/>
      <c r="TUW57" s="15"/>
      <c r="TUX57" s="15"/>
      <c r="TUY57" s="15"/>
      <c r="TUZ57" s="15"/>
      <c r="TVA57" s="15"/>
      <c r="TVB57" s="15"/>
      <c r="TVC57" s="15"/>
      <c r="TVD57" s="15"/>
      <c r="TVE57" s="15"/>
      <c r="TVF57" s="15"/>
      <c r="TVG57" s="15"/>
      <c r="TVH57" s="15"/>
      <c r="TVI57" s="15"/>
      <c r="TVJ57" s="15"/>
      <c r="TVK57" s="15"/>
      <c r="TVL57" s="15"/>
      <c r="TVM57" s="15"/>
      <c r="TVN57" s="15"/>
      <c r="TVO57" s="15"/>
      <c r="TVP57" s="15"/>
      <c r="TVQ57" s="15"/>
      <c r="TVR57" s="15"/>
      <c r="TVS57" s="15"/>
      <c r="TVT57" s="15"/>
      <c r="TVU57" s="15"/>
      <c r="TVV57" s="15"/>
      <c r="TVW57" s="15"/>
      <c r="TVX57" s="15"/>
      <c r="TVY57" s="15"/>
      <c r="TVZ57" s="15"/>
      <c r="TWA57" s="15"/>
      <c r="TWB57" s="15"/>
      <c r="TWC57" s="15"/>
      <c r="TWD57" s="15"/>
      <c r="TWE57" s="15"/>
      <c r="TWF57" s="15"/>
      <c r="TWG57" s="15"/>
      <c r="TWH57" s="15"/>
      <c r="TWI57" s="15"/>
      <c r="TWJ57" s="15"/>
      <c r="TWK57" s="15"/>
      <c r="TWL57" s="15"/>
      <c r="TWM57" s="15"/>
      <c r="TWN57" s="15"/>
      <c r="TWO57" s="15"/>
      <c r="TWP57" s="15"/>
      <c r="TWQ57" s="15"/>
      <c r="TWR57" s="15"/>
      <c r="TWS57" s="15"/>
      <c r="TWT57" s="15"/>
      <c r="TWU57" s="15"/>
      <c r="TWV57" s="15"/>
      <c r="TWW57" s="15"/>
      <c r="TWX57" s="15"/>
      <c r="TWY57" s="15"/>
      <c r="TWZ57" s="15"/>
      <c r="TXA57" s="15"/>
      <c r="TXB57" s="15"/>
      <c r="TXC57" s="15"/>
      <c r="TXD57" s="15"/>
      <c r="TXE57" s="15"/>
      <c r="TXF57" s="15"/>
      <c r="TXG57" s="15"/>
      <c r="TXH57" s="15"/>
      <c r="TXI57" s="15"/>
      <c r="TXJ57" s="15"/>
      <c r="TXK57" s="15"/>
      <c r="TXL57" s="15"/>
      <c r="TXM57" s="15"/>
      <c r="TXN57" s="15"/>
      <c r="TXO57" s="15"/>
      <c r="TXP57" s="15"/>
      <c r="TXQ57" s="15"/>
      <c r="TXR57" s="15"/>
      <c r="TXS57" s="15"/>
      <c r="TXT57" s="15"/>
      <c r="TXU57" s="15"/>
      <c r="TXV57" s="15"/>
      <c r="TXW57" s="15"/>
      <c r="TXX57" s="15"/>
      <c r="TXY57" s="15"/>
      <c r="TXZ57" s="15"/>
      <c r="TYA57" s="15"/>
      <c r="TYB57" s="15"/>
      <c r="TYC57" s="15"/>
      <c r="TYD57" s="15"/>
      <c r="TYE57" s="15"/>
      <c r="TYF57" s="15"/>
      <c r="TYG57" s="15"/>
      <c r="TYH57" s="15"/>
      <c r="TYI57" s="15"/>
      <c r="TYJ57" s="15"/>
      <c r="TYK57" s="15"/>
      <c r="TYL57" s="15"/>
      <c r="TYM57" s="15"/>
      <c r="TYN57" s="15"/>
      <c r="TYO57" s="15"/>
      <c r="TYP57" s="15"/>
      <c r="TYQ57" s="15"/>
      <c r="TYR57" s="15"/>
      <c r="TYS57" s="15"/>
      <c r="TYT57" s="15"/>
      <c r="TYU57" s="15"/>
      <c r="TYV57" s="15"/>
      <c r="TYW57" s="15"/>
      <c r="TYX57" s="15"/>
      <c r="TYY57" s="15"/>
      <c r="TYZ57" s="15"/>
      <c r="TZA57" s="15"/>
      <c r="TZB57" s="15"/>
      <c r="TZC57" s="15"/>
      <c r="TZD57" s="15"/>
      <c r="TZE57" s="15"/>
      <c r="TZF57" s="15"/>
      <c r="TZG57" s="15"/>
      <c r="TZH57" s="15"/>
      <c r="TZI57" s="15"/>
      <c r="TZJ57" s="15"/>
      <c r="TZK57" s="15"/>
      <c r="TZL57" s="15"/>
      <c r="TZM57" s="15"/>
      <c r="TZN57" s="15"/>
      <c r="TZO57" s="15"/>
      <c r="TZP57" s="15"/>
      <c r="TZQ57" s="15"/>
      <c r="TZR57" s="15"/>
      <c r="TZS57" s="15"/>
      <c r="TZT57" s="15"/>
      <c r="TZU57" s="15"/>
      <c r="TZV57" s="15"/>
      <c r="TZW57" s="15"/>
      <c r="TZX57" s="15"/>
      <c r="TZY57" s="15"/>
      <c r="TZZ57" s="15"/>
      <c r="UAA57" s="15"/>
      <c r="UAB57" s="15"/>
      <c r="UAC57" s="15"/>
      <c r="UAD57" s="15"/>
      <c r="UAE57" s="15"/>
      <c r="UAF57" s="15"/>
      <c r="UAG57" s="15"/>
      <c r="UAH57" s="15"/>
      <c r="UAI57" s="15"/>
      <c r="UAJ57" s="15"/>
      <c r="UAK57" s="15"/>
      <c r="UAL57" s="15"/>
      <c r="UAM57" s="15"/>
      <c r="UAN57" s="15"/>
      <c r="UAO57" s="15"/>
      <c r="UAP57" s="15"/>
      <c r="UAQ57" s="15"/>
      <c r="UAR57" s="15"/>
      <c r="UAS57" s="15"/>
      <c r="UAT57" s="15"/>
      <c r="UAU57" s="15"/>
      <c r="UAV57" s="15"/>
      <c r="UAW57" s="15"/>
      <c r="UAX57" s="15"/>
      <c r="UAY57" s="15"/>
      <c r="UAZ57" s="15"/>
      <c r="UBA57" s="15"/>
      <c r="UBB57" s="15"/>
      <c r="UBC57" s="15"/>
      <c r="UBD57" s="15"/>
      <c r="UBE57" s="15"/>
      <c r="UBF57" s="15"/>
      <c r="UBG57" s="15"/>
      <c r="UBH57" s="15"/>
      <c r="UBI57" s="15"/>
      <c r="UBJ57" s="15"/>
      <c r="UBK57" s="15"/>
      <c r="UBL57" s="15"/>
      <c r="UBM57" s="15"/>
      <c r="UBN57" s="15"/>
      <c r="UBO57" s="15"/>
      <c r="UBP57" s="15"/>
      <c r="UBQ57" s="15"/>
      <c r="UBR57" s="15"/>
      <c r="UBS57" s="15"/>
      <c r="UBT57" s="15"/>
      <c r="UBU57" s="15"/>
      <c r="UBV57" s="15"/>
      <c r="UBW57" s="15"/>
      <c r="UBX57" s="15"/>
      <c r="UBY57" s="15"/>
      <c r="UBZ57" s="15"/>
      <c r="UCA57" s="15"/>
      <c r="UCB57" s="15"/>
      <c r="UCC57" s="15"/>
      <c r="UCD57" s="15"/>
      <c r="UCE57" s="15"/>
      <c r="UCF57" s="15"/>
      <c r="UCG57" s="15"/>
      <c r="UCH57" s="15"/>
      <c r="UCI57" s="15"/>
      <c r="UCJ57" s="15"/>
      <c r="UCK57" s="15"/>
      <c r="UCL57" s="15"/>
      <c r="UCM57" s="15"/>
      <c r="UCN57" s="15"/>
      <c r="UCO57" s="15"/>
      <c r="UCP57" s="15"/>
      <c r="UCQ57" s="15"/>
      <c r="UCR57" s="15"/>
      <c r="UCS57" s="15"/>
      <c r="UCT57" s="15"/>
      <c r="UCU57" s="15"/>
      <c r="UCV57" s="15"/>
      <c r="UCW57" s="15"/>
      <c r="UCX57" s="15"/>
      <c r="UCY57" s="15"/>
      <c r="UCZ57" s="15"/>
      <c r="UDA57" s="15"/>
      <c r="UDB57" s="15"/>
      <c r="UDC57" s="15"/>
      <c r="UDD57" s="15"/>
      <c r="UDE57" s="15"/>
      <c r="UDF57" s="15"/>
      <c r="UDG57" s="15"/>
      <c r="UDH57" s="15"/>
      <c r="UDI57" s="15"/>
      <c r="UDJ57" s="15"/>
      <c r="UDK57" s="15"/>
      <c r="UDL57" s="15"/>
      <c r="UDM57" s="15"/>
      <c r="UDN57" s="15"/>
      <c r="UDO57" s="15"/>
      <c r="UDP57" s="15"/>
      <c r="UDQ57" s="15"/>
      <c r="UDR57" s="15"/>
      <c r="UDS57" s="15"/>
      <c r="UDT57" s="15"/>
      <c r="UDU57" s="15"/>
      <c r="UDV57" s="15"/>
      <c r="UDW57" s="15"/>
      <c r="UDX57" s="15"/>
      <c r="UDY57" s="15"/>
      <c r="UDZ57" s="15"/>
      <c r="UEA57" s="15"/>
      <c r="UEB57" s="15"/>
      <c r="UEC57" s="15"/>
      <c r="UED57" s="15"/>
      <c r="UEE57" s="15"/>
      <c r="UEF57" s="15"/>
      <c r="UEG57" s="15"/>
      <c r="UEH57" s="15"/>
      <c r="UEI57" s="15"/>
      <c r="UEJ57" s="15"/>
      <c r="UEK57" s="15"/>
      <c r="UEL57" s="15"/>
      <c r="UEM57" s="15"/>
      <c r="UEN57" s="15"/>
      <c r="UEO57" s="15"/>
      <c r="UEP57" s="15"/>
      <c r="UEQ57" s="15"/>
      <c r="UER57" s="15"/>
      <c r="UES57" s="15"/>
      <c r="UET57" s="15"/>
      <c r="UEU57" s="15"/>
      <c r="UEV57" s="15"/>
      <c r="UEW57" s="15"/>
      <c r="UEX57" s="15"/>
      <c r="UEY57" s="15"/>
      <c r="UEZ57" s="15"/>
      <c r="UFA57" s="15"/>
      <c r="UFB57" s="15"/>
      <c r="UFC57" s="15"/>
      <c r="UFD57" s="15"/>
      <c r="UFE57" s="15"/>
      <c r="UFF57" s="15"/>
      <c r="UFG57" s="15"/>
      <c r="UFH57" s="15"/>
      <c r="UFI57" s="15"/>
      <c r="UFJ57" s="15"/>
      <c r="UFK57" s="15"/>
      <c r="UFL57" s="15"/>
      <c r="UFM57" s="15"/>
      <c r="UFN57" s="15"/>
      <c r="UFO57" s="15"/>
      <c r="UFP57" s="15"/>
      <c r="UFQ57" s="15"/>
      <c r="UFR57" s="15"/>
      <c r="UFS57" s="15"/>
      <c r="UFT57" s="15"/>
      <c r="UFU57" s="15"/>
      <c r="UFV57" s="15"/>
      <c r="UFW57" s="15"/>
      <c r="UFX57" s="15"/>
      <c r="UFY57" s="15"/>
      <c r="UFZ57" s="15"/>
      <c r="UGA57" s="15"/>
      <c r="UGB57" s="15"/>
      <c r="UGC57" s="15"/>
      <c r="UGD57" s="15"/>
      <c r="UGE57" s="15"/>
      <c r="UGF57" s="15"/>
      <c r="UGG57" s="15"/>
      <c r="UGH57" s="15"/>
      <c r="UGI57" s="15"/>
      <c r="UGJ57" s="15"/>
      <c r="UGK57" s="15"/>
      <c r="UGL57" s="15"/>
      <c r="UGM57" s="15"/>
      <c r="UGN57" s="15"/>
      <c r="UGO57" s="15"/>
      <c r="UGP57" s="15"/>
      <c r="UGQ57" s="15"/>
      <c r="UGR57" s="15"/>
      <c r="UGS57" s="15"/>
      <c r="UGT57" s="15"/>
      <c r="UGU57" s="15"/>
      <c r="UGV57" s="15"/>
      <c r="UGW57" s="15"/>
      <c r="UGX57" s="15"/>
      <c r="UGY57" s="15"/>
      <c r="UGZ57" s="15"/>
      <c r="UHA57" s="15"/>
      <c r="UHB57" s="15"/>
      <c r="UHC57" s="15"/>
      <c r="UHD57" s="15"/>
      <c r="UHE57" s="15"/>
      <c r="UHF57" s="15"/>
      <c r="UHG57" s="15"/>
      <c r="UHH57" s="15"/>
      <c r="UHI57" s="15"/>
      <c r="UHJ57" s="15"/>
      <c r="UHK57" s="15"/>
      <c r="UHL57" s="15"/>
      <c r="UHM57" s="15"/>
      <c r="UHN57" s="15"/>
      <c r="UHO57" s="15"/>
      <c r="UHP57" s="15"/>
      <c r="UHQ57" s="15"/>
      <c r="UHR57" s="15"/>
      <c r="UHS57" s="15"/>
      <c r="UHT57" s="15"/>
      <c r="UHU57" s="15"/>
      <c r="UHV57" s="15"/>
      <c r="UHW57" s="15"/>
      <c r="UHX57" s="15"/>
      <c r="UHY57" s="15"/>
      <c r="UHZ57" s="15"/>
      <c r="UIA57" s="15"/>
      <c r="UIB57" s="15"/>
      <c r="UIC57" s="15"/>
      <c r="UID57" s="15"/>
      <c r="UIE57" s="15"/>
      <c r="UIF57" s="15"/>
      <c r="UIG57" s="15"/>
      <c r="UIH57" s="15"/>
      <c r="UII57" s="15"/>
      <c r="UIJ57" s="15"/>
      <c r="UIK57" s="15"/>
      <c r="UIL57" s="15"/>
      <c r="UIM57" s="15"/>
      <c r="UIN57" s="15"/>
      <c r="UIO57" s="15"/>
      <c r="UIP57" s="15"/>
      <c r="UIQ57" s="15"/>
      <c r="UIR57" s="15"/>
      <c r="UIS57" s="15"/>
      <c r="UIT57" s="15"/>
      <c r="UIU57" s="15"/>
      <c r="UIV57" s="15"/>
      <c r="UIW57" s="15"/>
      <c r="UIX57" s="15"/>
      <c r="UIY57" s="15"/>
      <c r="UIZ57" s="15"/>
      <c r="UJA57" s="15"/>
      <c r="UJB57" s="15"/>
      <c r="UJC57" s="15"/>
      <c r="UJD57" s="15"/>
      <c r="UJE57" s="15"/>
      <c r="UJF57" s="15"/>
      <c r="UJG57" s="15"/>
      <c r="UJH57" s="15"/>
      <c r="UJI57" s="15"/>
      <c r="UJJ57" s="15"/>
      <c r="UJK57" s="15"/>
      <c r="UJL57" s="15"/>
      <c r="UJM57" s="15"/>
      <c r="UJN57" s="15"/>
      <c r="UJO57" s="15"/>
      <c r="UJP57" s="15"/>
      <c r="UJQ57" s="15"/>
      <c r="UJR57" s="15"/>
      <c r="UJS57" s="15"/>
      <c r="UJT57" s="15"/>
      <c r="UJU57" s="15"/>
      <c r="UJV57" s="15"/>
      <c r="UJW57" s="15"/>
      <c r="UJX57" s="15"/>
      <c r="UJY57" s="15"/>
      <c r="UJZ57" s="15"/>
      <c r="UKA57" s="15"/>
      <c r="UKB57" s="15"/>
      <c r="UKC57" s="15"/>
      <c r="UKD57" s="15"/>
      <c r="UKE57" s="15"/>
      <c r="UKF57" s="15"/>
      <c r="UKG57" s="15"/>
      <c r="UKH57" s="15"/>
      <c r="UKI57" s="15"/>
      <c r="UKJ57" s="15"/>
      <c r="UKK57" s="15"/>
      <c r="UKL57" s="15"/>
      <c r="UKM57" s="15"/>
      <c r="UKN57" s="15"/>
      <c r="UKO57" s="15"/>
      <c r="UKP57" s="15"/>
      <c r="UKQ57" s="15"/>
      <c r="UKR57" s="15"/>
      <c r="UKS57" s="15"/>
      <c r="UKT57" s="15"/>
      <c r="UKU57" s="15"/>
      <c r="UKV57" s="15"/>
      <c r="UKW57" s="15"/>
      <c r="UKX57" s="15"/>
      <c r="UKY57" s="15"/>
      <c r="UKZ57" s="15"/>
      <c r="ULA57" s="15"/>
      <c r="ULB57" s="15"/>
      <c r="ULC57" s="15"/>
      <c r="ULD57" s="15"/>
      <c r="ULE57" s="15"/>
      <c r="ULF57" s="15"/>
      <c r="ULG57" s="15"/>
      <c r="ULH57" s="15"/>
      <c r="ULI57" s="15"/>
      <c r="ULJ57" s="15"/>
      <c r="ULK57" s="15"/>
      <c r="ULL57" s="15"/>
      <c r="ULM57" s="15"/>
      <c r="ULN57" s="15"/>
      <c r="ULO57" s="15"/>
      <c r="ULP57" s="15"/>
      <c r="ULQ57" s="15"/>
      <c r="ULR57" s="15"/>
      <c r="ULS57" s="15"/>
      <c r="ULT57" s="15"/>
      <c r="ULU57" s="15"/>
      <c r="ULV57" s="15"/>
      <c r="ULW57" s="15"/>
      <c r="ULX57" s="15"/>
      <c r="ULY57" s="15"/>
      <c r="ULZ57" s="15"/>
      <c r="UMA57" s="15"/>
      <c r="UMB57" s="15"/>
      <c r="UMC57" s="15"/>
      <c r="UMD57" s="15"/>
      <c r="UME57" s="15"/>
      <c r="UMF57" s="15"/>
      <c r="UMG57" s="15"/>
      <c r="UMH57" s="15"/>
      <c r="UMI57" s="15"/>
      <c r="UMJ57" s="15"/>
      <c r="UMK57" s="15"/>
      <c r="UML57" s="15"/>
      <c r="UMM57" s="15"/>
      <c r="UMN57" s="15"/>
      <c r="UMO57" s="15"/>
      <c r="UMP57" s="15"/>
      <c r="UMQ57" s="15"/>
      <c r="UMR57" s="15"/>
      <c r="UMS57" s="15"/>
      <c r="UMT57" s="15"/>
      <c r="UMU57" s="15"/>
      <c r="UMV57" s="15"/>
      <c r="UMW57" s="15"/>
      <c r="UMX57" s="15"/>
      <c r="UMY57" s="15"/>
      <c r="UMZ57" s="15"/>
      <c r="UNA57" s="15"/>
      <c r="UNB57" s="15"/>
      <c r="UNC57" s="15"/>
      <c r="UND57" s="15"/>
      <c r="UNE57" s="15"/>
      <c r="UNF57" s="15"/>
      <c r="UNG57" s="15"/>
      <c r="UNH57" s="15"/>
      <c r="UNI57" s="15"/>
      <c r="UNJ57" s="15"/>
      <c r="UNK57" s="15"/>
      <c r="UNL57" s="15"/>
      <c r="UNM57" s="15"/>
      <c r="UNN57" s="15"/>
      <c r="UNO57" s="15"/>
      <c r="UNP57" s="15"/>
      <c r="UNQ57" s="15"/>
      <c r="UNR57" s="15"/>
      <c r="UNS57" s="15"/>
      <c r="UNT57" s="15"/>
      <c r="UNU57" s="15"/>
      <c r="UNV57" s="15"/>
      <c r="UNW57" s="15"/>
      <c r="UNX57" s="15"/>
      <c r="UNY57" s="15"/>
      <c r="UNZ57" s="15"/>
      <c r="UOA57" s="15"/>
      <c r="UOB57" s="15"/>
      <c r="UOC57" s="15"/>
      <c r="UOD57" s="15"/>
      <c r="UOE57" s="15"/>
      <c r="UOF57" s="15"/>
      <c r="UOG57" s="15"/>
      <c r="UOH57" s="15"/>
      <c r="UOI57" s="15"/>
      <c r="UOJ57" s="15"/>
      <c r="UOK57" s="15"/>
      <c r="UOL57" s="15"/>
      <c r="UOM57" s="15"/>
      <c r="UON57" s="15"/>
      <c r="UOO57" s="15"/>
      <c r="UOP57" s="15"/>
      <c r="UOQ57" s="15"/>
      <c r="UOR57" s="15"/>
      <c r="UOS57" s="15"/>
      <c r="UOT57" s="15"/>
      <c r="UOU57" s="15"/>
      <c r="UOV57" s="15"/>
      <c r="UOW57" s="15"/>
      <c r="UOX57" s="15"/>
      <c r="UOY57" s="15"/>
      <c r="UOZ57" s="15"/>
      <c r="UPA57" s="15"/>
      <c r="UPB57" s="15"/>
      <c r="UPC57" s="15"/>
      <c r="UPD57" s="15"/>
      <c r="UPE57" s="15"/>
      <c r="UPF57" s="15"/>
      <c r="UPG57" s="15"/>
      <c r="UPH57" s="15"/>
      <c r="UPI57" s="15"/>
      <c r="UPJ57" s="15"/>
      <c r="UPK57" s="15"/>
      <c r="UPL57" s="15"/>
      <c r="UPM57" s="15"/>
      <c r="UPN57" s="15"/>
      <c r="UPO57" s="15"/>
      <c r="UPP57" s="15"/>
      <c r="UPQ57" s="15"/>
      <c r="UPR57" s="15"/>
      <c r="UPS57" s="15"/>
      <c r="UPT57" s="15"/>
      <c r="UPU57" s="15"/>
      <c r="UPV57" s="15"/>
      <c r="UPW57" s="15"/>
      <c r="UPX57" s="15"/>
      <c r="UPY57" s="15"/>
      <c r="UPZ57" s="15"/>
      <c r="UQA57" s="15"/>
      <c r="UQB57" s="15"/>
      <c r="UQC57" s="15"/>
      <c r="UQD57" s="15"/>
      <c r="UQE57" s="15"/>
      <c r="UQF57" s="15"/>
      <c r="UQG57" s="15"/>
      <c r="UQH57" s="15"/>
      <c r="UQI57" s="15"/>
      <c r="UQJ57" s="15"/>
      <c r="UQK57" s="15"/>
      <c r="UQL57" s="15"/>
      <c r="UQM57" s="15"/>
      <c r="UQN57" s="15"/>
      <c r="UQO57" s="15"/>
      <c r="UQP57" s="15"/>
      <c r="UQQ57" s="15"/>
      <c r="UQR57" s="15"/>
      <c r="UQS57" s="15"/>
      <c r="UQT57" s="15"/>
      <c r="UQU57" s="15"/>
      <c r="UQV57" s="15"/>
      <c r="UQW57" s="15"/>
      <c r="UQX57" s="15"/>
      <c r="UQY57" s="15"/>
      <c r="UQZ57" s="15"/>
      <c r="URA57" s="15"/>
      <c r="URB57" s="15"/>
      <c r="URC57" s="15"/>
      <c r="URD57" s="15"/>
      <c r="URE57" s="15"/>
      <c r="URF57" s="15"/>
      <c r="URG57" s="15"/>
      <c r="URH57" s="15"/>
      <c r="URI57" s="15"/>
      <c r="URJ57" s="15"/>
      <c r="URK57" s="15"/>
      <c r="URL57" s="15"/>
      <c r="URM57" s="15"/>
      <c r="URN57" s="15"/>
      <c r="URO57" s="15"/>
      <c r="URP57" s="15"/>
      <c r="URQ57" s="15"/>
      <c r="URR57" s="15"/>
      <c r="URS57" s="15"/>
      <c r="URT57" s="15"/>
      <c r="URU57" s="15"/>
      <c r="URV57" s="15"/>
      <c r="URW57" s="15"/>
      <c r="URX57" s="15"/>
      <c r="URY57" s="15"/>
      <c r="URZ57" s="15"/>
      <c r="USA57" s="15"/>
      <c r="USB57" s="15"/>
      <c r="USC57" s="15"/>
      <c r="USD57" s="15"/>
      <c r="USE57" s="15"/>
      <c r="USF57" s="15"/>
      <c r="USG57" s="15"/>
      <c r="USH57" s="15"/>
      <c r="USI57" s="15"/>
      <c r="USJ57" s="15"/>
      <c r="USK57" s="15"/>
      <c r="USL57" s="15"/>
      <c r="USM57" s="15"/>
      <c r="USN57" s="15"/>
      <c r="USO57" s="15"/>
      <c r="USP57" s="15"/>
      <c r="USQ57" s="15"/>
      <c r="USR57" s="15"/>
      <c r="USS57" s="15"/>
      <c r="UST57" s="15"/>
      <c r="USU57" s="15"/>
      <c r="USV57" s="15"/>
      <c r="USW57" s="15"/>
      <c r="USX57" s="15"/>
      <c r="USY57" s="15"/>
      <c r="USZ57" s="15"/>
      <c r="UTA57" s="15"/>
      <c r="UTB57" s="15"/>
      <c r="UTC57" s="15"/>
      <c r="UTD57" s="15"/>
      <c r="UTE57" s="15"/>
      <c r="UTF57" s="15"/>
      <c r="UTG57" s="15"/>
      <c r="UTH57" s="15"/>
      <c r="UTI57" s="15"/>
      <c r="UTJ57" s="15"/>
      <c r="UTK57" s="15"/>
      <c r="UTL57" s="15"/>
      <c r="UTM57" s="15"/>
      <c r="UTN57" s="15"/>
      <c r="UTO57" s="15"/>
      <c r="UTP57" s="15"/>
      <c r="UTQ57" s="15"/>
      <c r="UTR57" s="15"/>
      <c r="UTS57" s="15"/>
      <c r="UTT57" s="15"/>
      <c r="UTU57" s="15"/>
      <c r="UTV57" s="15"/>
      <c r="UTW57" s="15"/>
      <c r="UTX57" s="15"/>
      <c r="UTY57" s="15"/>
      <c r="UTZ57" s="15"/>
      <c r="UUA57" s="15"/>
      <c r="UUB57" s="15"/>
      <c r="UUC57" s="15"/>
      <c r="UUD57" s="15"/>
      <c r="UUE57" s="15"/>
      <c r="UUF57" s="15"/>
      <c r="UUG57" s="15"/>
      <c r="UUH57" s="15"/>
      <c r="UUI57" s="15"/>
      <c r="UUJ57" s="15"/>
      <c r="UUK57" s="15"/>
      <c r="UUL57" s="15"/>
      <c r="UUM57" s="15"/>
      <c r="UUN57" s="15"/>
      <c r="UUO57" s="15"/>
      <c r="UUP57" s="15"/>
      <c r="UUQ57" s="15"/>
      <c r="UUR57" s="15"/>
      <c r="UUS57" s="15"/>
      <c r="UUT57" s="15"/>
      <c r="UUU57" s="15"/>
      <c r="UUV57" s="15"/>
      <c r="UUW57" s="15"/>
      <c r="UUX57" s="15"/>
      <c r="UUY57" s="15"/>
      <c r="UUZ57" s="15"/>
      <c r="UVA57" s="15"/>
      <c r="UVB57" s="15"/>
      <c r="UVC57" s="15"/>
      <c r="UVD57" s="15"/>
      <c r="UVE57" s="15"/>
      <c r="UVF57" s="15"/>
      <c r="UVG57" s="15"/>
      <c r="UVH57" s="15"/>
      <c r="UVI57" s="15"/>
      <c r="UVJ57" s="15"/>
      <c r="UVK57" s="15"/>
      <c r="UVL57" s="15"/>
      <c r="UVM57" s="15"/>
      <c r="UVN57" s="15"/>
      <c r="UVO57" s="15"/>
      <c r="UVP57" s="15"/>
      <c r="UVQ57" s="15"/>
      <c r="UVR57" s="15"/>
      <c r="UVS57" s="15"/>
      <c r="UVT57" s="15"/>
      <c r="UVU57" s="15"/>
      <c r="UVV57" s="15"/>
      <c r="UVW57" s="15"/>
      <c r="UVX57" s="15"/>
      <c r="UVY57" s="15"/>
      <c r="UVZ57" s="15"/>
      <c r="UWA57" s="15"/>
      <c r="UWB57" s="15"/>
      <c r="UWC57" s="15"/>
      <c r="UWD57" s="15"/>
      <c r="UWE57" s="15"/>
      <c r="UWF57" s="15"/>
      <c r="UWG57" s="15"/>
      <c r="UWH57" s="15"/>
      <c r="UWI57" s="15"/>
      <c r="UWJ57" s="15"/>
      <c r="UWK57" s="15"/>
      <c r="UWL57" s="15"/>
      <c r="UWM57" s="15"/>
      <c r="UWN57" s="15"/>
      <c r="UWO57" s="15"/>
      <c r="UWP57" s="15"/>
      <c r="UWQ57" s="15"/>
      <c r="UWR57" s="15"/>
      <c r="UWS57" s="15"/>
      <c r="UWT57" s="15"/>
      <c r="UWU57" s="15"/>
      <c r="UWV57" s="15"/>
      <c r="UWW57" s="15"/>
      <c r="UWX57" s="15"/>
      <c r="UWY57" s="15"/>
      <c r="UWZ57" s="15"/>
      <c r="UXA57" s="15"/>
      <c r="UXB57" s="15"/>
      <c r="UXC57" s="15"/>
      <c r="UXD57" s="15"/>
      <c r="UXE57" s="15"/>
      <c r="UXF57" s="15"/>
      <c r="UXG57" s="15"/>
      <c r="UXH57" s="15"/>
      <c r="UXI57" s="15"/>
      <c r="UXJ57" s="15"/>
      <c r="UXK57" s="15"/>
      <c r="UXL57" s="15"/>
      <c r="UXM57" s="15"/>
      <c r="UXN57" s="15"/>
      <c r="UXO57" s="15"/>
      <c r="UXP57" s="15"/>
      <c r="UXQ57" s="15"/>
      <c r="UXR57" s="15"/>
      <c r="UXS57" s="15"/>
      <c r="UXT57" s="15"/>
      <c r="UXU57" s="15"/>
      <c r="UXV57" s="15"/>
      <c r="UXW57" s="15"/>
      <c r="UXX57" s="15"/>
      <c r="UXY57" s="15"/>
      <c r="UXZ57" s="15"/>
      <c r="UYA57" s="15"/>
      <c r="UYB57" s="15"/>
      <c r="UYC57" s="15"/>
      <c r="UYD57" s="15"/>
      <c r="UYE57" s="15"/>
      <c r="UYF57" s="15"/>
      <c r="UYG57" s="15"/>
      <c r="UYH57" s="15"/>
      <c r="UYI57" s="15"/>
      <c r="UYJ57" s="15"/>
      <c r="UYK57" s="15"/>
      <c r="UYL57" s="15"/>
      <c r="UYM57" s="15"/>
      <c r="UYN57" s="15"/>
      <c r="UYO57" s="15"/>
      <c r="UYP57" s="15"/>
      <c r="UYQ57" s="15"/>
      <c r="UYR57" s="15"/>
      <c r="UYS57" s="15"/>
      <c r="UYT57" s="15"/>
      <c r="UYU57" s="15"/>
      <c r="UYV57" s="15"/>
      <c r="UYW57" s="15"/>
      <c r="UYX57" s="15"/>
      <c r="UYY57" s="15"/>
      <c r="UYZ57" s="15"/>
      <c r="UZA57" s="15"/>
      <c r="UZB57" s="15"/>
      <c r="UZC57" s="15"/>
      <c r="UZD57" s="15"/>
      <c r="UZE57" s="15"/>
      <c r="UZF57" s="15"/>
      <c r="UZG57" s="15"/>
      <c r="UZH57" s="15"/>
      <c r="UZI57" s="15"/>
      <c r="UZJ57" s="15"/>
      <c r="UZK57" s="15"/>
      <c r="UZL57" s="15"/>
      <c r="UZM57" s="15"/>
      <c r="UZN57" s="15"/>
      <c r="UZO57" s="15"/>
      <c r="UZP57" s="15"/>
      <c r="UZQ57" s="15"/>
      <c r="UZR57" s="15"/>
      <c r="UZS57" s="15"/>
      <c r="UZT57" s="15"/>
      <c r="UZU57" s="15"/>
      <c r="UZV57" s="15"/>
      <c r="UZW57" s="15"/>
      <c r="UZX57" s="15"/>
      <c r="UZY57" s="15"/>
      <c r="UZZ57" s="15"/>
      <c r="VAA57" s="15"/>
      <c r="VAB57" s="15"/>
      <c r="VAC57" s="15"/>
      <c r="VAD57" s="15"/>
      <c r="VAE57" s="15"/>
      <c r="VAF57" s="15"/>
      <c r="VAG57" s="15"/>
      <c r="VAH57" s="15"/>
      <c r="VAI57" s="15"/>
      <c r="VAJ57" s="15"/>
      <c r="VAK57" s="15"/>
      <c r="VAL57" s="15"/>
      <c r="VAM57" s="15"/>
      <c r="VAN57" s="15"/>
      <c r="VAO57" s="15"/>
      <c r="VAP57" s="15"/>
      <c r="VAQ57" s="15"/>
      <c r="VAR57" s="15"/>
      <c r="VAS57" s="15"/>
      <c r="VAT57" s="15"/>
      <c r="VAU57" s="15"/>
      <c r="VAV57" s="15"/>
      <c r="VAW57" s="15"/>
      <c r="VAX57" s="15"/>
      <c r="VAY57" s="15"/>
      <c r="VAZ57" s="15"/>
      <c r="VBA57" s="15"/>
      <c r="VBB57" s="15"/>
      <c r="VBC57" s="15"/>
      <c r="VBD57" s="15"/>
      <c r="VBE57" s="15"/>
      <c r="VBF57" s="15"/>
      <c r="VBG57" s="15"/>
      <c r="VBH57" s="15"/>
      <c r="VBI57" s="15"/>
      <c r="VBJ57" s="15"/>
      <c r="VBK57" s="15"/>
      <c r="VBL57" s="15"/>
      <c r="VBM57" s="15"/>
      <c r="VBN57" s="15"/>
      <c r="VBO57" s="15"/>
      <c r="VBP57" s="15"/>
      <c r="VBQ57" s="15"/>
      <c r="VBR57" s="15"/>
      <c r="VBS57" s="15"/>
      <c r="VBT57" s="15"/>
      <c r="VBU57" s="15"/>
      <c r="VBV57" s="15"/>
      <c r="VBW57" s="15"/>
      <c r="VBX57" s="15"/>
      <c r="VBY57" s="15"/>
      <c r="VBZ57" s="15"/>
      <c r="VCA57" s="15"/>
      <c r="VCB57" s="15"/>
      <c r="VCC57" s="15"/>
      <c r="VCD57" s="15"/>
      <c r="VCE57" s="15"/>
      <c r="VCF57" s="15"/>
      <c r="VCG57" s="15"/>
      <c r="VCH57" s="15"/>
      <c r="VCI57" s="15"/>
      <c r="VCJ57" s="15"/>
      <c r="VCK57" s="15"/>
      <c r="VCL57" s="15"/>
      <c r="VCM57" s="15"/>
      <c r="VCN57" s="15"/>
      <c r="VCO57" s="15"/>
      <c r="VCP57" s="15"/>
      <c r="VCQ57" s="15"/>
      <c r="VCR57" s="15"/>
      <c r="VCS57" s="15"/>
      <c r="VCT57" s="15"/>
      <c r="VCU57" s="15"/>
      <c r="VCV57" s="15"/>
      <c r="VCW57" s="15"/>
      <c r="VCX57" s="15"/>
      <c r="VCY57" s="15"/>
      <c r="VCZ57" s="15"/>
      <c r="VDA57" s="15"/>
      <c r="VDB57" s="15"/>
      <c r="VDC57" s="15"/>
      <c r="VDD57" s="15"/>
      <c r="VDE57" s="15"/>
      <c r="VDF57" s="15"/>
      <c r="VDG57" s="15"/>
      <c r="VDH57" s="15"/>
      <c r="VDI57" s="15"/>
      <c r="VDJ57" s="15"/>
      <c r="VDK57" s="15"/>
      <c r="VDL57" s="15"/>
      <c r="VDM57" s="15"/>
      <c r="VDN57" s="15"/>
      <c r="VDO57" s="15"/>
      <c r="VDP57" s="15"/>
      <c r="VDQ57" s="15"/>
      <c r="VDR57" s="15"/>
      <c r="VDS57" s="15"/>
      <c r="VDT57" s="15"/>
      <c r="VDU57" s="15"/>
      <c r="VDV57" s="15"/>
      <c r="VDW57" s="15"/>
      <c r="VDX57" s="15"/>
      <c r="VDY57" s="15"/>
      <c r="VDZ57" s="15"/>
      <c r="VEA57" s="15"/>
      <c r="VEB57" s="15"/>
      <c r="VEC57" s="15"/>
      <c r="VED57" s="15"/>
      <c r="VEE57" s="15"/>
      <c r="VEF57" s="15"/>
      <c r="VEG57" s="15"/>
      <c r="VEH57" s="15"/>
      <c r="VEI57" s="15"/>
      <c r="VEJ57" s="15"/>
      <c r="VEK57" s="15"/>
      <c r="VEL57" s="15"/>
      <c r="VEM57" s="15"/>
      <c r="VEN57" s="15"/>
      <c r="VEO57" s="15"/>
      <c r="VEP57" s="15"/>
      <c r="VEQ57" s="15"/>
      <c r="VER57" s="15"/>
      <c r="VES57" s="15"/>
      <c r="VET57" s="15"/>
      <c r="VEU57" s="15"/>
      <c r="VEV57" s="15"/>
      <c r="VEW57" s="15"/>
      <c r="VEX57" s="15"/>
      <c r="VEY57" s="15"/>
      <c r="VEZ57" s="15"/>
      <c r="VFA57" s="15"/>
      <c r="VFB57" s="15"/>
      <c r="VFC57" s="15"/>
      <c r="VFD57" s="15"/>
      <c r="VFE57" s="15"/>
      <c r="VFF57" s="15"/>
      <c r="VFG57" s="15"/>
      <c r="VFH57" s="15"/>
      <c r="VFI57" s="15"/>
      <c r="VFJ57" s="15"/>
      <c r="VFK57" s="15"/>
      <c r="VFL57" s="15"/>
      <c r="VFM57" s="15"/>
      <c r="VFN57" s="15"/>
      <c r="VFO57" s="15"/>
      <c r="VFP57" s="15"/>
      <c r="VFQ57" s="15"/>
      <c r="VFR57" s="15"/>
      <c r="VFS57" s="15"/>
      <c r="VFT57" s="15"/>
      <c r="VFU57" s="15"/>
      <c r="VFV57" s="15"/>
      <c r="VFW57" s="15"/>
      <c r="VFX57" s="15"/>
      <c r="VFY57" s="15"/>
      <c r="VFZ57" s="15"/>
      <c r="VGA57" s="15"/>
      <c r="VGB57" s="15"/>
      <c r="VGC57" s="15"/>
      <c r="VGD57" s="15"/>
      <c r="VGE57" s="15"/>
      <c r="VGF57" s="15"/>
      <c r="VGG57" s="15"/>
      <c r="VGH57" s="15"/>
      <c r="VGI57" s="15"/>
      <c r="VGJ57" s="15"/>
      <c r="VGK57" s="15"/>
      <c r="VGL57" s="15"/>
      <c r="VGM57" s="15"/>
      <c r="VGN57" s="15"/>
      <c r="VGO57" s="15"/>
      <c r="VGP57" s="15"/>
      <c r="VGQ57" s="15"/>
      <c r="VGR57" s="15"/>
      <c r="VGS57" s="15"/>
      <c r="VGT57" s="15"/>
      <c r="VGU57" s="15"/>
      <c r="VGV57" s="15"/>
      <c r="VGW57" s="15"/>
      <c r="VGX57" s="15"/>
      <c r="VGY57" s="15"/>
      <c r="VGZ57" s="15"/>
      <c r="VHA57" s="15"/>
      <c r="VHB57" s="15"/>
      <c r="VHC57" s="15"/>
      <c r="VHD57" s="15"/>
      <c r="VHE57" s="15"/>
      <c r="VHF57" s="15"/>
      <c r="VHG57" s="15"/>
      <c r="VHH57" s="15"/>
      <c r="VHI57" s="15"/>
      <c r="VHJ57" s="15"/>
      <c r="VHK57" s="15"/>
      <c r="VHL57" s="15"/>
      <c r="VHM57" s="15"/>
      <c r="VHN57" s="15"/>
      <c r="VHO57" s="15"/>
      <c r="VHP57" s="15"/>
      <c r="VHQ57" s="15"/>
      <c r="VHR57" s="15"/>
      <c r="VHS57" s="15"/>
      <c r="VHT57" s="15"/>
      <c r="VHU57" s="15"/>
      <c r="VHV57" s="15"/>
      <c r="VHW57" s="15"/>
      <c r="VHX57" s="15"/>
      <c r="VHY57" s="15"/>
      <c r="VHZ57" s="15"/>
      <c r="VIA57" s="15"/>
      <c r="VIB57" s="15"/>
      <c r="VIC57" s="15"/>
      <c r="VID57" s="15"/>
      <c r="VIE57" s="15"/>
      <c r="VIF57" s="15"/>
      <c r="VIG57" s="15"/>
      <c r="VIH57" s="15"/>
      <c r="VII57" s="15"/>
      <c r="VIJ57" s="15"/>
      <c r="VIK57" s="15"/>
      <c r="VIL57" s="15"/>
      <c r="VIM57" s="15"/>
      <c r="VIN57" s="15"/>
      <c r="VIO57" s="15"/>
      <c r="VIP57" s="15"/>
      <c r="VIQ57" s="15"/>
      <c r="VIR57" s="15"/>
      <c r="VIS57" s="15"/>
      <c r="VIT57" s="15"/>
      <c r="VIU57" s="15"/>
      <c r="VIV57" s="15"/>
      <c r="VIW57" s="15"/>
      <c r="VIX57" s="15"/>
      <c r="VIY57" s="15"/>
      <c r="VIZ57" s="15"/>
      <c r="VJA57" s="15"/>
      <c r="VJB57" s="15"/>
      <c r="VJC57" s="15"/>
      <c r="VJD57" s="15"/>
      <c r="VJE57" s="15"/>
      <c r="VJF57" s="15"/>
      <c r="VJG57" s="15"/>
      <c r="VJH57" s="15"/>
      <c r="VJI57" s="15"/>
      <c r="VJJ57" s="15"/>
      <c r="VJK57" s="15"/>
      <c r="VJL57" s="15"/>
      <c r="VJM57" s="15"/>
      <c r="VJN57" s="15"/>
      <c r="VJO57" s="15"/>
      <c r="VJP57" s="15"/>
      <c r="VJQ57" s="15"/>
      <c r="VJR57" s="15"/>
      <c r="VJS57" s="15"/>
      <c r="VJT57" s="15"/>
      <c r="VJU57" s="15"/>
      <c r="VJV57" s="15"/>
      <c r="VJW57" s="15"/>
      <c r="VJX57" s="15"/>
      <c r="VJY57" s="15"/>
      <c r="VJZ57" s="15"/>
      <c r="VKA57" s="15"/>
      <c r="VKB57" s="15"/>
      <c r="VKC57" s="15"/>
      <c r="VKD57" s="15"/>
      <c r="VKE57" s="15"/>
      <c r="VKF57" s="15"/>
      <c r="VKG57" s="15"/>
      <c r="VKH57" s="15"/>
      <c r="VKI57" s="15"/>
      <c r="VKJ57" s="15"/>
      <c r="VKK57" s="15"/>
      <c r="VKL57" s="15"/>
      <c r="VKM57" s="15"/>
      <c r="VKN57" s="15"/>
      <c r="VKO57" s="15"/>
      <c r="VKP57" s="15"/>
      <c r="VKQ57" s="15"/>
      <c r="VKR57" s="15"/>
      <c r="VKS57" s="15"/>
      <c r="VKT57" s="15"/>
      <c r="VKU57" s="15"/>
      <c r="VKV57" s="15"/>
      <c r="VKW57" s="15"/>
      <c r="VKX57" s="15"/>
      <c r="VKY57" s="15"/>
      <c r="VKZ57" s="15"/>
      <c r="VLA57" s="15"/>
      <c r="VLB57" s="15"/>
      <c r="VLC57" s="15"/>
      <c r="VLD57" s="15"/>
      <c r="VLE57" s="15"/>
      <c r="VLF57" s="15"/>
      <c r="VLG57" s="15"/>
      <c r="VLH57" s="15"/>
      <c r="VLI57" s="15"/>
      <c r="VLJ57" s="15"/>
      <c r="VLK57" s="15"/>
      <c r="VLL57" s="15"/>
      <c r="VLM57" s="15"/>
      <c r="VLN57" s="15"/>
      <c r="VLO57" s="15"/>
      <c r="VLP57" s="15"/>
      <c r="VLQ57" s="15"/>
      <c r="VLR57" s="15"/>
      <c r="VLS57" s="15"/>
      <c r="VLT57" s="15"/>
      <c r="VLU57" s="15"/>
      <c r="VLV57" s="15"/>
      <c r="VLW57" s="15"/>
      <c r="VLX57" s="15"/>
      <c r="VLY57" s="15"/>
      <c r="VLZ57" s="15"/>
      <c r="VMA57" s="15"/>
      <c r="VMB57" s="15"/>
      <c r="VMC57" s="15"/>
      <c r="VMD57" s="15"/>
      <c r="VME57" s="15"/>
      <c r="VMF57" s="15"/>
      <c r="VMG57" s="15"/>
      <c r="VMH57" s="15"/>
      <c r="VMI57" s="15"/>
      <c r="VMJ57" s="15"/>
      <c r="VMK57" s="15"/>
      <c r="VML57" s="15"/>
      <c r="VMM57" s="15"/>
      <c r="VMN57" s="15"/>
      <c r="VMO57" s="15"/>
      <c r="VMP57" s="15"/>
      <c r="VMQ57" s="15"/>
      <c r="VMR57" s="15"/>
      <c r="VMS57" s="15"/>
      <c r="VMT57" s="15"/>
      <c r="VMU57" s="15"/>
      <c r="VMV57" s="15"/>
      <c r="VMW57" s="15"/>
      <c r="VMX57" s="15"/>
      <c r="VMY57" s="15"/>
      <c r="VMZ57" s="15"/>
      <c r="VNA57" s="15"/>
      <c r="VNB57" s="15"/>
      <c r="VNC57" s="15"/>
      <c r="VND57" s="15"/>
      <c r="VNE57" s="15"/>
      <c r="VNF57" s="15"/>
      <c r="VNG57" s="15"/>
      <c r="VNH57" s="15"/>
      <c r="VNI57" s="15"/>
      <c r="VNJ57" s="15"/>
      <c r="VNK57" s="15"/>
      <c r="VNL57" s="15"/>
      <c r="VNM57" s="15"/>
      <c r="VNN57" s="15"/>
      <c r="VNO57" s="15"/>
      <c r="VNP57" s="15"/>
      <c r="VNQ57" s="15"/>
      <c r="VNR57" s="15"/>
      <c r="VNS57" s="15"/>
      <c r="VNT57" s="15"/>
      <c r="VNU57" s="15"/>
      <c r="VNV57" s="15"/>
      <c r="VNW57" s="15"/>
      <c r="VNX57" s="15"/>
      <c r="VNY57" s="15"/>
      <c r="VNZ57" s="15"/>
      <c r="VOA57" s="15"/>
      <c r="VOB57" s="15"/>
      <c r="VOC57" s="15"/>
      <c r="VOD57" s="15"/>
      <c r="VOE57" s="15"/>
      <c r="VOF57" s="15"/>
      <c r="VOG57" s="15"/>
      <c r="VOH57" s="15"/>
      <c r="VOI57" s="15"/>
      <c r="VOJ57" s="15"/>
      <c r="VOK57" s="15"/>
      <c r="VOL57" s="15"/>
      <c r="VOM57" s="15"/>
      <c r="VON57" s="15"/>
      <c r="VOO57" s="15"/>
      <c r="VOP57" s="15"/>
      <c r="VOQ57" s="15"/>
      <c r="VOR57" s="15"/>
      <c r="VOS57" s="15"/>
      <c r="VOT57" s="15"/>
      <c r="VOU57" s="15"/>
      <c r="VOV57" s="15"/>
      <c r="VOW57" s="15"/>
      <c r="VOX57" s="15"/>
      <c r="VOY57" s="15"/>
      <c r="VOZ57" s="15"/>
      <c r="VPA57" s="15"/>
      <c r="VPB57" s="15"/>
      <c r="VPC57" s="15"/>
      <c r="VPD57" s="15"/>
      <c r="VPE57" s="15"/>
      <c r="VPF57" s="15"/>
      <c r="VPG57" s="15"/>
      <c r="VPH57" s="15"/>
      <c r="VPI57" s="15"/>
      <c r="VPJ57" s="15"/>
      <c r="VPK57" s="15"/>
      <c r="VPL57" s="15"/>
      <c r="VPM57" s="15"/>
      <c r="VPN57" s="15"/>
      <c r="VPO57" s="15"/>
      <c r="VPP57" s="15"/>
      <c r="VPQ57" s="15"/>
      <c r="VPR57" s="15"/>
      <c r="VPS57" s="15"/>
      <c r="VPT57" s="15"/>
      <c r="VPU57" s="15"/>
      <c r="VPV57" s="15"/>
      <c r="VPW57" s="15"/>
      <c r="VPX57" s="15"/>
      <c r="VPY57" s="15"/>
      <c r="VPZ57" s="15"/>
      <c r="VQA57" s="15"/>
      <c r="VQB57" s="15"/>
      <c r="VQC57" s="15"/>
      <c r="VQD57" s="15"/>
      <c r="VQE57" s="15"/>
      <c r="VQF57" s="15"/>
      <c r="VQG57" s="15"/>
      <c r="VQH57" s="15"/>
      <c r="VQI57" s="15"/>
      <c r="VQJ57" s="15"/>
      <c r="VQK57" s="15"/>
      <c r="VQL57" s="15"/>
      <c r="VQM57" s="15"/>
      <c r="VQN57" s="15"/>
      <c r="VQO57" s="15"/>
      <c r="VQP57" s="15"/>
      <c r="VQQ57" s="15"/>
      <c r="VQR57" s="15"/>
      <c r="VQS57" s="15"/>
      <c r="VQT57" s="15"/>
      <c r="VQU57" s="15"/>
      <c r="VQV57" s="15"/>
      <c r="VQW57" s="15"/>
      <c r="VQX57" s="15"/>
      <c r="VQY57" s="15"/>
      <c r="VQZ57" s="15"/>
      <c r="VRA57" s="15"/>
      <c r="VRB57" s="15"/>
      <c r="VRC57" s="15"/>
      <c r="VRD57" s="15"/>
      <c r="VRE57" s="15"/>
      <c r="VRF57" s="15"/>
      <c r="VRG57" s="15"/>
      <c r="VRH57" s="15"/>
      <c r="VRI57" s="15"/>
      <c r="VRJ57" s="15"/>
      <c r="VRK57" s="15"/>
      <c r="VRL57" s="15"/>
      <c r="VRM57" s="15"/>
      <c r="VRN57" s="15"/>
      <c r="VRO57" s="15"/>
      <c r="VRP57" s="15"/>
      <c r="VRQ57" s="15"/>
      <c r="VRR57" s="15"/>
      <c r="VRS57" s="15"/>
      <c r="VRT57" s="15"/>
      <c r="VRU57" s="15"/>
      <c r="VRV57" s="15"/>
      <c r="VRW57" s="15"/>
      <c r="VRX57" s="15"/>
      <c r="VRY57" s="15"/>
      <c r="VRZ57" s="15"/>
      <c r="VSA57" s="15"/>
      <c r="VSB57" s="15"/>
      <c r="VSC57" s="15"/>
      <c r="VSD57" s="15"/>
      <c r="VSE57" s="15"/>
      <c r="VSF57" s="15"/>
      <c r="VSG57" s="15"/>
      <c r="VSH57" s="15"/>
      <c r="VSI57" s="15"/>
      <c r="VSJ57" s="15"/>
      <c r="VSK57" s="15"/>
      <c r="VSL57" s="15"/>
      <c r="VSM57" s="15"/>
      <c r="VSN57" s="15"/>
      <c r="VSO57" s="15"/>
      <c r="VSP57" s="15"/>
      <c r="VSQ57" s="15"/>
      <c r="VSR57" s="15"/>
      <c r="VSS57" s="15"/>
      <c r="VST57" s="15"/>
      <c r="VSU57" s="15"/>
      <c r="VSV57" s="15"/>
      <c r="VSW57" s="15"/>
      <c r="VSX57" s="15"/>
      <c r="VSY57" s="15"/>
      <c r="VSZ57" s="15"/>
      <c r="VTA57" s="15"/>
      <c r="VTB57" s="15"/>
      <c r="VTC57" s="15"/>
      <c r="VTD57" s="15"/>
      <c r="VTE57" s="15"/>
      <c r="VTF57" s="15"/>
      <c r="VTG57" s="15"/>
      <c r="VTH57" s="15"/>
      <c r="VTI57" s="15"/>
      <c r="VTJ57" s="15"/>
      <c r="VTK57" s="15"/>
      <c r="VTL57" s="15"/>
      <c r="VTM57" s="15"/>
      <c r="VTN57" s="15"/>
      <c r="VTO57" s="15"/>
      <c r="VTP57" s="15"/>
      <c r="VTQ57" s="15"/>
      <c r="VTR57" s="15"/>
      <c r="VTS57" s="15"/>
      <c r="VTT57" s="15"/>
      <c r="VTU57" s="15"/>
      <c r="VTV57" s="15"/>
      <c r="VTW57" s="15"/>
      <c r="VTX57" s="15"/>
      <c r="VTY57" s="15"/>
      <c r="VTZ57" s="15"/>
      <c r="VUA57" s="15"/>
      <c r="VUB57" s="15"/>
      <c r="VUC57" s="15"/>
      <c r="VUD57" s="15"/>
      <c r="VUE57" s="15"/>
      <c r="VUF57" s="15"/>
      <c r="VUG57" s="15"/>
      <c r="VUH57" s="15"/>
      <c r="VUI57" s="15"/>
      <c r="VUJ57" s="15"/>
      <c r="VUK57" s="15"/>
      <c r="VUL57" s="15"/>
      <c r="VUM57" s="15"/>
      <c r="VUN57" s="15"/>
      <c r="VUO57" s="15"/>
      <c r="VUP57" s="15"/>
      <c r="VUQ57" s="15"/>
      <c r="VUR57" s="15"/>
      <c r="VUS57" s="15"/>
      <c r="VUT57" s="15"/>
      <c r="VUU57" s="15"/>
      <c r="VUV57" s="15"/>
      <c r="VUW57" s="15"/>
      <c r="VUX57" s="15"/>
      <c r="VUY57" s="15"/>
      <c r="VUZ57" s="15"/>
      <c r="VVA57" s="15"/>
      <c r="VVB57" s="15"/>
      <c r="VVC57" s="15"/>
      <c r="VVD57" s="15"/>
      <c r="VVE57" s="15"/>
      <c r="VVF57" s="15"/>
      <c r="VVG57" s="15"/>
      <c r="VVH57" s="15"/>
      <c r="VVI57" s="15"/>
      <c r="VVJ57" s="15"/>
      <c r="VVK57" s="15"/>
      <c r="VVL57" s="15"/>
      <c r="VVM57" s="15"/>
      <c r="VVN57" s="15"/>
      <c r="VVO57" s="15"/>
      <c r="VVP57" s="15"/>
      <c r="VVQ57" s="15"/>
      <c r="VVR57" s="15"/>
      <c r="VVS57" s="15"/>
      <c r="VVT57" s="15"/>
      <c r="VVU57" s="15"/>
      <c r="VVV57" s="15"/>
      <c r="VVW57" s="15"/>
      <c r="VVX57" s="15"/>
      <c r="VVY57" s="15"/>
      <c r="VVZ57" s="15"/>
      <c r="VWA57" s="15"/>
      <c r="VWB57" s="15"/>
      <c r="VWC57" s="15"/>
      <c r="VWD57" s="15"/>
      <c r="VWE57" s="15"/>
      <c r="VWF57" s="15"/>
      <c r="VWG57" s="15"/>
      <c r="VWH57" s="15"/>
      <c r="VWI57" s="15"/>
      <c r="VWJ57" s="15"/>
      <c r="VWK57" s="15"/>
      <c r="VWL57" s="15"/>
      <c r="VWM57" s="15"/>
      <c r="VWN57" s="15"/>
      <c r="VWO57" s="15"/>
      <c r="VWP57" s="15"/>
      <c r="VWQ57" s="15"/>
      <c r="VWR57" s="15"/>
      <c r="VWS57" s="15"/>
      <c r="VWT57" s="15"/>
      <c r="VWU57" s="15"/>
      <c r="VWV57" s="15"/>
      <c r="VWW57" s="15"/>
      <c r="VWX57" s="15"/>
      <c r="VWY57" s="15"/>
      <c r="VWZ57" s="15"/>
      <c r="VXA57" s="15"/>
      <c r="VXB57" s="15"/>
      <c r="VXC57" s="15"/>
      <c r="VXD57" s="15"/>
      <c r="VXE57" s="15"/>
      <c r="VXF57" s="15"/>
      <c r="VXG57" s="15"/>
      <c r="VXH57" s="15"/>
      <c r="VXI57" s="15"/>
      <c r="VXJ57" s="15"/>
      <c r="VXK57" s="15"/>
      <c r="VXL57" s="15"/>
      <c r="VXM57" s="15"/>
      <c r="VXN57" s="15"/>
      <c r="VXO57" s="15"/>
      <c r="VXP57" s="15"/>
      <c r="VXQ57" s="15"/>
      <c r="VXR57" s="15"/>
      <c r="VXS57" s="15"/>
      <c r="VXT57" s="15"/>
      <c r="VXU57" s="15"/>
      <c r="VXV57" s="15"/>
      <c r="VXW57" s="15"/>
      <c r="VXX57" s="15"/>
      <c r="VXY57" s="15"/>
      <c r="VXZ57" s="15"/>
      <c r="VYA57" s="15"/>
      <c r="VYB57" s="15"/>
      <c r="VYC57" s="15"/>
      <c r="VYD57" s="15"/>
      <c r="VYE57" s="15"/>
      <c r="VYF57" s="15"/>
      <c r="VYG57" s="15"/>
      <c r="VYH57" s="15"/>
      <c r="VYI57" s="15"/>
      <c r="VYJ57" s="15"/>
      <c r="VYK57" s="15"/>
      <c r="VYL57" s="15"/>
      <c r="VYM57" s="15"/>
      <c r="VYN57" s="15"/>
      <c r="VYO57" s="15"/>
      <c r="VYP57" s="15"/>
      <c r="VYQ57" s="15"/>
      <c r="VYR57" s="15"/>
      <c r="VYS57" s="15"/>
      <c r="VYT57" s="15"/>
      <c r="VYU57" s="15"/>
      <c r="VYV57" s="15"/>
      <c r="VYW57" s="15"/>
      <c r="VYX57" s="15"/>
      <c r="VYY57" s="15"/>
      <c r="VYZ57" s="15"/>
      <c r="VZA57" s="15"/>
      <c r="VZB57" s="15"/>
      <c r="VZC57" s="15"/>
      <c r="VZD57" s="15"/>
      <c r="VZE57" s="15"/>
      <c r="VZF57" s="15"/>
      <c r="VZG57" s="15"/>
      <c r="VZH57" s="15"/>
      <c r="VZI57" s="15"/>
      <c r="VZJ57" s="15"/>
      <c r="VZK57" s="15"/>
      <c r="VZL57" s="15"/>
      <c r="VZM57" s="15"/>
      <c r="VZN57" s="15"/>
      <c r="VZO57" s="15"/>
      <c r="VZP57" s="15"/>
      <c r="VZQ57" s="15"/>
      <c r="VZR57" s="15"/>
      <c r="VZS57" s="15"/>
      <c r="VZT57" s="15"/>
      <c r="VZU57" s="15"/>
      <c r="VZV57" s="15"/>
      <c r="VZW57" s="15"/>
      <c r="VZX57" s="15"/>
      <c r="VZY57" s="15"/>
      <c r="VZZ57" s="15"/>
      <c r="WAA57" s="15"/>
      <c r="WAB57" s="15"/>
      <c r="WAC57" s="15"/>
      <c r="WAD57" s="15"/>
      <c r="WAE57" s="15"/>
      <c r="WAF57" s="15"/>
      <c r="WAG57" s="15"/>
      <c r="WAH57" s="15"/>
      <c r="WAI57" s="15"/>
      <c r="WAJ57" s="15"/>
      <c r="WAK57" s="15"/>
      <c r="WAL57" s="15"/>
      <c r="WAM57" s="15"/>
      <c r="WAN57" s="15"/>
      <c r="WAO57" s="15"/>
      <c r="WAP57" s="15"/>
      <c r="WAQ57" s="15"/>
      <c r="WAR57" s="15"/>
      <c r="WAS57" s="15"/>
      <c r="WAT57" s="15"/>
      <c r="WAU57" s="15"/>
      <c r="WAV57" s="15"/>
      <c r="WAW57" s="15"/>
      <c r="WAX57" s="15"/>
      <c r="WAY57" s="15"/>
      <c r="WAZ57" s="15"/>
      <c r="WBA57" s="15"/>
      <c r="WBB57" s="15"/>
      <c r="WBC57" s="15"/>
      <c r="WBD57" s="15"/>
      <c r="WBE57" s="15"/>
      <c r="WBF57" s="15"/>
      <c r="WBG57" s="15"/>
      <c r="WBH57" s="15"/>
      <c r="WBI57" s="15"/>
      <c r="WBJ57" s="15"/>
      <c r="WBK57" s="15"/>
      <c r="WBL57" s="15"/>
      <c r="WBM57" s="15"/>
      <c r="WBN57" s="15"/>
      <c r="WBO57" s="15"/>
      <c r="WBP57" s="15"/>
      <c r="WBQ57" s="15"/>
      <c r="WBR57" s="15"/>
      <c r="WBS57" s="15"/>
      <c r="WBT57" s="15"/>
      <c r="WBU57" s="15"/>
      <c r="WBV57" s="15"/>
      <c r="WBW57" s="15"/>
      <c r="WBX57" s="15"/>
      <c r="WBY57" s="15"/>
      <c r="WBZ57" s="15"/>
      <c r="WCA57" s="15"/>
      <c r="WCB57" s="15"/>
      <c r="WCC57" s="15"/>
      <c r="WCD57" s="15"/>
      <c r="WCE57" s="15"/>
      <c r="WCF57" s="15"/>
      <c r="WCG57" s="15"/>
      <c r="WCH57" s="15"/>
      <c r="WCI57" s="15"/>
      <c r="WCJ57" s="15"/>
      <c r="WCK57" s="15"/>
      <c r="WCL57" s="15"/>
      <c r="WCM57" s="15"/>
      <c r="WCN57" s="15"/>
      <c r="WCO57" s="15"/>
      <c r="WCP57" s="15"/>
      <c r="WCQ57" s="15"/>
      <c r="WCR57" s="15"/>
      <c r="WCS57" s="15"/>
      <c r="WCT57" s="15"/>
      <c r="WCU57" s="15"/>
      <c r="WCV57" s="15"/>
      <c r="WCW57" s="15"/>
      <c r="WCX57" s="15"/>
      <c r="WCY57" s="15"/>
      <c r="WCZ57" s="15"/>
      <c r="WDA57" s="15"/>
      <c r="WDB57" s="15"/>
      <c r="WDC57" s="15"/>
      <c r="WDD57" s="15"/>
      <c r="WDE57" s="15"/>
      <c r="WDF57" s="15"/>
      <c r="WDG57" s="15"/>
      <c r="WDH57" s="15"/>
      <c r="WDI57" s="15"/>
      <c r="WDJ57" s="15"/>
      <c r="WDK57" s="15"/>
      <c r="WDL57" s="15"/>
      <c r="WDM57" s="15"/>
      <c r="WDN57" s="15"/>
      <c r="WDO57" s="15"/>
      <c r="WDP57" s="15"/>
      <c r="WDQ57" s="15"/>
      <c r="WDR57" s="15"/>
      <c r="WDS57" s="15"/>
      <c r="WDT57" s="15"/>
      <c r="WDU57" s="15"/>
      <c r="WDV57" s="15"/>
      <c r="WDW57" s="15"/>
      <c r="WDX57" s="15"/>
      <c r="WDY57" s="15"/>
      <c r="WDZ57" s="15"/>
      <c r="WEA57" s="15"/>
      <c r="WEB57" s="15"/>
      <c r="WEC57" s="15"/>
      <c r="WED57" s="15"/>
      <c r="WEE57" s="15"/>
      <c r="WEF57" s="15"/>
      <c r="WEG57" s="15"/>
      <c r="WEH57" s="15"/>
      <c r="WEI57" s="15"/>
      <c r="WEJ57" s="15"/>
      <c r="WEK57" s="15"/>
      <c r="WEL57" s="15"/>
      <c r="WEM57" s="15"/>
      <c r="WEN57" s="15"/>
      <c r="WEO57" s="15"/>
      <c r="WEP57" s="15"/>
      <c r="WEQ57" s="15"/>
      <c r="WER57" s="15"/>
      <c r="WES57" s="15"/>
      <c r="WET57" s="15"/>
      <c r="WEU57" s="15"/>
      <c r="WEV57" s="15"/>
      <c r="WEW57" s="15"/>
      <c r="WEX57" s="15"/>
      <c r="WEY57" s="15"/>
      <c r="WEZ57" s="15"/>
      <c r="WFA57" s="15"/>
      <c r="WFB57" s="15"/>
      <c r="WFC57" s="15"/>
      <c r="WFD57" s="15"/>
      <c r="WFE57" s="15"/>
      <c r="WFF57" s="15"/>
      <c r="WFG57" s="15"/>
      <c r="WFH57" s="15"/>
      <c r="WFI57" s="15"/>
      <c r="WFJ57" s="15"/>
      <c r="WFK57" s="15"/>
      <c r="WFL57" s="15"/>
      <c r="WFM57" s="15"/>
      <c r="WFN57" s="15"/>
      <c r="WFO57" s="15"/>
      <c r="WFP57" s="15"/>
      <c r="WFQ57" s="15"/>
      <c r="WFR57" s="15"/>
      <c r="WFS57" s="15"/>
      <c r="WFT57" s="15"/>
      <c r="WFU57" s="15"/>
      <c r="WFV57" s="15"/>
      <c r="WFW57" s="15"/>
      <c r="WFX57" s="15"/>
      <c r="WFY57" s="15"/>
      <c r="WFZ57" s="15"/>
      <c r="WGA57" s="15"/>
      <c r="WGB57" s="15"/>
      <c r="WGC57" s="15"/>
      <c r="WGD57" s="15"/>
      <c r="WGE57" s="15"/>
      <c r="WGF57" s="15"/>
      <c r="WGG57" s="15"/>
      <c r="WGH57" s="15"/>
      <c r="WGI57" s="15"/>
      <c r="WGJ57" s="15"/>
      <c r="WGK57" s="15"/>
      <c r="WGL57" s="15"/>
      <c r="WGM57" s="15"/>
      <c r="WGN57" s="15"/>
      <c r="WGO57" s="15"/>
      <c r="WGP57" s="15"/>
      <c r="WGQ57" s="15"/>
      <c r="WGR57" s="15"/>
      <c r="WGS57" s="15"/>
      <c r="WGT57" s="15"/>
      <c r="WGU57" s="15"/>
      <c r="WGV57" s="15"/>
      <c r="WGW57" s="15"/>
      <c r="WGX57" s="15"/>
      <c r="WGY57" s="15"/>
      <c r="WGZ57" s="15"/>
      <c r="WHA57" s="15"/>
      <c r="WHB57" s="15"/>
      <c r="WHC57" s="15"/>
      <c r="WHD57" s="15"/>
      <c r="WHE57" s="15"/>
      <c r="WHF57" s="15"/>
      <c r="WHG57" s="15"/>
      <c r="WHH57" s="15"/>
      <c r="WHI57" s="15"/>
      <c r="WHJ57" s="15"/>
      <c r="WHK57" s="15"/>
      <c r="WHL57" s="15"/>
      <c r="WHM57" s="15"/>
      <c r="WHN57" s="15"/>
      <c r="WHO57" s="15"/>
      <c r="WHP57" s="15"/>
      <c r="WHQ57" s="15"/>
      <c r="WHR57" s="15"/>
      <c r="WHS57" s="15"/>
      <c r="WHT57" s="15"/>
      <c r="WHU57" s="15"/>
      <c r="WHV57" s="15"/>
      <c r="WHW57" s="15"/>
      <c r="WHX57" s="15"/>
      <c r="WHY57" s="15"/>
      <c r="WHZ57" s="15"/>
      <c r="WIA57" s="15"/>
      <c r="WIB57" s="15"/>
      <c r="WIC57" s="15"/>
      <c r="WID57" s="15"/>
      <c r="WIE57" s="15"/>
      <c r="WIF57" s="15"/>
      <c r="WIG57" s="15"/>
      <c r="WIH57" s="15"/>
      <c r="WII57" s="15"/>
      <c r="WIJ57" s="15"/>
      <c r="WIK57" s="15"/>
      <c r="WIL57" s="15"/>
      <c r="WIM57" s="15"/>
      <c r="WIN57" s="15"/>
      <c r="WIO57" s="15"/>
      <c r="WIP57" s="15"/>
      <c r="WIQ57" s="15"/>
      <c r="WIR57" s="15"/>
      <c r="WIS57" s="15"/>
      <c r="WIT57" s="15"/>
      <c r="WIU57" s="15"/>
      <c r="WIV57" s="15"/>
      <c r="WIW57" s="15"/>
      <c r="WIX57" s="15"/>
      <c r="WIY57" s="15"/>
      <c r="WIZ57" s="15"/>
      <c r="WJA57" s="15"/>
      <c r="WJB57" s="15"/>
      <c r="WJC57" s="15"/>
      <c r="WJD57" s="15"/>
      <c r="WJE57" s="15"/>
      <c r="WJF57" s="15"/>
      <c r="WJG57" s="15"/>
      <c r="WJH57" s="15"/>
      <c r="WJI57" s="15"/>
      <c r="WJJ57" s="15"/>
      <c r="WJK57" s="15"/>
      <c r="WJL57" s="15"/>
      <c r="WJM57" s="15"/>
      <c r="WJN57" s="15"/>
      <c r="WJO57" s="15"/>
      <c r="WJP57" s="15"/>
      <c r="WJQ57" s="15"/>
      <c r="WJR57" s="15"/>
      <c r="WJS57" s="15"/>
      <c r="WJT57" s="15"/>
      <c r="WJU57" s="15"/>
      <c r="WJV57" s="15"/>
      <c r="WJW57" s="15"/>
      <c r="WJX57" s="15"/>
      <c r="WJY57" s="15"/>
      <c r="WJZ57" s="15"/>
      <c r="WKA57" s="15"/>
      <c r="WKB57" s="15"/>
      <c r="WKC57" s="15"/>
      <c r="WKD57" s="15"/>
      <c r="WKE57" s="15"/>
      <c r="WKF57" s="15"/>
      <c r="WKG57" s="15"/>
      <c r="WKH57" s="15"/>
      <c r="WKI57" s="15"/>
      <c r="WKJ57" s="15"/>
      <c r="WKK57" s="15"/>
      <c r="WKL57" s="15"/>
      <c r="WKM57" s="15"/>
      <c r="WKN57" s="15"/>
      <c r="WKO57" s="15"/>
      <c r="WKP57" s="15"/>
      <c r="WKQ57" s="15"/>
      <c r="WKR57" s="15"/>
      <c r="WKS57" s="15"/>
      <c r="WKT57" s="15"/>
      <c r="WKU57" s="15"/>
      <c r="WKV57" s="15"/>
      <c r="WKW57" s="15"/>
      <c r="WKX57" s="15"/>
      <c r="WKY57" s="15"/>
      <c r="WKZ57" s="15"/>
      <c r="WLA57" s="15"/>
      <c r="WLB57" s="15"/>
      <c r="WLC57" s="15"/>
      <c r="WLD57" s="15"/>
      <c r="WLE57" s="15"/>
      <c r="WLF57" s="15"/>
      <c r="WLG57" s="15"/>
      <c r="WLH57" s="15"/>
      <c r="WLI57" s="15"/>
      <c r="WLJ57" s="15"/>
      <c r="WLK57" s="15"/>
      <c r="WLL57" s="15"/>
      <c r="WLM57" s="15"/>
      <c r="WLN57" s="15"/>
      <c r="WLO57" s="15"/>
      <c r="WLP57" s="15"/>
      <c r="WLQ57" s="15"/>
      <c r="WLR57" s="15"/>
      <c r="WLS57" s="15"/>
      <c r="WLT57" s="15"/>
      <c r="WLU57" s="15"/>
      <c r="WLV57" s="15"/>
      <c r="WLW57" s="15"/>
      <c r="WLX57" s="15"/>
      <c r="WLY57" s="15"/>
      <c r="WLZ57" s="15"/>
      <c r="WMA57" s="15"/>
      <c r="WMB57" s="15"/>
      <c r="WMC57" s="15"/>
      <c r="WMD57" s="15"/>
      <c r="WME57" s="15"/>
      <c r="WMF57" s="15"/>
      <c r="WMG57" s="15"/>
      <c r="WMH57" s="15"/>
      <c r="WMI57" s="15"/>
      <c r="WMJ57" s="15"/>
      <c r="WMK57" s="15"/>
      <c r="WML57" s="15"/>
      <c r="WMM57" s="15"/>
      <c r="WMN57" s="15"/>
      <c r="WMO57" s="15"/>
      <c r="WMP57" s="15"/>
      <c r="WMQ57" s="15"/>
      <c r="WMR57" s="15"/>
      <c r="WMS57" s="15"/>
      <c r="WMT57" s="15"/>
      <c r="WMU57" s="15"/>
      <c r="WMV57" s="15"/>
      <c r="WMW57" s="15"/>
      <c r="WMX57" s="15"/>
      <c r="WMY57" s="15"/>
      <c r="WMZ57" s="15"/>
      <c r="WNA57" s="15"/>
      <c r="WNB57" s="15"/>
      <c r="WNC57" s="15"/>
      <c r="WND57" s="15"/>
      <c r="WNE57" s="15"/>
      <c r="WNF57" s="15"/>
      <c r="WNG57" s="15"/>
      <c r="WNH57" s="15"/>
      <c r="WNI57" s="15"/>
      <c r="WNJ57" s="15"/>
      <c r="WNK57" s="15"/>
      <c r="WNL57" s="15"/>
      <c r="WNM57" s="15"/>
      <c r="WNN57" s="15"/>
      <c r="WNO57" s="15"/>
      <c r="WNP57" s="15"/>
      <c r="WNQ57" s="15"/>
      <c r="WNR57" s="15"/>
      <c r="WNS57" s="15"/>
      <c r="WNT57" s="15"/>
      <c r="WNU57" s="15"/>
      <c r="WNV57" s="15"/>
      <c r="WNW57" s="15"/>
      <c r="WNX57" s="15"/>
      <c r="WNY57" s="15"/>
      <c r="WNZ57" s="15"/>
      <c r="WOA57" s="15"/>
      <c r="WOB57" s="15"/>
      <c r="WOC57" s="15"/>
      <c r="WOD57" s="15"/>
      <c r="WOE57" s="15"/>
      <c r="WOF57" s="15"/>
      <c r="WOG57" s="15"/>
      <c r="WOH57" s="15"/>
      <c r="WOI57" s="15"/>
      <c r="WOJ57" s="15"/>
      <c r="WOK57" s="15"/>
      <c r="WOL57" s="15"/>
      <c r="WOM57" s="15"/>
      <c r="WON57" s="15"/>
      <c r="WOO57" s="15"/>
      <c r="WOP57" s="15"/>
      <c r="WOQ57" s="15"/>
      <c r="WOR57" s="15"/>
      <c r="WOS57" s="15"/>
      <c r="WOT57" s="15"/>
      <c r="WOU57" s="15"/>
      <c r="WOV57" s="15"/>
      <c r="WOW57" s="15"/>
      <c r="WOX57" s="15"/>
      <c r="WOY57" s="15"/>
      <c r="WOZ57" s="15"/>
      <c r="WPA57" s="15"/>
      <c r="WPB57" s="15"/>
      <c r="WPC57" s="15"/>
      <c r="WPD57" s="15"/>
      <c r="WPE57" s="15"/>
      <c r="WPF57" s="15"/>
      <c r="WPG57" s="15"/>
      <c r="WPH57" s="15"/>
      <c r="WPI57" s="15"/>
      <c r="WPJ57" s="15"/>
      <c r="WPK57" s="15"/>
      <c r="WPL57" s="15"/>
      <c r="WPM57" s="15"/>
      <c r="WPN57" s="15"/>
      <c r="WPO57" s="15"/>
      <c r="WPP57" s="15"/>
      <c r="WPQ57" s="15"/>
      <c r="WPR57" s="15"/>
      <c r="WPS57" s="15"/>
      <c r="WPT57" s="15"/>
      <c r="WPU57" s="15"/>
      <c r="WPV57" s="15"/>
      <c r="WPW57" s="15"/>
      <c r="WPX57" s="15"/>
      <c r="WPY57" s="15"/>
      <c r="WPZ57" s="15"/>
      <c r="WQA57" s="15"/>
      <c r="WQB57" s="15"/>
      <c r="WQC57" s="15"/>
      <c r="WQD57" s="15"/>
      <c r="WQE57" s="15"/>
      <c r="WQF57" s="15"/>
      <c r="WQG57" s="15"/>
      <c r="WQH57" s="15"/>
      <c r="WQI57" s="15"/>
      <c r="WQJ57" s="15"/>
      <c r="WQK57" s="15"/>
      <c r="WQL57" s="15"/>
      <c r="WQM57" s="15"/>
      <c r="WQN57" s="15"/>
      <c r="WQO57" s="15"/>
      <c r="WQP57" s="15"/>
      <c r="WQQ57" s="15"/>
      <c r="WQR57" s="15"/>
      <c r="WQS57" s="15"/>
      <c r="WQT57" s="15"/>
      <c r="WQU57" s="15"/>
      <c r="WQV57" s="15"/>
      <c r="WQW57" s="15"/>
      <c r="WQX57" s="15"/>
      <c r="WQY57" s="15"/>
      <c r="WQZ57" s="15"/>
      <c r="WRA57" s="15"/>
      <c r="WRB57" s="15"/>
      <c r="WRC57" s="15"/>
      <c r="WRD57" s="15"/>
      <c r="WRE57" s="15"/>
      <c r="WRF57" s="15"/>
      <c r="WRG57" s="15"/>
      <c r="WRH57" s="15"/>
      <c r="WRI57" s="15"/>
      <c r="WRJ57" s="15"/>
      <c r="WRK57" s="15"/>
      <c r="WRL57" s="15"/>
      <c r="WRM57" s="15"/>
      <c r="WRN57" s="15"/>
      <c r="WRO57" s="15"/>
      <c r="WRP57" s="15"/>
      <c r="WRQ57" s="15"/>
      <c r="WRR57" s="15"/>
      <c r="WRS57" s="15"/>
      <c r="WRT57" s="15"/>
      <c r="WRU57" s="15"/>
      <c r="WRV57" s="15"/>
      <c r="WRW57" s="15"/>
      <c r="WRX57" s="15"/>
      <c r="WRY57" s="15"/>
      <c r="WRZ57" s="15"/>
      <c r="WSA57" s="15"/>
      <c r="WSB57" s="15"/>
      <c r="WSC57" s="15"/>
      <c r="WSD57" s="15"/>
      <c r="WSE57" s="15"/>
      <c r="WSF57" s="15"/>
      <c r="WSG57" s="15"/>
      <c r="WSH57" s="15"/>
      <c r="WSI57" s="15"/>
      <c r="WSJ57" s="15"/>
      <c r="WSK57" s="15"/>
      <c r="WSL57" s="15"/>
      <c r="WSM57" s="15"/>
      <c r="WSN57" s="15"/>
      <c r="WSO57" s="15"/>
      <c r="WSP57" s="15"/>
      <c r="WSQ57" s="15"/>
      <c r="WSR57" s="15"/>
      <c r="WSS57" s="15"/>
      <c r="WST57" s="15"/>
      <c r="WSU57" s="15"/>
      <c r="WSV57" s="15"/>
      <c r="WSW57" s="15"/>
      <c r="WSX57" s="15"/>
      <c r="WSY57" s="15"/>
      <c r="WSZ57" s="15"/>
      <c r="WTA57" s="15"/>
      <c r="WTB57" s="15"/>
      <c r="WTC57" s="15"/>
      <c r="WTD57" s="15"/>
      <c r="WTE57" s="15"/>
      <c r="WTF57" s="15"/>
      <c r="WTG57" s="15"/>
      <c r="WTH57" s="15"/>
      <c r="WTI57" s="15"/>
      <c r="WTJ57" s="15"/>
      <c r="WTK57" s="15"/>
      <c r="WTL57" s="15"/>
      <c r="WTM57" s="15"/>
      <c r="WTN57" s="15"/>
      <c r="WTO57" s="15"/>
      <c r="WTP57" s="15"/>
      <c r="WTQ57" s="15"/>
      <c r="WTR57" s="15"/>
      <c r="WTS57" s="15"/>
      <c r="WTT57" s="15"/>
      <c r="WTU57" s="15"/>
      <c r="WTV57" s="15"/>
      <c r="WTW57" s="15"/>
      <c r="WTX57" s="15"/>
      <c r="WTY57" s="15"/>
      <c r="WTZ57" s="15"/>
      <c r="WUA57" s="15"/>
      <c r="WUB57" s="15"/>
      <c r="WUC57" s="15"/>
      <c r="WUD57" s="15"/>
      <c r="WUE57" s="15"/>
      <c r="WUF57" s="15"/>
      <c r="WUG57" s="15"/>
      <c r="WUH57" s="15"/>
      <c r="WUI57" s="15"/>
      <c r="WUJ57" s="15"/>
      <c r="WUK57" s="15"/>
      <c r="WUL57" s="15"/>
      <c r="WUM57" s="15"/>
      <c r="WUN57" s="15"/>
      <c r="WUO57" s="15"/>
      <c r="WUP57" s="15"/>
      <c r="WUQ57" s="15"/>
      <c r="WUR57" s="15"/>
      <c r="WUS57" s="15"/>
      <c r="WUT57" s="15"/>
      <c r="WUU57" s="15"/>
      <c r="WUV57" s="15"/>
      <c r="WUW57" s="15"/>
      <c r="WUX57" s="15"/>
      <c r="WUY57" s="15"/>
      <c r="WUZ57" s="15"/>
      <c r="WVA57" s="15"/>
      <c r="WVB57" s="15"/>
      <c r="WVC57" s="15"/>
      <c r="WVD57" s="15"/>
      <c r="WVE57" s="15"/>
      <c r="WVF57" s="15"/>
      <c r="WVG57" s="15"/>
      <c r="WVH57" s="15"/>
      <c r="WVI57" s="15"/>
      <c r="WVJ57" s="15"/>
      <c r="WVK57" s="15"/>
      <c r="WVL57" s="15"/>
      <c r="WVM57" s="15"/>
      <c r="WVN57" s="15"/>
      <c r="WVO57" s="15"/>
      <c r="WVP57" s="15"/>
      <c r="WVQ57" s="15"/>
      <c r="WVR57" s="15"/>
      <c r="WVS57" s="15"/>
      <c r="WVT57" s="15"/>
      <c r="WVU57" s="15"/>
      <c r="WVV57" s="15"/>
      <c r="WVW57" s="15"/>
      <c r="WVX57" s="15"/>
      <c r="WVY57" s="15"/>
      <c r="WVZ57" s="15"/>
      <c r="WWA57" s="15"/>
      <c r="WWB57" s="15"/>
      <c r="WWC57" s="15"/>
      <c r="WWD57" s="15"/>
      <c r="WWE57" s="15"/>
      <c r="WWF57" s="15"/>
      <c r="WWG57" s="15"/>
      <c r="WWH57" s="15"/>
      <c r="WWI57" s="15"/>
      <c r="WWJ57" s="15"/>
      <c r="WWK57" s="15"/>
      <c r="WWL57" s="15"/>
      <c r="WWM57" s="15"/>
      <c r="WWN57" s="15"/>
      <c r="WWO57" s="15"/>
      <c r="WWP57" s="15"/>
      <c r="WWQ57" s="15"/>
      <c r="WWR57" s="15"/>
      <c r="WWS57" s="15"/>
      <c r="WWT57" s="15"/>
      <c r="WWU57" s="15"/>
      <c r="WWV57" s="15"/>
      <c r="WWW57" s="15"/>
      <c r="WWX57" s="15"/>
      <c r="WWY57" s="15"/>
      <c r="WWZ57" s="15"/>
      <c r="WXA57" s="15"/>
      <c r="WXB57" s="15"/>
      <c r="WXC57" s="15"/>
      <c r="WXD57" s="15"/>
      <c r="WXE57" s="15"/>
      <c r="WXF57" s="15"/>
      <c r="WXG57" s="15"/>
      <c r="WXH57" s="15"/>
      <c r="WXI57" s="15"/>
      <c r="WXJ57" s="15"/>
      <c r="WXK57" s="15"/>
      <c r="WXL57" s="15"/>
      <c r="WXM57" s="15"/>
      <c r="WXN57" s="15"/>
      <c r="WXO57" s="15"/>
      <c r="WXP57" s="15"/>
      <c r="WXQ57" s="15"/>
      <c r="WXR57" s="15"/>
      <c r="WXS57" s="15"/>
      <c r="WXT57" s="15"/>
      <c r="WXU57" s="15"/>
      <c r="WXV57" s="15"/>
      <c r="WXW57" s="15"/>
      <c r="WXX57" s="15"/>
      <c r="WXY57" s="15"/>
      <c r="WXZ57" s="15"/>
      <c r="WYA57" s="15"/>
      <c r="WYB57" s="15"/>
      <c r="WYC57" s="15"/>
      <c r="WYD57" s="15"/>
      <c r="WYE57" s="15"/>
      <c r="WYF57" s="15"/>
      <c r="WYG57" s="15"/>
      <c r="WYH57" s="15"/>
      <c r="WYI57" s="15"/>
      <c r="WYJ57" s="15"/>
      <c r="WYK57" s="15"/>
      <c r="WYL57" s="15"/>
      <c r="WYM57" s="15"/>
      <c r="WYN57" s="15"/>
      <c r="WYO57" s="15"/>
      <c r="WYP57" s="15"/>
      <c r="WYQ57" s="15"/>
      <c r="WYR57" s="15"/>
      <c r="WYS57" s="15"/>
      <c r="WYT57" s="15"/>
      <c r="WYU57" s="15"/>
      <c r="WYV57" s="15"/>
      <c r="WYW57" s="15"/>
      <c r="WYX57" s="15"/>
      <c r="WYY57" s="15"/>
      <c r="WYZ57" s="15"/>
      <c r="WZA57" s="15"/>
      <c r="WZB57" s="15"/>
      <c r="WZC57" s="15"/>
      <c r="WZD57" s="15"/>
      <c r="WZE57" s="15"/>
      <c r="WZF57" s="15"/>
      <c r="WZG57" s="15"/>
      <c r="WZH57" s="15"/>
      <c r="WZI57" s="15"/>
      <c r="WZJ57" s="15"/>
      <c r="WZK57" s="15"/>
      <c r="WZL57" s="15"/>
      <c r="WZM57" s="15"/>
      <c r="WZN57" s="15"/>
      <c r="WZO57" s="15"/>
      <c r="WZP57" s="15"/>
      <c r="WZQ57" s="15"/>
      <c r="WZR57" s="15"/>
      <c r="WZS57" s="15"/>
      <c r="WZT57" s="15"/>
      <c r="WZU57" s="15"/>
      <c r="WZV57" s="15"/>
      <c r="WZW57" s="15"/>
      <c r="WZX57" s="15"/>
      <c r="WZY57" s="15"/>
      <c r="WZZ57" s="15"/>
      <c r="XAA57" s="15"/>
      <c r="XAB57" s="15"/>
      <c r="XAC57" s="15"/>
      <c r="XAD57" s="15"/>
      <c r="XAE57" s="15"/>
      <c r="XAF57" s="15"/>
      <c r="XAG57" s="15"/>
      <c r="XAH57" s="15"/>
      <c r="XAI57" s="15"/>
      <c r="XAJ57" s="15"/>
      <c r="XAK57" s="15"/>
      <c r="XAL57" s="15"/>
      <c r="XAM57" s="15"/>
      <c r="XAN57" s="15"/>
      <c r="XAO57" s="15"/>
      <c r="XAP57" s="15"/>
      <c r="XAQ57" s="15"/>
      <c r="XAR57" s="15"/>
      <c r="XAS57" s="15"/>
      <c r="XAT57" s="15"/>
      <c r="XAU57" s="15"/>
      <c r="XAV57" s="15"/>
      <c r="XAW57" s="15"/>
      <c r="XAX57" s="15"/>
      <c r="XAY57" s="15"/>
      <c r="XAZ57" s="15"/>
      <c r="XBA57" s="15"/>
      <c r="XBB57" s="15"/>
      <c r="XBC57" s="15"/>
      <c r="XBD57" s="15"/>
      <c r="XBE57" s="15"/>
      <c r="XBF57" s="15"/>
      <c r="XBG57" s="15"/>
      <c r="XBH57" s="15"/>
      <c r="XBI57" s="15"/>
      <c r="XBJ57" s="15"/>
      <c r="XBK57" s="15"/>
      <c r="XBL57" s="15"/>
      <c r="XBM57" s="15"/>
      <c r="XBN57" s="15"/>
      <c r="XBO57" s="15"/>
      <c r="XBP57" s="15"/>
      <c r="XBQ57" s="15"/>
      <c r="XBR57" s="15"/>
      <c r="XBS57" s="15"/>
      <c r="XBT57" s="15"/>
      <c r="XBU57" s="15"/>
      <c r="XBV57" s="15"/>
      <c r="XBW57" s="15"/>
      <c r="XBX57" s="15"/>
      <c r="XBY57" s="15"/>
      <c r="XBZ57" s="15"/>
      <c r="XCA57" s="15"/>
      <c r="XCB57" s="15"/>
      <c r="XCC57" s="15"/>
      <c r="XCD57" s="15"/>
      <c r="XCE57" s="15"/>
      <c r="XCF57" s="15"/>
      <c r="XCG57" s="15"/>
      <c r="XCH57" s="15"/>
      <c r="XCI57" s="15"/>
      <c r="XCJ57" s="15"/>
      <c r="XCK57" s="15"/>
      <c r="XCL57" s="15"/>
      <c r="XCM57" s="15"/>
      <c r="XCN57" s="15"/>
      <c r="XCO57" s="15"/>
      <c r="XCP57" s="15"/>
      <c r="XCQ57" s="15"/>
      <c r="XCR57" s="15"/>
      <c r="XCS57" s="15"/>
      <c r="XCT57" s="15"/>
      <c r="XCU57" s="15"/>
      <c r="XCV57" s="15"/>
      <c r="XCW57" s="15"/>
      <c r="XCX57" s="15"/>
      <c r="XCY57" s="15"/>
      <c r="XCZ57" s="15"/>
      <c r="XDA57" s="15"/>
      <c r="XDB57" s="15"/>
      <c r="XDC57" s="15"/>
      <c r="XDD57" s="15"/>
      <c r="XDE57" s="15"/>
      <c r="XDF57" s="15"/>
      <c r="XDG57" s="15"/>
      <c r="XDH57" s="15"/>
      <c r="XDI57" s="15"/>
      <c r="XDJ57" s="15"/>
      <c r="XDK57" s="15"/>
      <c r="XDL57" s="15"/>
      <c r="XDM57" s="15"/>
      <c r="XDN57" s="15"/>
      <c r="XDO57" s="15"/>
      <c r="XDP57" s="15"/>
      <c r="XDQ57" s="15"/>
      <c r="XDR57" s="15"/>
      <c r="XDS57" s="15"/>
      <c r="XDT57" s="15"/>
      <c r="XDU57" s="15"/>
      <c r="XDV57" s="15"/>
      <c r="XDW57" s="15"/>
      <c r="XDX57" s="15"/>
      <c r="XDY57" s="15"/>
      <c r="XDZ57" s="15"/>
      <c r="XEA57" s="15"/>
      <c r="XEB57" s="15"/>
      <c r="XEC57" s="15"/>
      <c r="XED57" s="15"/>
      <c r="XEE57" s="15"/>
      <c r="XEF57" s="15"/>
      <c r="XEG57" s="15"/>
      <c r="XEH57" s="15"/>
      <c r="XEI57" s="15"/>
      <c r="XEJ57" s="15"/>
      <c r="XEK57" s="15"/>
      <c r="XEL57" s="15"/>
      <c r="XEM57" s="15"/>
      <c r="XEN57" s="15"/>
      <c r="XEO57" s="15"/>
      <c r="XEP57" s="15"/>
      <c r="XEQ57" s="15"/>
      <c r="XER57" s="15"/>
      <c r="XES57" s="15"/>
      <c r="XET57" s="15"/>
      <c r="XEU57" s="15"/>
      <c r="XEV57" s="15"/>
      <c r="XEW57" s="15"/>
      <c r="XEX57" s="15"/>
      <c r="XEY57" s="15"/>
      <c r="XEZ57" s="15"/>
      <c r="XFA57" s="15"/>
      <c r="XFB57" s="15"/>
      <c r="XFC57" s="15"/>
    </row>
    <row r="58" spans="2:16383" s="15" customFormat="1">
      <c r="B58" s="116" t="s">
        <v>190</v>
      </c>
      <c r="D58" s="117" t="str">
        <f t="shared" ref="D58:M58" si="6">IFERROR(IF(C57&lt;0,"na",D57/C57-1),"na")</f>
        <v>na</v>
      </c>
      <c r="E58" s="117" t="str">
        <f t="shared" si="6"/>
        <v>na</v>
      </c>
      <c r="F58" s="117">
        <f t="shared" si="6"/>
        <v>1.8331843338305576</v>
      </c>
      <c r="G58" s="117">
        <f t="shared" si="6"/>
        <v>0.93200186089661763</v>
      </c>
      <c r="H58" s="117">
        <f t="shared" si="6"/>
        <v>0.6479880911344722</v>
      </c>
      <c r="I58" s="117">
        <f t="shared" si="6"/>
        <v>0.51074781020133186</v>
      </c>
      <c r="J58" s="117">
        <f t="shared" si="6"/>
        <v>0.41539507674533582</v>
      </c>
      <c r="K58" s="117">
        <f t="shared" si="6"/>
        <v>0.2974752090534365</v>
      </c>
      <c r="L58" s="117">
        <f t="shared" si="6"/>
        <v>0.22161535737500548</v>
      </c>
      <c r="M58" s="117">
        <f t="shared" si="6"/>
        <v>4.4999999999999929E-2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  <c r="CG58"/>
      <c r="CH58"/>
      <c r="CI58"/>
      <c r="CJ58"/>
      <c r="CK58"/>
      <c r="CL58"/>
      <c r="CM58"/>
      <c r="CN58"/>
      <c r="CO58"/>
      <c r="CP58"/>
      <c r="CQ58"/>
      <c r="CR58"/>
      <c r="CS58"/>
      <c r="CT58"/>
      <c r="CU58"/>
      <c r="CV58"/>
      <c r="CW58"/>
      <c r="CX58"/>
      <c r="CY58"/>
      <c r="CZ58"/>
      <c r="DA58"/>
      <c r="DB58"/>
      <c r="DC58"/>
      <c r="DD58"/>
      <c r="DE58"/>
      <c r="DF58"/>
      <c r="DG58"/>
      <c r="DH58"/>
      <c r="DI58"/>
      <c r="DJ58"/>
      <c r="DK58"/>
      <c r="DL58"/>
      <c r="DM58"/>
      <c r="DN58"/>
      <c r="DO58"/>
      <c r="DP58"/>
      <c r="DQ58"/>
      <c r="DR58"/>
      <c r="DS58"/>
      <c r="DT58"/>
      <c r="DU58"/>
      <c r="DV58"/>
      <c r="DW58"/>
      <c r="DX58"/>
      <c r="DY58"/>
      <c r="DZ58"/>
      <c r="EA58"/>
      <c r="EB58"/>
      <c r="EC58"/>
      <c r="ED58"/>
      <c r="EE58"/>
      <c r="EF58"/>
      <c r="EG58"/>
      <c r="EH58"/>
      <c r="EI58"/>
      <c r="EJ58"/>
      <c r="EK58"/>
      <c r="EL58"/>
      <c r="EM58"/>
      <c r="EN58"/>
      <c r="EO58"/>
      <c r="EP58"/>
      <c r="EQ58"/>
      <c r="ER58"/>
      <c r="ES58"/>
      <c r="ET58"/>
      <c r="EU58"/>
      <c r="EV58"/>
      <c r="EW58"/>
      <c r="EX58"/>
      <c r="EY58"/>
      <c r="EZ58"/>
      <c r="FA58"/>
      <c r="FB58"/>
      <c r="FC58"/>
      <c r="FD58"/>
      <c r="FE58"/>
      <c r="FF58"/>
      <c r="FG58"/>
      <c r="FH58"/>
      <c r="FI58"/>
      <c r="FJ58"/>
      <c r="FK58"/>
      <c r="FL58"/>
      <c r="FM58"/>
      <c r="FN58"/>
      <c r="FO58"/>
      <c r="FP58"/>
      <c r="FQ58"/>
      <c r="FR58"/>
      <c r="FS58"/>
      <c r="FT58"/>
      <c r="FU58"/>
      <c r="FV58"/>
      <c r="FW58"/>
      <c r="FX58"/>
      <c r="FY58"/>
      <c r="FZ58"/>
      <c r="GA58"/>
      <c r="GB58"/>
      <c r="GC58"/>
      <c r="GD58"/>
      <c r="GE58"/>
      <c r="GF58"/>
      <c r="GG58"/>
      <c r="GH58"/>
      <c r="GI58"/>
      <c r="GJ58"/>
      <c r="GK58"/>
      <c r="GL58"/>
      <c r="GM58"/>
      <c r="GN58"/>
      <c r="GO58"/>
      <c r="GP58"/>
      <c r="GQ58"/>
      <c r="GR58"/>
      <c r="GS58"/>
      <c r="GT58"/>
      <c r="GU58"/>
      <c r="GV58"/>
      <c r="GW58"/>
      <c r="GX58"/>
      <c r="GY58"/>
      <c r="GZ58"/>
      <c r="HA58"/>
      <c r="HB58"/>
      <c r="HC58"/>
      <c r="HD58"/>
      <c r="HE58"/>
      <c r="HF58"/>
      <c r="HG58"/>
      <c r="HH58"/>
      <c r="HI58"/>
      <c r="HJ58"/>
      <c r="HK58"/>
      <c r="HL58"/>
      <c r="HM58"/>
      <c r="HN58"/>
      <c r="HO58"/>
      <c r="HP58"/>
      <c r="HQ58"/>
      <c r="HR58"/>
      <c r="HS58"/>
      <c r="HT58"/>
      <c r="HU58"/>
      <c r="HV58"/>
      <c r="HW58"/>
      <c r="HX58"/>
      <c r="HY58"/>
      <c r="HZ58"/>
      <c r="IA58"/>
      <c r="IB58"/>
      <c r="IC58"/>
      <c r="ID58"/>
      <c r="IE58"/>
      <c r="IF58"/>
      <c r="IG58"/>
      <c r="IH58"/>
      <c r="II58"/>
      <c r="IJ58"/>
      <c r="IK58"/>
      <c r="IL58"/>
      <c r="IM58"/>
      <c r="IN58"/>
      <c r="IO58"/>
      <c r="IP58"/>
      <c r="IQ58"/>
      <c r="IR58"/>
      <c r="IS58"/>
      <c r="IT58"/>
      <c r="IU58"/>
      <c r="IV58"/>
      <c r="IW58"/>
      <c r="IX58"/>
      <c r="IY58"/>
      <c r="IZ58"/>
      <c r="JA58"/>
      <c r="JB58"/>
      <c r="JC58"/>
      <c r="JD58"/>
      <c r="JE58"/>
      <c r="JF58"/>
      <c r="JG58"/>
      <c r="JH58"/>
      <c r="JI58"/>
      <c r="JJ58"/>
      <c r="JK58"/>
      <c r="JL58"/>
      <c r="JM58"/>
      <c r="JN58"/>
      <c r="JO58"/>
      <c r="JP58"/>
      <c r="JQ58"/>
      <c r="JR58"/>
      <c r="JS58"/>
      <c r="JT58"/>
      <c r="JU58"/>
      <c r="JV58"/>
      <c r="JW58"/>
      <c r="JX58"/>
      <c r="JY58"/>
      <c r="JZ58"/>
      <c r="KA58"/>
      <c r="KB58"/>
      <c r="KC58"/>
      <c r="KD58"/>
      <c r="KE58"/>
      <c r="KF58"/>
      <c r="KG58"/>
      <c r="KH58"/>
      <c r="KI58"/>
      <c r="KJ58"/>
      <c r="KK58"/>
      <c r="KL58"/>
      <c r="KM58"/>
      <c r="KN58"/>
      <c r="KO58"/>
      <c r="KP58"/>
      <c r="KQ58"/>
      <c r="KR58"/>
      <c r="KS58"/>
      <c r="KT58"/>
      <c r="KU58"/>
      <c r="KV58"/>
      <c r="KW58"/>
      <c r="KX58"/>
      <c r="KY58"/>
      <c r="KZ58"/>
      <c r="LA58"/>
      <c r="LB58"/>
      <c r="LC58"/>
      <c r="LD58"/>
      <c r="LE58"/>
      <c r="LF58"/>
      <c r="LG58"/>
      <c r="LH58"/>
      <c r="LI58"/>
      <c r="LJ58"/>
      <c r="LK58"/>
      <c r="LL58"/>
      <c r="LM58"/>
      <c r="LN58"/>
      <c r="LO58"/>
      <c r="LP58"/>
      <c r="LQ58"/>
      <c r="LR58"/>
      <c r="LS58"/>
      <c r="LT58"/>
      <c r="LU58"/>
      <c r="LV58"/>
      <c r="LW58"/>
      <c r="LX58"/>
      <c r="LY58"/>
      <c r="LZ58"/>
      <c r="MA58"/>
      <c r="MB58"/>
      <c r="MC58"/>
      <c r="MD58"/>
      <c r="ME58"/>
      <c r="MF58"/>
      <c r="MG58"/>
      <c r="MH58"/>
      <c r="MI58"/>
      <c r="MJ58"/>
      <c r="MK58"/>
      <c r="ML58"/>
      <c r="MM58"/>
      <c r="MN58"/>
      <c r="MO58"/>
      <c r="MP58"/>
      <c r="MQ58"/>
      <c r="MR58"/>
      <c r="MS58"/>
      <c r="MT58"/>
      <c r="MU58"/>
      <c r="MV58"/>
      <c r="MW58"/>
      <c r="MX58"/>
      <c r="MY58"/>
      <c r="MZ58"/>
      <c r="NA58"/>
      <c r="NB58"/>
      <c r="NC58"/>
      <c r="ND58"/>
      <c r="NE58"/>
      <c r="NF58"/>
      <c r="NG58"/>
      <c r="NH58"/>
      <c r="NI58"/>
      <c r="NJ58"/>
      <c r="NK58"/>
      <c r="NL58"/>
      <c r="NM58"/>
      <c r="NN58"/>
      <c r="NO58"/>
      <c r="NP58"/>
      <c r="NQ58"/>
      <c r="NR58"/>
      <c r="NS58"/>
      <c r="NT58"/>
      <c r="NU58"/>
      <c r="NV58"/>
      <c r="NW58"/>
      <c r="NX58"/>
      <c r="NY58"/>
      <c r="NZ58"/>
      <c r="OA58"/>
      <c r="OB58"/>
      <c r="OC58"/>
      <c r="OD58"/>
      <c r="OE58"/>
      <c r="OF58"/>
      <c r="OG58"/>
      <c r="OH58"/>
      <c r="OI58"/>
      <c r="OJ58"/>
      <c r="OK58"/>
      <c r="OL58"/>
      <c r="OM58"/>
      <c r="ON58"/>
      <c r="OO58"/>
      <c r="OP58"/>
      <c r="OQ58"/>
      <c r="OR58"/>
      <c r="OS58"/>
      <c r="OT58"/>
      <c r="OU58"/>
      <c r="OV58"/>
      <c r="OW58"/>
      <c r="OX58"/>
      <c r="OY58"/>
      <c r="OZ58"/>
      <c r="PA58"/>
      <c r="PB58"/>
      <c r="PC58"/>
      <c r="PD58"/>
      <c r="PE58"/>
      <c r="PF58"/>
      <c r="PG58"/>
      <c r="PH58"/>
      <c r="PI58"/>
      <c r="PJ58"/>
      <c r="PK58"/>
      <c r="PL58"/>
      <c r="PM58"/>
      <c r="PN58"/>
      <c r="PO58"/>
      <c r="PP58"/>
      <c r="PQ58"/>
      <c r="PR58"/>
      <c r="PS58"/>
      <c r="PT58"/>
      <c r="PU58"/>
      <c r="PV58"/>
      <c r="PW58"/>
      <c r="PX58"/>
      <c r="PY58"/>
      <c r="PZ58"/>
      <c r="QA58"/>
      <c r="QB58"/>
      <c r="QC58"/>
      <c r="QD58"/>
      <c r="QE58"/>
      <c r="QF58"/>
      <c r="QG58"/>
      <c r="QH58"/>
      <c r="QI58"/>
      <c r="QJ58"/>
      <c r="QK58"/>
      <c r="QL58"/>
      <c r="QM58"/>
      <c r="QN58"/>
      <c r="QO58"/>
      <c r="QP58"/>
      <c r="QQ58"/>
      <c r="QR58"/>
      <c r="QS58"/>
      <c r="QT58"/>
      <c r="QU58"/>
      <c r="QV58"/>
      <c r="QW58"/>
      <c r="QX58"/>
      <c r="QY58"/>
      <c r="QZ58"/>
      <c r="RA58"/>
      <c r="RB58"/>
      <c r="RC58"/>
      <c r="RD58"/>
      <c r="RE58"/>
      <c r="RF58"/>
      <c r="RG58"/>
      <c r="RH58"/>
      <c r="RI58"/>
      <c r="RJ58"/>
      <c r="RK58"/>
      <c r="RL58"/>
      <c r="RM58"/>
      <c r="RN58"/>
      <c r="RO58"/>
      <c r="RP58"/>
      <c r="RQ58"/>
      <c r="RR58"/>
      <c r="RS58"/>
      <c r="RT58"/>
      <c r="RU58"/>
      <c r="RV58"/>
      <c r="RW58"/>
      <c r="RX58"/>
      <c r="RY58"/>
      <c r="RZ58"/>
      <c r="SA58"/>
      <c r="SB58"/>
      <c r="SC58"/>
      <c r="SD58"/>
      <c r="SE58"/>
      <c r="SF58"/>
      <c r="SG58"/>
      <c r="SH58"/>
      <c r="SI58"/>
      <c r="SJ58"/>
      <c r="SK58"/>
      <c r="SL58"/>
      <c r="SM58"/>
      <c r="SN58"/>
      <c r="SO58"/>
      <c r="SP58"/>
      <c r="SQ58"/>
      <c r="SR58"/>
      <c r="SS58"/>
      <c r="ST58"/>
      <c r="SU58"/>
      <c r="SV58"/>
      <c r="SW58"/>
      <c r="SX58"/>
      <c r="SY58"/>
      <c r="SZ58"/>
      <c r="TA58"/>
      <c r="TB58"/>
      <c r="TC58"/>
      <c r="TD58"/>
      <c r="TE58"/>
      <c r="TF58"/>
      <c r="TG58"/>
      <c r="TH58"/>
      <c r="TI58"/>
      <c r="TJ58"/>
      <c r="TK58"/>
      <c r="TL58"/>
      <c r="TM58"/>
      <c r="TN58"/>
      <c r="TO58"/>
      <c r="TP58"/>
      <c r="TQ58"/>
      <c r="TR58"/>
      <c r="TS58"/>
      <c r="TT58"/>
      <c r="TU58"/>
      <c r="TV58"/>
      <c r="TW58"/>
      <c r="TX58"/>
      <c r="TY58"/>
      <c r="TZ58"/>
      <c r="UA58"/>
      <c r="UB58"/>
      <c r="UC58"/>
      <c r="UD58"/>
      <c r="UE58"/>
      <c r="UF58"/>
      <c r="UG58"/>
      <c r="UH58"/>
      <c r="UI58"/>
      <c r="UJ58"/>
      <c r="UK58"/>
      <c r="UL58"/>
      <c r="UM58"/>
      <c r="UN58"/>
      <c r="UO58"/>
      <c r="UP58"/>
      <c r="UQ58"/>
      <c r="UR58"/>
      <c r="US58"/>
      <c r="UT58"/>
      <c r="UU58"/>
      <c r="UV58"/>
      <c r="UW58"/>
      <c r="UX58"/>
      <c r="UY58"/>
      <c r="UZ58"/>
      <c r="VA58"/>
      <c r="VB58"/>
      <c r="VC58"/>
      <c r="VD58"/>
      <c r="VE58"/>
      <c r="VF58"/>
      <c r="VG58"/>
      <c r="VH58"/>
      <c r="VI58"/>
      <c r="VJ58"/>
      <c r="VK58"/>
      <c r="VL58"/>
      <c r="VM58"/>
      <c r="VN58"/>
      <c r="VO58"/>
      <c r="VP58"/>
      <c r="VQ58"/>
      <c r="VR58"/>
      <c r="VS58"/>
      <c r="VT58"/>
      <c r="VU58"/>
      <c r="VV58"/>
      <c r="VW58"/>
      <c r="VX58"/>
      <c r="VY58"/>
      <c r="VZ58"/>
      <c r="WA58"/>
      <c r="WB58"/>
      <c r="WC58"/>
      <c r="WD58"/>
      <c r="WE58"/>
      <c r="WF58"/>
      <c r="WG58"/>
      <c r="WH58"/>
      <c r="WI58"/>
      <c r="WJ58"/>
      <c r="WK58"/>
      <c r="WL58"/>
      <c r="WM58"/>
      <c r="WN58"/>
      <c r="WO58"/>
      <c r="WP58"/>
      <c r="WQ58"/>
      <c r="WR58"/>
      <c r="WS58"/>
      <c r="WT58"/>
      <c r="WU58"/>
      <c r="WV58"/>
      <c r="WW58"/>
      <c r="WX58"/>
      <c r="WY58"/>
      <c r="WZ58"/>
      <c r="XA58"/>
      <c r="XB58"/>
      <c r="XC58"/>
      <c r="XD58"/>
      <c r="XE58"/>
      <c r="XF58"/>
      <c r="XG58"/>
      <c r="XH58"/>
      <c r="XI58"/>
      <c r="XJ58"/>
      <c r="XK58"/>
      <c r="XL58"/>
      <c r="XM58"/>
      <c r="XN58"/>
      <c r="XO58"/>
      <c r="XP58"/>
      <c r="XQ58"/>
      <c r="XR58"/>
      <c r="XS58"/>
      <c r="XT58"/>
      <c r="XU58"/>
      <c r="XV58"/>
      <c r="XW58"/>
      <c r="XX58"/>
      <c r="XY58"/>
      <c r="XZ58"/>
      <c r="YA58"/>
      <c r="YB58"/>
      <c r="YC58"/>
      <c r="YD58"/>
      <c r="YE58"/>
      <c r="YF58"/>
      <c r="YG58"/>
      <c r="YH58"/>
      <c r="YI58"/>
      <c r="YJ58"/>
      <c r="YK58"/>
      <c r="YL58"/>
      <c r="YM58"/>
      <c r="YN58"/>
      <c r="YO58"/>
      <c r="YP58"/>
      <c r="YQ58"/>
      <c r="YR58"/>
      <c r="YS58"/>
      <c r="YT58"/>
      <c r="YU58"/>
      <c r="YV58"/>
      <c r="YW58"/>
      <c r="YX58"/>
      <c r="YY58"/>
      <c r="YZ58"/>
      <c r="ZA58"/>
      <c r="ZB58"/>
      <c r="ZC58"/>
      <c r="ZD58"/>
      <c r="ZE58"/>
      <c r="ZF58"/>
      <c r="ZG58"/>
      <c r="ZH58"/>
      <c r="ZI58"/>
      <c r="ZJ58"/>
      <c r="ZK58"/>
      <c r="ZL58"/>
      <c r="ZM58"/>
      <c r="ZN58"/>
      <c r="ZO58"/>
      <c r="ZP58"/>
      <c r="ZQ58"/>
      <c r="ZR58"/>
      <c r="ZS58"/>
      <c r="ZT58"/>
      <c r="ZU58"/>
      <c r="ZV58"/>
      <c r="ZW58"/>
      <c r="ZX58"/>
      <c r="ZY58"/>
      <c r="ZZ58"/>
      <c r="AAA58"/>
      <c r="AAB58"/>
      <c r="AAC58"/>
      <c r="AAD58"/>
      <c r="AAE58"/>
      <c r="AAF58"/>
      <c r="AAG58"/>
      <c r="AAH58"/>
      <c r="AAI58"/>
      <c r="AAJ58"/>
      <c r="AAK58"/>
      <c r="AAL58"/>
      <c r="AAM58"/>
      <c r="AAN58"/>
      <c r="AAO58"/>
      <c r="AAP58"/>
      <c r="AAQ58"/>
      <c r="AAR58"/>
      <c r="AAS58"/>
      <c r="AAT58"/>
      <c r="AAU58"/>
      <c r="AAV58"/>
      <c r="AAW58"/>
      <c r="AAX58"/>
      <c r="AAY58"/>
      <c r="AAZ58"/>
      <c r="ABA58"/>
      <c r="ABB58"/>
      <c r="ABC58"/>
      <c r="ABD58"/>
      <c r="ABE58"/>
      <c r="ABF58"/>
      <c r="ABG58"/>
      <c r="ABH58"/>
      <c r="ABI58"/>
      <c r="ABJ58"/>
      <c r="ABK58"/>
      <c r="ABL58"/>
      <c r="ABM58"/>
      <c r="ABN58"/>
      <c r="ABO58"/>
      <c r="ABP58"/>
      <c r="ABQ58"/>
      <c r="ABR58"/>
      <c r="ABS58"/>
      <c r="ABT58"/>
      <c r="ABU58"/>
      <c r="ABV58"/>
      <c r="ABW58"/>
      <c r="ABX58"/>
      <c r="ABY58"/>
      <c r="ABZ58"/>
      <c r="ACA58"/>
      <c r="ACB58"/>
      <c r="ACC58"/>
      <c r="ACD58"/>
      <c r="ACE58"/>
      <c r="ACF58"/>
      <c r="ACG58"/>
      <c r="ACH58"/>
      <c r="ACI58"/>
      <c r="ACJ58"/>
      <c r="ACK58"/>
      <c r="ACL58"/>
      <c r="ACM58"/>
      <c r="ACN58"/>
      <c r="ACO58"/>
      <c r="ACP58"/>
      <c r="ACQ58"/>
      <c r="ACR58"/>
      <c r="ACS58"/>
      <c r="ACT58"/>
      <c r="ACU58"/>
      <c r="ACV58"/>
      <c r="ACW58"/>
      <c r="ACX58"/>
      <c r="ACY58"/>
      <c r="ACZ58"/>
      <c r="ADA58"/>
      <c r="ADB58"/>
      <c r="ADC58"/>
      <c r="ADD58"/>
      <c r="ADE58"/>
      <c r="ADF58"/>
      <c r="ADG58"/>
      <c r="ADH58"/>
      <c r="ADI58"/>
      <c r="ADJ58"/>
      <c r="ADK58"/>
      <c r="ADL58"/>
      <c r="ADM58"/>
      <c r="ADN58"/>
      <c r="ADO58"/>
      <c r="ADP58"/>
      <c r="ADQ58"/>
      <c r="ADR58"/>
      <c r="ADS58"/>
      <c r="ADT58"/>
      <c r="ADU58"/>
      <c r="ADV58"/>
      <c r="ADW58"/>
      <c r="ADX58"/>
      <c r="ADY58"/>
      <c r="ADZ58"/>
      <c r="AEA58"/>
      <c r="AEB58"/>
      <c r="AEC58"/>
      <c r="AED58"/>
      <c r="AEE58"/>
      <c r="AEF58"/>
      <c r="AEG58"/>
      <c r="AEH58"/>
      <c r="AEI58"/>
      <c r="AEJ58"/>
      <c r="AEK58"/>
      <c r="AEL58"/>
      <c r="AEM58"/>
      <c r="AEN58"/>
      <c r="AEO58"/>
      <c r="AEP58"/>
      <c r="AEQ58"/>
      <c r="AER58"/>
      <c r="AES58"/>
      <c r="AET58"/>
      <c r="AEU58"/>
      <c r="AEV58"/>
      <c r="AEW58"/>
      <c r="AEX58"/>
      <c r="AEY58"/>
      <c r="AEZ58"/>
      <c r="AFA58"/>
      <c r="AFB58"/>
      <c r="AFC58"/>
      <c r="AFD58"/>
      <c r="AFE58"/>
      <c r="AFF58"/>
      <c r="AFG58"/>
      <c r="AFH58"/>
      <c r="AFI58"/>
      <c r="AFJ58"/>
      <c r="AFK58"/>
      <c r="AFL58"/>
      <c r="AFM58"/>
      <c r="AFN58"/>
      <c r="AFO58"/>
      <c r="AFP58"/>
      <c r="AFQ58"/>
      <c r="AFR58"/>
      <c r="AFS58"/>
      <c r="AFT58"/>
      <c r="AFU58"/>
      <c r="AFV58"/>
      <c r="AFW58"/>
      <c r="AFX58"/>
      <c r="AFY58"/>
      <c r="AFZ58"/>
      <c r="AGA58"/>
      <c r="AGB58"/>
      <c r="AGC58"/>
      <c r="AGD58"/>
      <c r="AGE58"/>
      <c r="AGF58"/>
      <c r="AGG58"/>
      <c r="AGH58"/>
      <c r="AGI58"/>
      <c r="AGJ58"/>
      <c r="AGK58"/>
      <c r="AGL58"/>
      <c r="AGM58"/>
      <c r="AGN58"/>
      <c r="AGO58"/>
      <c r="AGP58"/>
      <c r="AGQ58"/>
      <c r="AGR58"/>
      <c r="AGS58"/>
      <c r="AGT58"/>
      <c r="AGU58"/>
      <c r="AGV58"/>
      <c r="AGW58"/>
      <c r="AGX58"/>
      <c r="AGY58"/>
      <c r="AGZ58"/>
      <c r="AHA58"/>
      <c r="AHB58"/>
      <c r="AHC58"/>
      <c r="AHD58"/>
      <c r="AHE58"/>
      <c r="AHF58"/>
      <c r="AHG58"/>
      <c r="AHH58"/>
      <c r="AHI58"/>
      <c r="AHJ58"/>
      <c r="AHK58"/>
      <c r="AHL58"/>
      <c r="AHM58"/>
      <c r="AHN58"/>
      <c r="AHO58"/>
      <c r="AHP58"/>
      <c r="AHQ58"/>
      <c r="AHR58"/>
      <c r="AHS58"/>
      <c r="AHT58"/>
      <c r="AHU58"/>
      <c r="AHV58"/>
      <c r="AHW58"/>
      <c r="AHX58"/>
      <c r="AHY58"/>
      <c r="AHZ58"/>
      <c r="AIA58"/>
      <c r="AIB58"/>
      <c r="AIC58"/>
      <c r="AID58"/>
      <c r="AIE58"/>
      <c r="AIF58"/>
      <c r="AIG58"/>
      <c r="AIH58"/>
      <c r="AII58"/>
      <c r="AIJ58"/>
      <c r="AIK58"/>
      <c r="AIL58"/>
      <c r="AIM58"/>
      <c r="AIN58"/>
      <c r="AIO58"/>
      <c r="AIP58"/>
      <c r="AIQ58"/>
      <c r="AIR58"/>
      <c r="AIS58"/>
      <c r="AIT58"/>
      <c r="AIU58"/>
      <c r="AIV58"/>
      <c r="AIW58"/>
      <c r="AIX58"/>
      <c r="AIY58"/>
      <c r="AIZ58"/>
      <c r="AJA58"/>
      <c r="AJB58"/>
      <c r="AJC58"/>
      <c r="AJD58"/>
      <c r="AJE58"/>
      <c r="AJF58"/>
      <c r="AJG58"/>
      <c r="AJH58"/>
      <c r="AJI58"/>
      <c r="AJJ58"/>
      <c r="AJK58"/>
      <c r="AJL58"/>
      <c r="AJM58"/>
      <c r="AJN58"/>
      <c r="AJO58"/>
      <c r="AJP58"/>
      <c r="AJQ58"/>
      <c r="AJR58"/>
      <c r="AJS58"/>
      <c r="AJT58"/>
      <c r="AJU58"/>
      <c r="AJV58"/>
      <c r="AJW58"/>
      <c r="AJX58"/>
      <c r="AJY58"/>
      <c r="AJZ58"/>
      <c r="AKA58"/>
      <c r="AKB58"/>
      <c r="AKC58"/>
      <c r="AKD58"/>
      <c r="AKE58"/>
      <c r="AKF58"/>
      <c r="AKG58"/>
      <c r="AKH58"/>
      <c r="AKI58"/>
      <c r="AKJ58"/>
      <c r="AKK58"/>
      <c r="AKL58"/>
      <c r="AKM58"/>
      <c r="AKN58"/>
      <c r="AKO58"/>
      <c r="AKP58"/>
      <c r="AKQ58"/>
      <c r="AKR58"/>
      <c r="AKS58"/>
      <c r="AKT58"/>
      <c r="AKU58"/>
      <c r="AKV58"/>
      <c r="AKW58"/>
      <c r="AKX58"/>
      <c r="AKY58"/>
      <c r="AKZ58"/>
      <c r="ALA58"/>
      <c r="ALB58"/>
      <c r="ALC58"/>
      <c r="ALD58"/>
      <c r="ALE58"/>
      <c r="ALF58"/>
      <c r="ALG58"/>
      <c r="ALH58"/>
      <c r="ALI58"/>
      <c r="ALJ58"/>
      <c r="ALK58"/>
      <c r="ALL58"/>
      <c r="ALM58"/>
      <c r="ALN58"/>
      <c r="ALO58"/>
      <c r="ALP58"/>
      <c r="ALQ58"/>
      <c r="ALR58"/>
      <c r="ALS58"/>
      <c r="ALT58"/>
      <c r="ALU58"/>
      <c r="ALV58"/>
      <c r="ALW58"/>
      <c r="ALX58"/>
      <c r="ALY58"/>
      <c r="ALZ58"/>
      <c r="AMA58"/>
      <c r="AMB58"/>
      <c r="AMC58"/>
      <c r="AMD58"/>
      <c r="AME58"/>
      <c r="AMF58"/>
      <c r="AMG58"/>
      <c r="AMH58"/>
      <c r="AMI58"/>
      <c r="AMJ58"/>
      <c r="AMK58"/>
      <c r="AML58"/>
      <c r="AMM58"/>
      <c r="AMN58"/>
      <c r="AMO58"/>
      <c r="AMP58"/>
      <c r="AMQ58"/>
      <c r="AMR58"/>
      <c r="AMS58"/>
      <c r="AMT58"/>
      <c r="AMU58"/>
      <c r="AMV58"/>
      <c r="AMW58"/>
      <c r="AMX58"/>
      <c r="AMY58"/>
      <c r="AMZ58"/>
      <c r="ANA58"/>
      <c r="ANB58"/>
      <c r="ANC58"/>
      <c r="AND58"/>
      <c r="ANE58"/>
      <c r="ANF58"/>
      <c r="ANG58"/>
      <c r="ANH58"/>
      <c r="ANI58"/>
      <c r="ANJ58"/>
      <c r="ANK58"/>
      <c r="ANL58"/>
      <c r="ANM58"/>
      <c r="ANN58"/>
      <c r="ANO58"/>
      <c r="ANP58"/>
      <c r="ANQ58"/>
      <c r="ANR58"/>
      <c r="ANS58"/>
      <c r="ANT58"/>
      <c r="ANU58"/>
      <c r="ANV58"/>
      <c r="ANW58"/>
      <c r="ANX58"/>
      <c r="ANY58"/>
      <c r="ANZ58"/>
      <c r="AOA58"/>
      <c r="AOB58"/>
      <c r="AOC58"/>
      <c r="AOD58"/>
      <c r="AOE58"/>
      <c r="AOF58"/>
      <c r="AOG58"/>
      <c r="AOH58"/>
      <c r="AOI58"/>
      <c r="AOJ58"/>
      <c r="AOK58"/>
      <c r="AOL58"/>
      <c r="AOM58"/>
      <c r="AON58"/>
      <c r="AOO58"/>
      <c r="AOP58"/>
      <c r="AOQ58"/>
      <c r="AOR58"/>
      <c r="AOS58"/>
      <c r="AOT58"/>
      <c r="AOU58"/>
      <c r="AOV58"/>
      <c r="AOW58"/>
      <c r="AOX58"/>
      <c r="AOY58"/>
      <c r="AOZ58"/>
      <c r="APA58"/>
      <c r="APB58"/>
      <c r="APC58"/>
      <c r="APD58"/>
      <c r="APE58"/>
      <c r="APF58"/>
      <c r="APG58"/>
      <c r="APH58"/>
      <c r="API58"/>
      <c r="APJ58"/>
      <c r="APK58"/>
      <c r="APL58"/>
      <c r="APM58"/>
      <c r="APN58"/>
      <c r="APO58"/>
      <c r="APP58"/>
      <c r="APQ58"/>
      <c r="APR58"/>
      <c r="APS58"/>
      <c r="APT58"/>
      <c r="APU58"/>
      <c r="APV58"/>
      <c r="APW58"/>
      <c r="APX58"/>
      <c r="APY58"/>
      <c r="APZ58"/>
      <c r="AQA58"/>
      <c r="AQB58"/>
      <c r="AQC58"/>
      <c r="AQD58"/>
      <c r="AQE58"/>
      <c r="AQF58"/>
      <c r="AQG58"/>
      <c r="AQH58"/>
      <c r="AQI58"/>
      <c r="AQJ58"/>
      <c r="AQK58"/>
      <c r="AQL58"/>
      <c r="AQM58"/>
      <c r="AQN58"/>
      <c r="AQO58"/>
      <c r="AQP58"/>
      <c r="AQQ58"/>
      <c r="AQR58"/>
      <c r="AQS58"/>
      <c r="AQT58"/>
      <c r="AQU58"/>
      <c r="AQV58"/>
      <c r="AQW58"/>
      <c r="AQX58"/>
      <c r="AQY58"/>
      <c r="AQZ58"/>
      <c r="ARA58"/>
      <c r="ARB58"/>
      <c r="ARC58"/>
      <c r="ARD58"/>
      <c r="ARE58"/>
      <c r="ARF58"/>
      <c r="ARG58"/>
      <c r="ARH58"/>
      <c r="ARI58"/>
      <c r="ARJ58"/>
      <c r="ARK58"/>
      <c r="ARL58"/>
      <c r="ARM58"/>
      <c r="ARN58"/>
      <c r="ARO58"/>
      <c r="ARP58"/>
      <c r="ARQ58"/>
      <c r="ARR58"/>
      <c r="ARS58"/>
      <c r="ART58"/>
      <c r="ARU58"/>
      <c r="ARV58"/>
      <c r="ARW58"/>
      <c r="ARX58"/>
      <c r="ARY58"/>
      <c r="ARZ58"/>
      <c r="ASA58"/>
      <c r="ASB58"/>
      <c r="ASC58"/>
      <c r="ASD58"/>
      <c r="ASE58"/>
      <c r="ASF58"/>
      <c r="ASG58"/>
      <c r="ASH58"/>
      <c r="ASI58"/>
      <c r="ASJ58"/>
      <c r="ASK58"/>
      <c r="ASL58"/>
      <c r="ASM58"/>
      <c r="ASN58"/>
      <c r="ASO58"/>
      <c r="ASP58"/>
      <c r="ASQ58"/>
      <c r="ASR58"/>
      <c r="ASS58"/>
      <c r="AST58"/>
      <c r="ASU58"/>
      <c r="ASV58"/>
      <c r="ASW58"/>
      <c r="ASX58"/>
      <c r="ASY58"/>
      <c r="ASZ58"/>
      <c r="ATA58"/>
      <c r="ATB58"/>
      <c r="ATC58"/>
      <c r="ATD58"/>
      <c r="ATE58"/>
      <c r="ATF58"/>
      <c r="ATG58"/>
      <c r="ATH58"/>
      <c r="ATI58"/>
      <c r="ATJ58"/>
      <c r="ATK58"/>
      <c r="ATL58"/>
      <c r="ATM58"/>
      <c r="ATN58"/>
      <c r="ATO58"/>
      <c r="ATP58"/>
      <c r="ATQ58"/>
      <c r="ATR58"/>
      <c r="ATS58"/>
      <c r="ATT58"/>
      <c r="ATU58"/>
      <c r="ATV58"/>
      <c r="ATW58"/>
      <c r="ATX58"/>
      <c r="ATY58"/>
      <c r="ATZ58"/>
      <c r="AUA58"/>
      <c r="AUB58"/>
      <c r="AUC58"/>
      <c r="AUD58"/>
      <c r="AUE58"/>
      <c r="AUF58"/>
      <c r="AUG58"/>
      <c r="AUH58"/>
      <c r="AUI58"/>
      <c r="AUJ58"/>
      <c r="AUK58"/>
      <c r="AUL58"/>
      <c r="AUM58"/>
      <c r="AUN58"/>
      <c r="AUO58"/>
      <c r="AUP58"/>
      <c r="AUQ58"/>
      <c r="AUR58"/>
      <c r="AUS58"/>
      <c r="AUT58"/>
      <c r="AUU58"/>
      <c r="AUV58"/>
      <c r="AUW58"/>
      <c r="AUX58"/>
      <c r="AUY58"/>
      <c r="AUZ58"/>
      <c r="AVA58"/>
      <c r="AVB58"/>
      <c r="AVC58"/>
      <c r="AVD58"/>
      <c r="AVE58"/>
      <c r="AVF58"/>
      <c r="AVG58"/>
      <c r="AVH58"/>
      <c r="AVI58"/>
      <c r="AVJ58"/>
      <c r="AVK58"/>
      <c r="AVL58"/>
      <c r="AVM58"/>
      <c r="AVN58"/>
      <c r="AVO58"/>
      <c r="AVP58"/>
      <c r="AVQ58"/>
      <c r="AVR58"/>
      <c r="AVS58"/>
      <c r="AVT58"/>
      <c r="AVU58"/>
      <c r="AVV58"/>
      <c r="AVW58"/>
      <c r="AVX58"/>
      <c r="AVY58"/>
      <c r="AVZ58"/>
      <c r="AWA58"/>
      <c r="AWB58"/>
      <c r="AWC58"/>
      <c r="AWD58"/>
      <c r="AWE58"/>
      <c r="AWF58"/>
      <c r="AWG58"/>
      <c r="AWH58"/>
      <c r="AWI58"/>
      <c r="AWJ58"/>
      <c r="AWK58"/>
      <c r="AWL58"/>
      <c r="AWM58"/>
      <c r="AWN58"/>
      <c r="AWO58"/>
      <c r="AWP58"/>
      <c r="AWQ58"/>
      <c r="AWR58"/>
      <c r="AWS58"/>
      <c r="AWT58"/>
      <c r="AWU58"/>
      <c r="AWV58"/>
      <c r="AWW58"/>
      <c r="AWX58"/>
      <c r="AWY58"/>
      <c r="AWZ58"/>
      <c r="AXA58"/>
      <c r="AXB58"/>
      <c r="AXC58"/>
      <c r="AXD58"/>
      <c r="AXE58"/>
      <c r="AXF58"/>
      <c r="AXG58"/>
      <c r="AXH58"/>
      <c r="AXI58"/>
      <c r="AXJ58"/>
      <c r="AXK58"/>
      <c r="AXL58"/>
      <c r="AXM58"/>
      <c r="AXN58"/>
      <c r="AXO58"/>
      <c r="AXP58"/>
      <c r="AXQ58"/>
      <c r="AXR58"/>
      <c r="AXS58"/>
      <c r="AXT58"/>
      <c r="AXU58"/>
      <c r="AXV58"/>
      <c r="AXW58"/>
      <c r="AXX58"/>
      <c r="AXY58"/>
      <c r="AXZ58"/>
      <c r="AYA58"/>
      <c r="AYB58"/>
      <c r="AYC58"/>
      <c r="AYD58"/>
      <c r="AYE58"/>
      <c r="AYF58"/>
      <c r="AYG58"/>
      <c r="AYH58"/>
      <c r="AYI58"/>
      <c r="AYJ58"/>
      <c r="AYK58"/>
      <c r="AYL58"/>
      <c r="AYM58"/>
      <c r="AYN58"/>
      <c r="AYO58"/>
      <c r="AYP58"/>
      <c r="AYQ58"/>
      <c r="AYR58"/>
      <c r="AYS58"/>
      <c r="AYT58"/>
      <c r="AYU58"/>
      <c r="AYV58"/>
      <c r="AYW58"/>
      <c r="AYX58"/>
      <c r="AYY58"/>
      <c r="AYZ58"/>
      <c r="AZA58"/>
      <c r="AZB58"/>
      <c r="AZC58"/>
      <c r="AZD58"/>
      <c r="AZE58"/>
      <c r="AZF58"/>
      <c r="AZG58"/>
      <c r="AZH58"/>
      <c r="AZI58"/>
      <c r="AZJ58"/>
      <c r="AZK58"/>
      <c r="AZL58"/>
      <c r="AZM58"/>
      <c r="AZN58"/>
      <c r="AZO58"/>
      <c r="AZP58"/>
      <c r="AZQ58"/>
      <c r="AZR58"/>
      <c r="AZS58"/>
      <c r="AZT58"/>
      <c r="AZU58"/>
      <c r="AZV58"/>
      <c r="AZW58"/>
      <c r="AZX58"/>
      <c r="AZY58"/>
      <c r="AZZ58"/>
      <c r="BAA58"/>
      <c r="BAB58"/>
      <c r="BAC58"/>
      <c r="BAD58"/>
      <c r="BAE58"/>
      <c r="BAF58"/>
      <c r="BAG58"/>
      <c r="BAH58"/>
      <c r="BAI58"/>
      <c r="BAJ58"/>
      <c r="BAK58"/>
      <c r="BAL58"/>
      <c r="BAM58"/>
      <c r="BAN58"/>
      <c r="BAO58"/>
      <c r="BAP58"/>
      <c r="BAQ58"/>
      <c r="BAR58"/>
      <c r="BAS58"/>
      <c r="BAT58"/>
      <c r="BAU58"/>
      <c r="BAV58"/>
      <c r="BAW58"/>
      <c r="BAX58"/>
      <c r="BAY58"/>
      <c r="BAZ58"/>
      <c r="BBA58"/>
      <c r="BBB58"/>
      <c r="BBC58"/>
      <c r="BBD58"/>
      <c r="BBE58"/>
      <c r="BBF58"/>
      <c r="BBG58"/>
      <c r="BBH58"/>
      <c r="BBI58"/>
      <c r="BBJ58"/>
      <c r="BBK58"/>
      <c r="BBL58"/>
      <c r="BBM58"/>
      <c r="BBN58"/>
      <c r="BBO58"/>
      <c r="BBP58"/>
      <c r="BBQ58"/>
      <c r="BBR58"/>
      <c r="BBS58"/>
      <c r="BBT58"/>
      <c r="BBU58"/>
      <c r="BBV58"/>
      <c r="BBW58"/>
      <c r="BBX58"/>
      <c r="BBY58"/>
      <c r="BBZ58"/>
      <c r="BCA58"/>
      <c r="BCB58"/>
      <c r="BCC58"/>
      <c r="BCD58"/>
      <c r="BCE58"/>
      <c r="BCF58"/>
      <c r="BCG58"/>
      <c r="BCH58"/>
      <c r="BCI58"/>
      <c r="BCJ58"/>
      <c r="BCK58"/>
      <c r="BCL58"/>
      <c r="BCM58"/>
      <c r="BCN58"/>
      <c r="BCO58"/>
      <c r="BCP58"/>
      <c r="BCQ58"/>
      <c r="BCR58"/>
      <c r="BCS58"/>
      <c r="BCT58"/>
      <c r="BCU58"/>
      <c r="BCV58"/>
      <c r="BCW58"/>
      <c r="BCX58"/>
      <c r="BCY58"/>
      <c r="BCZ58"/>
      <c r="BDA58"/>
      <c r="BDB58"/>
      <c r="BDC58"/>
      <c r="BDD58"/>
      <c r="BDE58"/>
      <c r="BDF58"/>
      <c r="BDG58"/>
      <c r="BDH58"/>
      <c r="BDI58"/>
      <c r="BDJ58"/>
      <c r="BDK58"/>
      <c r="BDL58"/>
      <c r="BDM58"/>
      <c r="BDN58"/>
      <c r="BDO58"/>
      <c r="BDP58"/>
      <c r="BDQ58"/>
      <c r="BDR58"/>
      <c r="BDS58"/>
      <c r="BDT58"/>
      <c r="BDU58"/>
      <c r="BDV58"/>
      <c r="BDW58"/>
      <c r="BDX58"/>
      <c r="BDY58"/>
      <c r="BDZ58"/>
      <c r="BEA58"/>
      <c r="BEB58"/>
      <c r="BEC58"/>
      <c r="BED58"/>
      <c r="BEE58"/>
      <c r="BEF58"/>
      <c r="BEG58"/>
      <c r="BEH58"/>
      <c r="BEI58"/>
      <c r="BEJ58"/>
      <c r="BEK58"/>
      <c r="BEL58"/>
      <c r="BEM58"/>
      <c r="BEN58"/>
      <c r="BEO58"/>
      <c r="BEP58"/>
      <c r="BEQ58"/>
      <c r="BER58"/>
      <c r="BES58"/>
      <c r="BET58"/>
      <c r="BEU58"/>
      <c r="BEV58"/>
      <c r="BEW58"/>
      <c r="BEX58"/>
      <c r="BEY58"/>
      <c r="BEZ58"/>
      <c r="BFA58"/>
      <c r="BFB58"/>
      <c r="BFC58"/>
      <c r="BFD58"/>
      <c r="BFE58"/>
      <c r="BFF58"/>
      <c r="BFG58"/>
      <c r="BFH58"/>
      <c r="BFI58"/>
      <c r="BFJ58"/>
      <c r="BFK58"/>
      <c r="BFL58"/>
      <c r="BFM58"/>
      <c r="BFN58"/>
      <c r="BFO58"/>
      <c r="BFP58"/>
      <c r="BFQ58"/>
      <c r="BFR58"/>
      <c r="BFS58"/>
      <c r="BFT58"/>
      <c r="BFU58"/>
      <c r="BFV58"/>
      <c r="BFW58"/>
      <c r="BFX58"/>
      <c r="BFY58"/>
      <c r="BFZ58"/>
      <c r="BGA58"/>
      <c r="BGB58"/>
      <c r="BGC58"/>
      <c r="BGD58"/>
      <c r="BGE58"/>
      <c r="BGF58"/>
      <c r="BGG58"/>
      <c r="BGH58"/>
      <c r="BGI58"/>
      <c r="BGJ58"/>
      <c r="BGK58"/>
      <c r="BGL58"/>
      <c r="BGM58"/>
      <c r="BGN58"/>
      <c r="BGO58"/>
      <c r="BGP58"/>
      <c r="BGQ58"/>
      <c r="BGR58"/>
      <c r="BGS58"/>
      <c r="BGT58"/>
      <c r="BGU58"/>
      <c r="BGV58"/>
      <c r="BGW58"/>
      <c r="BGX58"/>
      <c r="BGY58"/>
      <c r="BGZ58"/>
      <c r="BHA58"/>
      <c r="BHB58"/>
      <c r="BHC58"/>
      <c r="BHD58"/>
      <c r="BHE58"/>
      <c r="BHF58"/>
      <c r="BHG58"/>
      <c r="BHH58"/>
      <c r="BHI58"/>
      <c r="BHJ58"/>
      <c r="BHK58"/>
      <c r="BHL58"/>
      <c r="BHM58"/>
      <c r="BHN58"/>
      <c r="BHO58"/>
      <c r="BHP58"/>
      <c r="BHQ58"/>
      <c r="BHR58"/>
      <c r="BHS58"/>
      <c r="BHT58"/>
      <c r="BHU58"/>
      <c r="BHV58"/>
      <c r="BHW58"/>
      <c r="BHX58"/>
      <c r="BHY58"/>
      <c r="BHZ58"/>
      <c r="BIA58"/>
      <c r="BIB58"/>
      <c r="BIC58"/>
      <c r="BID58"/>
      <c r="BIE58"/>
      <c r="BIF58"/>
      <c r="BIG58"/>
      <c r="BIH58"/>
      <c r="BII58"/>
      <c r="BIJ58"/>
      <c r="BIK58"/>
      <c r="BIL58"/>
      <c r="BIM58"/>
      <c r="BIN58"/>
      <c r="BIO58"/>
      <c r="BIP58"/>
      <c r="BIQ58"/>
      <c r="BIR58"/>
      <c r="BIS58"/>
      <c r="BIT58"/>
      <c r="BIU58"/>
      <c r="BIV58"/>
      <c r="BIW58"/>
      <c r="BIX58"/>
      <c r="BIY58"/>
      <c r="BIZ58"/>
      <c r="BJA58"/>
      <c r="BJB58"/>
      <c r="BJC58"/>
      <c r="BJD58"/>
      <c r="BJE58"/>
      <c r="BJF58"/>
      <c r="BJG58"/>
      <c r="BJH58"/>
      <c r="BJI58"/>
      <c r="BJJ58"/>
      <c r="BJK58"/>
      <c r="BJL58"/>
      <c r="BJM58"/>
      <c r="BJN58"/>
      <c r="BJO58"/>
      <c r="BJP58"/>
      <c r="BJQ58"/>
      <c r="BJR58"/>
      <c r="BJS58"/>
      <c r="BJT58"/>
      <c r="BJU58"/>
      <c r="BJV58"/>
      <c r="BJW58"/>
      <c r="BJX58"/>
      <c r="BJY58"/>
      <c r="BJZ58"/>
      <c r="BKA58"/>
      <c r="BKB58"/>
      <c r="BKC58"/>
      <c r="BKD58"/>
      <c r="BKE58"/>
      <c r="BKF58"/>
      <c r="BKG58"/>
      <c r="BKH58"/>
      <c r="BKI58"/>
      <c r="BKJ58"/>
      <c r="BKK58"/>
      <c r="BKL58"/>
      <c r="BKM58"/>
      <c r="BKN58"/>
      <c r="BKO58"/>
      <c r="BKP58"/>
      <c r="BKQ58"/>
      <c r="BKR58"/>
      <c r="BKS58"/>
      <c r="BKT58"/>
      <c r="BKU58"/>
      <c r="BKV58"/>
      <c r="BKW58"/>
      <c r="BKX58"/>
      <c r="BKY58"/>
      <c r="BKZ58"/>
      <c r="BLA58"/>
      <c r="BLB58"/>
      <c r="BLC58"/>
      <c r="BLD58"/>
      <c r="BLE58"/>
      <c r="BLF58"/>
      <c r="BLG58"/>
      <c r="BLH58"/>
      <c r="BLI58"/>
      <c r="BLJ58"/>
      <c r="BLK58"/>
      <c r="BLL58"/>
      <c r="BLM58"/>
      <c r="BLN58"/>
      <c r="BLO58"/>
      <c r="BLP58"/>
      <c r="BLQ58"/>
      <c r="BLR58"/>
      <c r="BLS58"/>
      <c r="BLT58"/>
      <c r="BLU58"/>
      <c r="BLV58"/>
      <c r="BLW58"/>
      <c r="BLX58"/>
      <c r="BLY58"/>
      <c r="BLZ58"/>
      <c r="BMA58"/>
      <c r="BMB58"/>
      <c r="BMC58"/>
      <c r="BMD58"/>
      <c r="BME58"/>
      <c r="BMF58"/>
      <c r="BMG58"/>
      <c r="BMH58"/>
      <c r="BMI58"/>
      <c r="BMJ58"/>
      <c r="BMK58"/>
      <c r="BML58"/>
      <c r="BMM58"/>
      <c r="BMN58"/>
      <c r="BMO58"/>
      <c r="BMP58"/>
      <c r="BMQ58"/>
      <c r="BMR58"/>
      <c r="BMS58"/>
      <c r="BMT58"/>
      <c r="BMU58"/>
      <c r="BMV58"/>
      <c r="BMW58"/>
      <c r="BMX58"/>
      <c r="BMY58"/>
      <c r="BMZ58"/>
      <c r="BNA58"/>
      <c r="BNB58"/>
      <c r="BNC58"/>
      <c r="BND58"/>
      <c r="BNE58"/>
      <c r="BNF58"/>
      <c r="BNG58"/>
      <c r="BNH58"/>
      <c r="BNI58"/>
      <c r="BNJ58"/>
      <c r="BNK58"/>
      <c r="BNL58"/>
      <c r="BNM58"/>
      <c r="BNN58"/>
      <c r="BNO58"/>
      <c r="BNP58"/>
      <c r="BNQ58"/>
      <c r="BNR58"/>
      <c r="BNS58"/>
      <c r="BNT58"/>
      <c r="BNU58"/>
      <c r="BNV58"/>
      <c r="BNW58"/>
      <c r="BNX58"/>
      <c r="BNY58"/>
      <c r="BNZ58"/>
      <c r="BOA58"/>
      <c r="BOB58"/>
      <c r="BOC58"/>
      <c r="BOD58"/>
      <c r="BOE58"/>
      <c r="BOF58"/>
      <c r="BOG58"/>
      <c r="BOH58"/>
      <c r="BOI58"/>
      <c r="BOJ58"/>
      <c r="BOK58"/>
      <c r="BOL58"/>
      <c r="BOM58"/>
      <c r="BON58"/>
      <c r="BOO58"/>
      <c r="BOP58"/>
      <c r="BOQ58"/>
      <c r="BOR58"/>
      <c r="BOS58"/>
      <c r="BOT58"/>
      <c r="BOU58"/>
      <c r="BOV58"/>
      <c r="BOW58"/>
      <c r="BOX58"/>
      <c r="BOY58"/>
      <c r="BOZ58"/>
      <c r="BPA58"/>
      <c r="BPB58"/>
      <c r="BPC58"/>
      <c r="BPD58"/>
      <c r="BPE58"/>
      <c r="BPF58"/>
      <c r="BPG58"/>
      <c r="BPH58"/>
      <c r="BPI58"/>
      <c r="BPJ58"/>
      <c r="BPK58"/>
      <c r="BPL58"/>
      <c r="BPM58"/>
      <c r="BPN58"/>
      <c r="BPO58"/>
      <c r="BPP58"/>
      <c r="BPQ58"/>
      <c r="BPR58"/>
      <c r="BPS58"/>
      <c r="BPT58"/>
      <c r="BPU58"/>
      <c r="BPV58"/>
      <c r="BPW58"/>
      <c r="BPX58"/>
      <c r="BPY58"/>
      <c r="BPZ58"/>
      <c r="BQA58"/>
      <c r="BQB58"/>
      <c r="BQC58"/>
      <c r="BQD58"/>
      <c r="BQE58"/>
      <c r="BQF58"/>
      <c r="BQG58"/>
      <c r="BQH58"/>
      <c r="BQI58"/>
      <c r="BQJ58"/>
      <c r="BQK58"/>
      <c r="BQL58"/>
      <c r="BQM58"/>
      <c r="BQN58"/>
      <c r="BQO58"/>
      <c r="BQP58"/>
      <c r="BQQ58"/>
      <c r="BQR58"/>
      <c r="BQS58"/>
      <c r="BQT58"/>
      <c r="BQU58"/>
      <c r="BQV58"/>
      <c r="BQW58"/>
      <c r="BQX58"/>
      <c r="BQY58"/>
      <c r="BQZ58"/>
      <c r="BRA58"/>
      <c r="BRB58"/>
      <c r="BRC58"/>
      <c r="BRD58"/>
      <c r="BRE58"/>
      <c r="BRF58"/>
      <c r="BRG58"/>
      <c r="BRH58"/>
      <c r="BRI58"/>
      <c r="BRJ58"/>
      <c r="BRK58"/>
      <c r="BRL58"/>
      <c r="BRM58"/>
      <c r="BRN58"/>
      <c r="BRO58"/>
      <c r="BRP58"/>
      <c r="BRQ58"/>
      <c r="BRR58"/>
      <c r="BRS58"/>
      <c r="BRT58"/>
      <c r="BRU58"/>
      <c r="BRV58"/>
      <c r="BRW58"/>
      <c r="BRX58"/>
      <c r="BRY58"/>
      <c r="BRZ58"/>
      <c r="BSA58"/>
      <c r="BSB58"/>
      <c r="BSC58"/>
      <c r="BSD58"/>
      <c r="BSE58"/>
      <c r="BSF58"/>
      <c r="BSG58"/>
      <c r="BSH58"/>
      <c r="BSI58"/>
      <c r="BSJ58"/>
      <c r="BSK58"/>
      <c r="BSL58"/>
      <c r="BSM58"/>
      <c r="BSN58"/>
      <c r="BSO58"/>
      <c r="BSP58"/>
      <c r="BSQ58"/>
      <c r="BSR58"/>
      <c r="BSS58"/>
      <c r="BST58"/>
      <c r="BSU58"/>
      <c r="BSV58"/>
      <c r="BSW58"/>
      <c r="BSX58"/>
      <c r="BSY58"/>
      <c r="BSZ58"/>
      <c r="BTA58"/>
      <c r="BTB58"/>
      <c r="BTC58"/>
      <c r="BTD58"/>
      <c r="BTE58"/>
      <c r="BTF58"/>
      <c r="BTG58"/>
      <c r="BTH58"/>
      <c r="BTI58"/>
      <c r="BTJ58"/>
      <c r="BTK58"/>
      <c r="BTL58"/>
      <c r="BTM58"/>
      <c r="BTN58"/>
      <c r="BTO58"/>
      <c r="BTP58"/>
      <c r="BTQ58"/>
      <c r="BTR58"/>
      <c r="BTS58"/>
      <c r="BTT58"/>
      <c r="BTU58"/>
      <c r="BTV58"/>
      <c r="BTW58"/>
      <c r="BTX58"/>
      <c r="BTY58"/>
      <c r="BTZ58"/>
      <c r="BUA58"/>
      <c r="BUB58"/>
      <c r="BUC58"/>
      <c r="BUD58"/>
      <c r="BUE58"/>
      <c r="BUF58"/>
      <c r="BUG58"/>
      <c r="BUH58"/>
      <c r="BUI58"/>
      <c r="BUJ58"/>
      <c r="BUK58"/>
      <c r="BUL58"/>
      <c r="BUM58"/>
      <c r="BUN58"/>
      <c r="BUO58"/>
      <c r="BUP58"/>
      <c r="BUQ58"/>
      <c r="BUR58"/>
      <c r="BUS58"/>
      <c r="BUT58"/>
      <c r="BUU58"/>
      <c r="BUV58"/>
      <c r="BUW58"/>
      <c r="BUX58"/>
      <c r="BUY58"/>
      <c r="BUZ58"/>
      <c r="BVA58"/>
      <c r="BVB58"/>
      <c r="BVC58"/>
      <c r="BVD58"/>
      <c r="BVE58"/>
      <c r="BVF58"/>
      <c r="BVG58"/>
      <c r="BVH58"/>
      <c r="BVI58"/>
      <c r="BVJ58"/>
      <c r="BVK58"/>
      <c r="BVL58"/>
      <c r="BVM58"/>
      <c r="BVN58"/>
      <c r="BVO58"/>
      <c r="BVP58"/>
      <c r="BVQ58"/>
      <c r="BVR58"/>
      <c r="BVS58"/>
      <c r="BVT58"/>
      <c r="BVU58"/>
      <c r="BVV58"/>
      <c r="BVW58"/>
      <c r="BVX58"/>
      <c r="BVY58"/>
      <c r="BVZ58"/>
      <c r="BWA58"/>
      <c r="BWB58"/>
      <c r="BWC58"/>
      <c r="BWD58"/>
      <c r="BWE58"/>
      <c r="BWF58"/>
      <c r="BWG58"/>
      <c r="BWH58"/>
      <c r="BWI58"/>
      <c r="BWJ58"/>
      <c r="BWK58"/>
      <c r="BWL58"/>
      <c r="BWM58"/>
      <c r="BWN58"/>
      <c r="BWO58"/>
      <c r="BWP58"/>
      <c r="BWQ58"/>
      <c r="BWR58"/>
      <c r="BWS58"/>
      <c r="BWT58"/>
      <c r="BWU58"/>
      <c r="BWV58"/>
      <c r="BWW58"/>
      <c r="BWX58"/>
      <c r="BWY58"/>
      <c r="BWZ58"/>
      <c r="BXA58"/>
      <c r="BXB58"/>
      <c r="BXC58"/>
      <c r="BXD58"/>
      <c r="BXE58"/>
      <c r="BXF58"/>
      <c r="BXG58"/>
      <c r="BXH58"/>
      <c r="BXI58"/>
      <c r="BXJ58"/>
      <c r="BXK58"/>
      <c r="BXL58"/>
      <c r="BXM58"/>
      <c r="BXN58"/>
      <c r="BXO58"/>
      <c r="BXP58"/>
      <c r="BXQ58"/>
      <c r="BXR58"/>
      <c r="BXS58"/>
      <c r="BXT58"/>
      <c r="BXU58"/>
      <c r="BXV58"/>
      <c r="BXW58"/>
      <c r="BXX58"/>
      <c r="BXY58"/>
      <c r="BXZ58"/>
      <c r="BYA58"/>
      <c r="BYB58"/>
      <c r="BYC58"/>
      <c r="BYD58"/>
      <c r="BYE58"/>
      <c r="BYF58"/>
      <c r="BYG58"/>
      <c r="BYH58"/>
      <c r="BYI58"/>
      <c r="BYJ58"/>
      <c r="BYK58"/>
      <c r="BYL58"/>
      <c r="BYM58"/>
      <c r="BYN58"/>
      <c r="BYO58"/>
      <c r="BYP58"/>
      <c r="BYQ58"/>
      <c r="BYR58"/>
      <c r="BYS58"/>
      <c r="BYT58"/>
      <c r="BYU58"/>
      <c r="BYV58"/>
      <c r="BYW58"/>
      <c r="BYX58"/>
      <c r="BYY58"/>
      <c r="BYZ58"/>
      <c r="BZA58"/>
      <c r="BZB58"/>
      <c r="BZC58"/>
      <c r="BZD58"/>
      <c r="BZE58"/>
      <c r="BZF58"/>
      <c r="BZG58"/>
      <c r="BZH58"/>
      <c r="BZI58"/>
      <c r="BZJ58"/>
      <c r="BZK58"/>
      <c r="BZL58"/>
      <c r="BZM58"/>
      <c r="BZN58"/>
      <c r="BZO58"/>
      <c r="BZP58"/>
      <c r="BZQ58"/>
      <c r="BZR58"/>
      <c r="BZS58"/>
      <c r="BZT58"/>
      <c r="BZU58"/>
      <c r="BZV58"/>
      <c r="BZW58"/>
      <c r="BZX58"/>
      <c r="BZY58"/>
      <c r="BZZ58"/>
      <c r="CAA58"/>
      <c r="CAB58"/>
      <c r="CAC58"/>
      <c r="CAD58"/>
      <c r="CAE58"/>
      <c r="CAF58"/>
      <c r="CAG58"/>
      <c r="CAH58"/>
      <c r="CAI58"/>
      <c r="CAJ58"/>
      <c r="CAK58"/>
      <c r="CAL58"/>
      <c r="CAM58"/>
      <c r="CAN58"/>
      <c r="CAO58"/>
      <c r="CAP58"/>
      <c r="CAQ58"/>
      <c r="CAR58"/>
      <c r="CAS58"/>
      <c r="CAT58"/>
      <c r="CAU58"/>
      <c r="CAV58"/>
      <c r="CAW58"/>
      <c r="CAX58"/>
      <c r="CAY58"/>
      <c r="CAZ58"/>
      <c r="CBA58"/>
      <c r="CBB58"/>
      <c r="CBC58"/>
      <c r="CBD58"/>
      <c r="CBE58"/>
      <c r="CBF58"/>
      <c r="CBG58"/>
      <c r="CBH58"/>
      <c r="CBI58"/>
      <c r="CBJ58"/>
      <c r="CBK58"/>
      <c r="CBL58"/>
      <c r="CBM58"/>
      <c r="CBN58"/>
      <c r="CBO58"/>
      <c r="CBP58"/>
      <c r="CBQ58"/>
      <c r="CBR58"/>
      <c r="CBS58"/>
      <c r="CBT58"/>
      <c r="CBU58"/>
      <c r="CBV58"/>
      <c r="CBW58"/>
      <c r="CBX58"/>
      <c r="CBY58"/>
      <c r="CBZ58"/>
      <c r="CCA58"/>
      <c r="CCB58"/>
      <c r="CCC58"/>
      <c r="CCD58"/>
      <c r="CCE58"/>
      <c r="CCF58"/>
      <c r="CCG58"/>
      <c r="CCH58"/>
      <c r="CCI58"/>
      <c r="CCJ58"/>
      <c r="CCK58"/>
      <c r="CCL58"/>
      <c r="CCM58"/>
      <c r="CCN58"/>
      <c r="CCO58"/>
      <c r="CCP58"/>
      <c r="CCQ58"/>
      <c r="CCR58"/>
      <c r="CCS58"/>
      <c r="CCT58"/>
      <c r="CCU58"/>
      <c r="CCV58"/>
      <c r="CCW58"/>
      <c r="CCX58"/>
      <c r="CCY58"/>
      <c r="CCZ58"/>
      <c r="CDA58"/>
      <c r="CDB58"/>
      <c r="CDC58"/>
      <c r="CDD58"/>
      <c r="CDE58"/>
      <c r="CDF58"/>
      <c r="CDG58"/>
      <c r="CDH58"/>
      <c r="CDI58"/>
      <c r="CDJ58"/>
      <c r="CDK58"/>
      <c r="CDL58"/>
      <c r="CDM58"/>
      <c r="CDN58"/>
      <c r="CDO58"/>
      <c r="CDP58"/>
      <c r="CDQ58"/>
      <c r="CDR58"/>
      <c r="CDS58"/>
      <c r="CDT58"/>
      <c r="CDU58"/>
      <c r="CDV58"/>
      <c r="CDW58"/>
      <c r="CDX58"/>
      <c r="CDY58"/>
      <c r="CDZ58"/>
      <c r="CEA58"/>
      <c r="CEB58"/>
      <c r="CEC58"/>
      <c r="CED58"/>
      <c r="CEE58"/>
      <c r="CEF58"/>
      <c r="CEG58"/>
      <c r="CEH58"/>
      <c r="CEI58"/>
      <c r="CEJ58"/>
      <c r="CEK58"/>
      <c r="CEL58"/>
      <c r="CEM58"/>
      <c r="CEN58"/>
      <c r="CEO58"/>
      <c r="CEP58"/>
      <c r="CEQ58"/>
      <c r="CER58"/>
      <c r="CES58"/>
      <c r="CET58"/>
      <c r="CEU58"/>
      <c r="CEV58"/>
      <c r="CEW58"/>
      <c r="CEX58"/>
      <c r="CEY58"/>
      <c r="CEZ58"/>
      <c r="CFA58"/>
      <c r="CFB58"/>
      <c r="CFC58"/>
      <c r="CFD58"/>
      <c r="CFE58"/>
      <c r="CFF58"/>
      <c r="CFG58"/>
      <c r="CFH58"/>
      <c r="CFI58"/>
      <c r="CFJ58"/>
      <c r="CFK58"/>
      <c r="CFL58"/>
      <c r="CFM58"/>
      <c r="CFN58"/>
      <c r="CFO58"/>
      <c r="CFP58"/>
      <c r="CFQ58"/>
      <c r="CFR58"/>
      <c r="CFS58"/>
      <c r="CFT58"/>
      <c r="CFU58"/>
      <c r="CFV58"/>
      <c r="CFW58"/>
      <c r="CFX58"/>
      <c r="CFY58"/>
      <c r="CFZ58"/>
      <c r="CGA58"/>
      <c r="CGB58"/>
      <c r="CGC58"/>
      <c r="CGD58"/>
      <c r="CGE58"/>
      <c r="CGF58"/>
      <c r="CGG58"/>
      <c r="CGH58"/>
      <c r="CGI58"/>
      <c r="CGJ58"/>
      <c r="CGK58"/>
      <c r="CGL58"/>
      <c r="CGM58"/>
      <c r="CGN58"/>
      <c r="CGO58"/>
      <c r="CGP58"/>
      <c r="CGQ58"/>
      <c r="CGR58"/>
      <c r="CGS58"/>
      <c r="CGT58"/>
      <c r="CGU58"/>
      <c r="CGV58"/>
      <c r="CGW58"/>
      <c r="CGX58"/>
      <c r="CGY58"/>
      <c r="CGZ58"/>
      <c r="CHA58"/>
      <c r="CHB58"/>
      <c r="CHC58"/>
      <c r="CHD58"/>
      <c r="CHE58"/>
      <c r="CHF58"/>
      <c r="CHG58"/>
      <c r="CHH58"/>
      <c r="CHI58"/>
      <c r="CHJ58"/>
      <c r="CHK58"/>
      <c r="CHL58"/>
      <c r="CHM58"/>
      <c r="CHN58"/>
      <c r="CHO58"/>
      <c r="CHP58"/>
      <c r="CHQ58"/>
      <c r="CHR58"/>
      <c r="CHS58"/>
      <c r="CHT58"/>
      <c r="CHU58"/>
      <c r="CHV58"/>
      <c r="CHW58"/>
      <c r="CHX58"/>
      <c r="CHY58"/>
      <c r="CHZ58"/>
      <c r="CIA58"/>
      <c r="CIB58"/>
      <c r="CIC58"/>
      <c r="CID58"/>
      <c r="CIE58"/>
      <c r="CIF58"/>
      <c r="CIG58"/>
      <c r="CIH58"/>
      <c r="CII58"/>
      <c r="CIJ58"/>
      <c r="CIK58"/>
      <c r="CIL58"/>
      <c r="CIM58"/>
      <c r="CIN58"/>
      <c r="CIO58"/>
      <c r="CIP58"/>
      <c r="CIQ58"/>
      <c r="CIR58"/>
      <c r="CIS58"/>
      <c r="CIT58"/>
      <c r="CIU58"/>
      <c r="CIV58"/>
      <c r="CIW58"/>
      <c r="CIX58"/>
      <c r="CIY58"/>
      <c r="CIZ58"/>
      <c r="CJA58"/>
      <c r="CJB58"/>
      <c r="CJC58"/>
      <c r="CJD58"/>
      <c r="CJE58"/>
      <c r="CJF58"/>
      <c r="CJG58"/>
      <c r="CJH58"/>
      <c r="CJI58"/>
      <c r="CJJ58"/>
      <c r="CJK58"/>
      <c r="CJL58"/>
      <c r="CJM58"/>
      <c r="CJN58"/>
      <c r="CJO58"/>
      <c r="CJP58"/>
      <c r="CJQ58"/>
      <c r="CJR58"/>
      <c r="CJS58"/>
      <c r="CJT58"/>
      <c r="CJU58"/>
      <c r="CJV58"/>
      <c r="CJW58"/>
      <c r="CJX58"/>
      <c r="CJY58"/>
      <c r="CJZ58"/>
      <c r="CKA58"/>
      <c r="CKB58"/>
      <c r="CKC58"/>
      <c r="CKD58"/>
      <c r="CKE58"/>
      <c r="CKF58"/>
      <c r="CKG58"/>
      <c r="CKH58"/>
      <c r="CKI58"/>
      <c r="CKJ58"/>
      <c r="CKK58"/>
      <c r="CKL58"/>
      <c r="CKM58"/>
      <c r="CKN58"/>
      <c r="CKO58"/>
      <c r="CKP58"/>
      <c r="CKQ58"/>
      <c r="CKR58"/>
      <c r="CKS58"/>
      <c r="CKT58"/>
      <c r="CKU58"/>
      <c r="CKV58"/>
      <c r="CKW58"/>
      <c r="CKX58"/>
      <c r="CKY58"/>
      <c r="CKZ58"/>
      <c r="CLA58"/>
      <c r="CLB58"/>
      <c r="CLC58"/>
      <c r="CLD58"/>
      <c r="CLE58"/>
      <c r="CLF58"/>
      <c r="CLG58"/>
      <c r="CLH58"/>
      <c r="CLI58"/>
      <c r="CLJ58"/>
      <c r="CLK58"/>
      <c r="CLL58"/>
      <c r="CLM58"/>
      <c r="CLN58"/>
      <c r="CLO58"/>
      <c r="CLP58"/>
      <c r="CLQ58"/>
      <c r="CLR58"/>
      <c r="CLS58"/>
      <c r="CLT58"/>
      <c r="CLU58"/>
      <c r="CLV58"/>
      <c r="CLW58"/>
      <c r="CLX58"/>
      <c r="CLY58"/>
      <c r="CLZ58"/>
      <c r="CMA58"/>
      <c r="CMB58"/>
      <c r="CMC58"/>
      <c r="CMD58"/>
      <c r="CME58"/>
      <c r="CMF58"/>
      <c r="CMG58"/>
      <c r="CMH58"/>
      <c r="CMI58"/>
      <c r="CMJ58"/>
      <c r="CMK58"/>
      <c r="CML58"/>
      <c r="CMM58"/>
      <c r="CMN58"/>
      <c r="CMO58"/>
      <c r="CMP58"/>
      <c r="CMQ58"/>
      <c r="CMR58"/>
      <c r="CMS58"/>
      <c r="CMT58"/>
      <c r="CMU58"/>
      <c r="CMV58"/>
      <c r="CMW58"/>
      <c r="CMX58"/>
      <c r="CMY58"/>
      <c r="CMZ58"/>
      <c r="CNA58"/>
      <c r="CNB58"/>
      <c r="CNC58"/>
      <c r="CND58"/>
      <c r="CNE58"/>
      <c r="CNF58"/>
      <c r="CNG58"/>
      <c r="CNH58"/>
      <c r="CNI58"/>
      <c r="CNJ58"/>
      <c r="CNK58"/>
      <c r="CNL58"/>
      <c r="CNM58"/>
      <c r="CNN58"/>
      <c r="CNO58"/>
      <c r="CNP58"/>
      <c r="CNQ58"/>
      <c r="CNR58"/>
      <c r="CNS58"/>
      <c r="CNT58"/>
      <c r="CNU58"/>
      <c r="CNV58"/>
      <c r="CNW58"/>
      <c r="CNX58"/>
      <c r="CNY58"/>
      <c r="CNZ58"/>
      <c r="COA58"/>
      <c r="COB58"/>
      <c r="COC58"/>
      <c r="COD58"/>
      <c r="COE58"/>
      <c r="COF58"/>
      <c r="COG58"/>
      <c r="COH58"/>
      <c r="COI58"/>
      <c r="COJ58"/>
      <c r="COK58"/>
      <c r="COL58"/>
      <c r="COM58"/>
      <c r="CON58"/>
      <c r="COO58"/>
      <c r="COP58"/>
      <c r="COQ58"/>
      <c r="COR58"/>
      <c r="COS58"/>
      <c r="COT58"/>
      <c r="COU58"/>
      <c r="COV58"/>
      <c r="COW58"/>
      <c r="COX58"/>
      <c r="COY58"/>
      <c r="COZ58"/>
      <c r="CPA58"/>
      <c r="CPB58"/>
      <c r="CPC58"/>
      <c r="CPD58"/>
      <c r="CPE58"/>
      <c r="CPF58"/>
      <c r="CPG58"/>
      <c r="CPH58"/>
      <c r="CPI58"/>
      <c r="CPJ58"/>
      <c r="CPK58"/>
      <c r="CPL58"/>
      <c r="CPM58"/>
      <c r="CPN58"/>
      <c r="CPO58"/>
      <c r="CPP58"/>
      <c r="CPQ58"/>
      <c r="CPR58"/>
      <c r="CPS58"/>
      <c r="CPT58"/>
      <c r="CPU58"/>
      <c r="CPV58"/>
      <c r="CPW58"/>
      <c r="CPX58"/>
      <c r="CPY58"/>
      <c r="CPZ58"/>
      <c r="CQA58"/>
      <c r="CQB58"/>
      <c r="CQC58"/>
      <c r="CQD58"/>
      <c r="CQE58"/>
      <c r="CQF58"/>
      <c r="CQG58"/>
      <c r="CQH58"/>
      <c r="CQI58"/>
      <c r="CQJ58"/>
      <c r="CQK58"/>
      <c r="CQL58"/>
      <c r="CQM58"/>
      <c r="CQN58"/>
      <c r="CQO58"/>
      <c r="CQP58"/>
      <c r="CQQ58"/>
      <c r="CQR58"/>
      <c r="CQS58"/>
      <c r="CQT58"/>
      <c r="CQU58"/>
      <c r="CQV58"/>
      <c r="CQW58"/>
      <c r="CQX58"/>
      <c r="CQY58"/>
      <c r="CQZ58"/>
      <c r="CRA58"/>
      <c r="CRB58"/>
      <c r="CRC58"/>
      <c r="CRD58"/>
      <c r="CRE58"/>
      <c r="CRF58"/>
      <c r="CRG58"/>
      <c r="CRH58"/>
      <c r="CRI58"/>
      <c r="CRJ58"/>
      <c r="CRK58"/>
      <c r="CRL58"/>
      <c r="CRM58"/>
      <c r="CRN58"/>
      <c r="CRO58"/>
      <c r="CRP58"/>
      <c r="CRQ58"/>
      <c r="CRR58"/>
      <c r="CRS58"/>
      <c r="CRT58"/>
      <c r="CRU58"/>
      <c r="CRV58"/>
      <c r="CRW58"/>
      <c r="CRX58"/>
      <c r="CRY58"/>
      <c r="CRZ58"/>
      <c r="CSA58"/>
      <c r="CSB58"/>
      <c r="CSC58"/>
      <c r="CSD58"/>
      <c r="CSE58"/>
      <c r="CSF58"/>
      <c r="CSG58"/>
      <c r="CSH58"/>
      <c r="CSI58"/>
      <c r="CSJ58"/>
      <c r="CSK58"/>
      <c r="CSL58"/>
      <c r="CSM58"/>
      <c r="CSN58"/>
      <c r="CSO58"/>
      <c r="CSP58"/>
      <c r="CSQ58"/>
      <c r="CSR58"/>
      <c r="CSS58"/>
      <c r="CST58"/>
      <c r="CSU58"/>
      <c r="CSV58"/>
      <c r="CSW58"/>
      <c r="CSX58"/>
      <c r="CSY58"/>
      <c r="CSZ58"/>
      <c r="CTA58"/>
      <c r="CTB58"/>
      <c r="CTC58"/>
      <c r="CTD58"/>
      <c r="CTE58"/>
      <c r="CTF58"/>
      <c r="CTG58"/>
      <c r="CTH58"/>
      <c r="CTI58"/>
      <c r="CTJ58"/>
      <c r="CTK58"/>
      <c r="CTL58"/>
      <c r="CTM58"/>
      <c r="CTN58"/>
      <c r="CTO58"/>
      <c r="CTP58"/>
      <c r="CTQ58"/>
      <c r="CTR58"/>
      <c r="CTS58"/>
      <c r="CTT58"/>
      <c r="CTU58"/>
      <c r="CTV58"/>
      <c r="CTW58"/>
      <c r="CTX58"/>
      <c r="CTY58"/>
      <c r="CTZ58"/>
      <c r="CUA58"/>
      <c r="CUB58"/>
      <c r="CUC58"/>
      <c r="CUD58"/>
      <c r="CUE58"/>
      <c r="CUF58"/>
      <c r="CUG58"/>
      <c r="CUH58"/>
      <c r="CUI58"/>
      <c r="CUJ58"/>
      <c r="CUK58"/>
      <c r="CUL58"/>
      <c r="CUM58"/>
      <c r="CUN58"/>
      <c r="CUO58"/>
      <c r="CUP58"/>
      <c r="CUQ58"/>
      <c r="CUR58"/>
      <c r="CUS58"/>
      <c r="CUT58"/>
      <c r="CUU58"/>
      <c r="CUV58"/>
      <c r="CUW58"/>
      <c r="CUX58"/>
      <c r="CUY58"/>
      <c r="CUZ58"/>
      <c r="CVA58"/>
      <c r="CVB58"/>
      <c r="CVC58"/>
      <c r="CVD58"/>
      <c r="CVE58"/>
      <c r="CVF58"/>
      <c r="CVG58"/>
      <c r="CVH58"/>
      <c r="CVI58"/>
      <c r="CVJ58"/>
      <c r="CVK58"/>
      <c r="CVL58"/>
      <c r="CVM58"/>
      <c r="CVN58"/>
      <c r="CVO58"/>
      <c r="CVP58"/>
      <c r="CVQ58"/>
      <c r="CVR58"/>
      <c r="CVS58"/>
      <c r="CVT58"/>
      <c r="CVU58"/>
      <c r="CVV58"/>
      <c r="CVW58"/>
      <c r="CVX58"/>
      <c r="CVY58"/>
      <c r="CVZ58"/>
      <c r="CWA58"/>
      <c r="CWB58"/>
      <c r="CWC58"/>
      <c r="CWD58"/>
      <c r="CWE58"/>
      <c r="CWF58"/>
      <c r="CWG58"/>
      <c r="CWH58"/>
      <c r="CWI58"/>
      <c r="CWJ58"/>
      <c r="CWK58"/>
      <c r="CWL58"/>
      <c r="CWM58"/>
      <c r="CWN58"/>
      <c r="CWO58"/>
      <c r="CWP58"/>
      <c r="CWQ58"/>
      <c r="CWR58"/>
      <c r="CWS58"/>
      <c r="CWT58"/>
      <c r="CWU58"/>
      <c r="CWV58"/>
      <c r="CWW58"/>
      <c r="CWX58"/>
      <c r="CWY58"/>
      <c r="CWZ58"/>
      <c r="CXA58"/>
      <c r="CXB58"/>
      <c r="CXC58"/>
      <c r="CXD58"/>
      <c r="CXE58"/>
      <c r="CXF58"/>
      <c r="CXG58"/>
      <c r="CXH58"/>
      <c r="CXI58"/>
      <c r="CXJ58"/>
      <c r="CXK58"/>
      <c r="CXL58"/>
      <c r="CXM58"/>
      <c r="CXN58"/>
      <c r="CXO58"/>
      <c r="CXP58"/>
      <c r="CXQ58"/>
      <c r="CXR58"/>
      <c r="CXS58"/>
      <c r="CXT58"/>
      <c r="CXU58"/>
      <c r="CXV58"/>
      <c r="CXW58"/>
      <c r="CXX58"/>
      <c r="CXY58"/>
      <c r="CXZ58"/>
      <c r="CYA58"/>
      <c r="CYB58"/>
      <c r="CYC58"/>
      <c r="CYD58"/>
      <c r="CYE58"/>
      <c r="CYF58"/>
      <c r="CYG58"/>
      <c r="CYH58"/>
      <c r="CYI58"/>
      <c r="CYJ58"/>
      <c r="CYK58"/>
      <c r="CYL58"/>
      <c r="CYM58"/>
      <c r="CYN58"/>
      <c r="CYO58"/>
      <c r="CYP58"/>
      <c r="CYQ58"/>
      <c r="CYR58"/>
      <c r="CYS58"/>
      <c r="CYT58"/>
      <c r="CYU58"/>
      <c r="CYV58"/>
      <c r="CYW58"/>
      <c r="CYX58"/>
      <c r="CYY58"/>
      <c r="CYZ58"/>
      <c r="CZA58"/>
      <c r="CZB58"/>
      <c r="CZC58"/>
      <c r="CZD58"/>
      <c r="CZE58"/>
      <c r="CZF58"/>
      <c r="CZG58"/>
      <c r="CZH58"/>
      <c r="CZI58"/>
      <c r="CZJ58"/>
      <c r="CZK58"/>
      <c r="CZL58"/>
      <c r="CZM58"/>
      <c r="CZN58"/>
      <c r="CZO58"/>
      <c r="CZP58"/>
      <c r="CZQ58"/>
      <c r="CZR58"/>
      <c r="CZS58"/>
      <c r="CZT58"/>
      <c r="CZU58"/>
      <c r="CZV58"/>
      <c r="CZW58"/>
      <c r="CZX58"/>
      <c r="CZY58"/>
      <c r="CZZ58"/>
      <c r="DAA58"/>
      <c r="DAB58"/>
      <c r="DAC58"/>
      <c r="DAD58"/>
      <c r="DAE58"/>
      <c r="DAF58"/>
      <c r="DAG58"/>
      <c r="DAH58"/>
      <c r="DAI58"/>
      <c r="DAJ58"/>
      <c r="DAK58"/>
      <c r="DAL58"/>
      <c r="DAM58"/>
      <c r="DAN58"/>
      <c r="DAO58"/>
      <c r="DAP58"/>
      <c r="DAQ58"/>
      <c r="DAR58"/>
      <c r="DAS58"/>
      <c r="DAT58"/>
      <c r="DAU58"/>
      <c r="DAV58"/>
      <c r="DAW58"/>
      <c r="DAX58"/>
      <c r="DAY58"/>
      <c r="DAZ58"/>
      <c r="DBA58"/>
      <c r="DBB58"/>
      <c r="DBC58"/>
      <c r="DBD58"/>
      <c r="DBE58"/>
      <c r="DBF58"/>
      <c r="DBG58"/>
      <c r="DBH58"/>
      <c r="DBI58"/>
      <c r="DBJ58"/>
      <c r="DBK58"/>
      <c r="DBL58"/>
      <c r="DBM58"/>
      <c r="DBN58"/>
      <c r="DBO58"/>
      <c r="DBP58"/>
      <c r="DBQ58"/>
      <c r="DBR58"/>
      <c r="DBS58"/>
      <c r="DBT58"/>
      <c r="DBU58"/>
      <c r="DBV58"/>
      <c r="DBW58"/>
      <c r="DBX58"/>
      <c r="DBY58"/>
      <c r="DBZ58"/>
      <c r="DCA58"/>
      <c r="DCB58"/>
      <c r="DCC58"/>
      <c r="DCD58"/>
      <c r="DCE58"/>
      <c r="DCF58"/>
      <c r="DCG58"/>
      <c r="DCH58"/>
      <c r="DCI58"/>
      <c r="DCJ58"/>
      <c r="DCK58"/>
      <c r="DCL58"/>
      <c r="DCM58"/>
      <c r="DCN58"/>
      <c r="DCO58"/>
      <c r="DCP58"/>
      <c r="DCQ58"/>
      <c r="DCR58"/>
      <c r="DCS58"/>
      <c r="DCT58"/>
      <c r="DCU58"/>
      <c r="DCV58"/>
      <c r="DCW58"/>
      <c r="DCX58"/>
      <c r="DCY58"/>
      <c r="DCZ58"/>
      <c r="DDA58"/>
      <c r="DDB58"/>
      <c r="DDC58"/>
      <c r="DDD58"/>
      <c r="DDE58"/>
      <c r="DDF58"/>
      <c r="DDG58"/>
      <c r="DDH58"/>
      <c r="DDI58"/>
      <c r="DDJ58"/>
      <c r="DDK58"/>
      <c r="DDL58"/>
      <c r="DDM58"/>
      <c r="DDN58"/>
      <c r="DDO58"/>
      <c r="DDP58"/>
      <c r="DDQ58"/>
      <c r="DDR58"/>
      <c r="DDS58"/>
      <c r="DDT58"/>
      <c r="DDU58"/>
      <c r="DDV58"/>
      <c r="DDW58"/>
      <c r="DDX58"/>
      <c r="DDY58"/>
      <c r="DDZ58"/>
      <c r="DEA58"/>
      <c r="DEB58"/>
      <c r="DEC58"/>
      <c r="DED58"/>
      <c r="DEE58"/>
      <c r="DEF58"/>
      <c r="DEG58"/>
      <c r="DEH58"/>
      <c r="DEI58"/>
      <c r="DEJ58"/>
      <c r="DEK58"/>
      <c r="DEL58"/>
      <c r="DEM58"/>
      <c r="DEN58"/>
      <c r="DEO58"/>
      <c r="DEP58"/>
      <c r="DEQ58"/>
      <c r="DER58"/>
      <c r="DES58"/>
      <c r="DET58"/>
      <c r="DEU58"/>
      <c r="DEV58"/>
      <c r="DEW58"/>
      <c r="DEX58"/>
      <c r="DEY58"/>
      <c r="DEZ58"/>
      <c r="DFA58"/>
      <c r="DFB58"/>
      <c r="DFC58"/>
      <c r="DFD58"/>
      <c r="DFE58"/>
      <c r="DFF58"/>
      <c r="DFG58"/>
      <c r="DFH58"/>
      <c r="DFI58"/>
      <c r="DFJ58"/>
      <c r="DFK58"/>
      <c r="DFL58"/>
      <c r="DFM58"/>
      <c r="DFN58"/>
      <c r="DFO58"/>
      <c r="DFP58"/>
      <c r="DFQ58"/>
      <c r="DFR58"/>
      <c r="DFS58"/>
      <c r="DFT58"/>
      <c r="DFU58"/>
      <c r="DFV58"/>
      <c r="DFW58"/>
      <c r="DFX58"/>
      <c r="DFY58"/>
      <c r="DFZ58"/>
      <c r="DGA58"/>
      <c r="DGB58"/>
      <c r="DGC58"/>
      <c r="DGD58"/>
      <c r="DGE58"/>
      <c r="DGF58"/>
      <c r="DGG58"/>
      <c r="DGH58"/>
      <c r="DGI58"/>
      <c r="DGJ58"/>
      <c r="DGK58"/>
      <c r="DGL58"/>
      <c r="DGM58"/>
      <c r="DGN58"/>
      <c r="DGO58"/>
      <c r="DGP58"/>
      <c r="DGQ58"/>
      <c r="DGR58"/>
      <c r="DGS58"/>
      <c r="DGT58"/>
      <c r="DGU58"/>
      <c r="DGV58"/>
      <c r="DGW58"/>
      <c r="DGX58"/>
      <c r="DGY58"/>
      <c r="DGZ58"/>
      <c r="DHA58"/>
      <c r="DHB58"/>
      <c r="DHC58"/>
      <c r="DHD58"/>
      <c r="DHE58"/>
      <c r="DHF58"/>
      <c r="DHG58"/>
      <c r="DHH58"/>
      <c r="DHI58"/>
      <c r="DHJ58"/>
      <c r="DHK58"/>
      <c r="DHL58"/>
      <c r="DHM58"/>
      <c r="DHN58"/>
      <c r="DHO58"/>
      <c r="DHP58"/>
      <c r="DHQ58"/>
      <c r="DHR58"/>
      <c r="DHS58"/>
      <c r="DHT58"/>
      <c r="DHU58"/>
      <c r="DHV58"/>
      <c r="DHW58"/>
      <c r="DHX58"/>
      <c r="DHY58"/>
      <c r="DHZ58"/>
      <c r="DIA58"/>
      <c r="DIB58"/>
      <c r="DIC58"/>
      <c r="DID58"/>
      <c r="DIE58"/>
      <c r="DIF58"/>
      <c r="DIG58"/>
      <c r="DIH58"/>
      <c r="DII58"/>
      <c r="DIJ58"/>
      <c r="DIK58"/>
      <c r="DIL58"/>
      <c r="DIM58"/>
      <c r="DIN58"/>
      <c r="DIO58"/>
      <c r="DIP58"/>
      <c r="DIQ58"/>
      <c r="DIR58"/>
      <c r="DIS58"/>
      <c r="DIT58"/>
      <c r="DIU58"/>
      <c r="DIV58"/>
      <c r="DIW58"/>
      <c r="DIX58"/>
      <c r="DIY58"/>
      <c r="DIZ58"/>
      <c r="DJA58"/>
      <c r="DJB58"/>
      <c r="DJC58"/>
      <c r="DJD58"/>
      <c r="DJE58"/>
      <c r="DJF58"/>
      <c r="DJG58"/>
      <c r="DJH58"/>
      <c r="DJI58"/>
      <c r="DJJ58"/>
      <c r="DJK58"/>
      <c r="DJL58"/>
      <c r="DJM58"/>
      <c r="DJN58"/>
      <c r="DJO58"/>
      <c r="DJP58"/>
      <c r="DJQ58"/>
      <c r="DJR58"/>
      <c r="DJS58"/>
      <c r="DJT58"/>
      <c r="DJU58"/>
      <c r="DJV58"/>
      <c r="DJW58"/>
      <c r="DJX58"/>
      <c r="DJY58"/>
      <c r="DJZ58"/>
      <c r="DKA58"/>
      <c r="DKB58"/>
      <c r="DKC58"/>
      <c r="DKD58"/>
      <c r="DKE58"/>
      <c r="DKF58"/>
      <c r="DKG58"/>
      <c r="DKH58"/>
      <c r="DKI58"/>
      <c r="DKJ58"/>
      <c r="DKK58"/>
      <c r="DKL58"/>
      <c r="DKM58"/>
      <c r="DKN58"/>
      <c r="DKO58"/>
      <c r="DKP58"/>
      <c r="DKQ58"/>
      <c r="DKR58"/>
      <c r="DKS58"/>
      <c r="DKT58"/>
      <c r="DKU58"/>
      <c r="DKV58"/>
      <c r="DKW58"/>
      <c r="DKX58"/>
      <c r="DKY58"/>
      <c r="DKZ58"/>
      <c r="DLA58"/>
      <c r="DLB58"/>
      <c r="DLC58"/>
      <c r="DLD58"/>
      <c r="DLE58"/>
      <c r="DLF58"/>
      <c r="DLG58"/>
      <c r="DLH58"/>
      <c r="DLI58"/>
      <c r="DLJ58"/>
      <c r="DLK58"/>
      <c r="DLL58"/>
      <c r="DLM58"/>
      <c r="DLN58"/>
      <c r="DLO58"/>
      <c r="DLP58"/>
      <c r="DLQ58"/>
      <c r="DLR58"/>
      <c r="DLS58"/>
      <c r="DLT58"/>
      <c r="DLU58"/>
      <c r="DLV58"/>
      <c r="DLW58"/>
      <c r="DLX58"/>
      <c r="DLY58"/>
      <c r="DLZ58"/>
      <c r="DMA58"/>
      <c r="DMB58"/>
      <c r="DMC58"/>
      <c r="DMD58"/>
      <c r="DME58"/>
      <c r="DMF58"/>
      <c r="DMG58"/>
      <c r="DMH58"/>
      <c r="DMI58"/>
      <c r="DMJ58"/>
      <c r="DMK58"/>
      <c r="DML58"/>
      <c r="DMM58"/>
      <c r="DMN58"/>
      <c r="DMO58"/>
      <c r="DMP58"/>
      <c r="DMQ58"/>
      <c r="DMR58"/>
      <c r="DMS58"/>
      <c r="DMT58"/>
      <c r="DMU58"/>
      <c r="DMV58"/>
      <c r="DMW58"/>
      <c r="DMX58"/>
      <c r="DMY58"/>
      <c r="DMZ58"/>
      <c r="DNA58"/>
      <c r="DNB58"/>
      <c r="DNC58"/>
      <c r="DND58"/>
      <c r="DNE58"/>
      <c r="DNF58"/>
      <c r="DNG58"/>
      <c r="DNH58"/>
      <c r="DNI58"/>
      <c r="DNJ58"/>
      <c r="DNK58"/>
      <c r="DNL58"/>
      <c r="DNM58"/>
      <c r="DNN58"/>
      <c r="DNO58"/>
      <c r="DNP58"/>
      <c r="DNQ58"/>
      <c r="DNR58"/>
      <c r="DNS58"/>
      <c r="DNT58"/>
      <c r="DNU58"/>
      <c r="DNV58"/>
      <c r="DNW58"/>
      <c r="DNX58"/>
      <c r="DNY58"/>
      <c r="DNZ58"/>
      <c r="DOA58"/>
      <c r="DOB58"/>
      <c r="DOC58"/>
      <c r="DOD58"/>
      <c r="DOE58"/>
      <c r="DOF58"/>
      <c r="DOG58"/>
      <c r="DOH58"/>
      <c r="DOI58"/>
      <c r="DOJ58"/>
      <c r="DOK58"/>
      <c r="DOL58"/>
      <c r="DOM58"/>
      <c r="DON58"/>
      <c r="DOO58"/>
      <c r="DOP58"/>
      <c r="DOQ58"/>
      <c r="DOR58"/>
      <c r="DOS58"/>
      <c r="DOT58"/>
      <c r="DOU58"/>
      <c r="DOV58"/>
      <c r="DOW58"/>
      <c r="DOX58"/>
      <c r="DOY58"/>
      <c r="DOZ58"/>
      <c r="DPA58"/>
      <c r="DPB58"/>
      <c r="DPC58"/>
      <c r="DPD58"/>
      <c r="DPE58"/>
      <c r="DPF58"/>
      <c r="DPG58"/>
      <c r="DPH58"/>
      <c r="DPI58"/>
      <c r="DPJ58"/>
      <c r="DPK58"/>
      <c r="DPL58"/>
      <c r="DPM58"/>
      <c r="DPN58"/>
      <c r="DPO58"/>
      <c r="DPP58"/>
      <c r="DPQ58"/>
      <c r="DPR58"/>
      <c r="DPS58"/>
      <c r="DPT58"/>
      <c r="DPU58"/>
      <c r="DPV58"/>
      <c r="DPW58"/>
      <c r="DPX58"/>
      <c r="DPY58"/>
      <c r="DPZ58"/>
      <c r="DQA58"/>
      <c r="DQB58"/>
      <c r="DQC58"/>
      <c r="DQD58"/>
      <c r="DQE58"/>
      <c r="DQF58"/>
      <c r="DQG58"/>
      <c r="DQH58"/>
      <c r="DQI58"/>
      <c r="DQJ58"/>
      <c r="DQK58"/>
      <c r="DQL58"/>
      <c r="DQM58"/>
      <c r="DQN58"/>
      <c r="DQO58"/>
      <c r="DQP58"/>
      <c r="DQQ58"/>
      <c r="DQR58"/>
      <c r="DQS58"/>
      <c r="DQT58"/>
      <c r="DQU58"/>
      <c r="DQV58"/>
      <c r="DQW58"/>
      <c r="DQX58"/>
      <c r="DQY58"/>
      <c r="DQZ58"/>
      <c r="DRA58"/>
      <c r="DRB58"/>
      <c r="DRC58"/>
      <c r="DRD58"/>
      <c r="DRE58"/>
      <c r="DRF58"/>
      <c r="DRG58"/>
      <c r="DRH58"/>
      <c r="DRI58"/>
      <c r="DRJ58"/>
      <c r="DRK58"/>
      <c r="DRL58"/>
      <c r="DRM58"/>
      <c r="DRN58"/>
      <c r="DRO58"/>
      <c r="DRP58"/>
      <c r="DRQ58"/>
      <c r="DRR58"/>
      <c r="DRS58"/>
      <c r="DRT58"/>
      <c r="DRU58"/>
      <c r="DRV58"/>
      <c r="DRW58"/>
      <c r="DRX58"/>
      <c r="DRY58"/>
      <c r="DRZ58"/>
      <c r="DSA58"/>
      <c r="DSB58"/>
      <c r="DSC58"/>
      <c r="DSD58"/>
      <c r="DSE58"/>
      <c r="DSF58"/>
      <c r="DSG58"/>
      <c r="DSH58"/>
      <c r="DSI58"/>
      <c r="DSJ58"/>
      <c r="DSK58"/>
      <c r="DSL58"/>
      <c r="DSM58"/>
      <c r="DSN58"/>
      <c r="DSO58"/>
      <c r="DSP58"/>
      <c r="DSQ58"/>
      <c r="DSR58"/>
      <c r="DSS58"/>
      <c r="DST58"/>
      <c r="DSU58"/>
      <c r="DSV58"/>
      <c r="DSW58"/>
      <c r="DSX58"/>
      <c r="DSY58"/>
      <c r="DSZ58"/>
      <c r="DTA58"/>
      <c r="DTB58"/>
      <c r="DTC58"/>
      <c r="DTD58"/>
      <c r="DTE58"/>
      <c r="DTF58"/>
      <c r="DTG58"/>
      <c r="DTH58"/>
      <c r="DTI58"/>
      <c r="DTJ58"/>
      <c r="DTK58"/>
      <c r="DTL58"/>
      <c r="DTM58"/>
      <c r="DTN58"/>
      <c r="DTO58"/>
      <c r="DTP58"/>
      <c r="DTQ58"/>
      <c r="DTR58"/>
      <c r="DTS58"/>
      <c r="DTT58"/>
      <c r="DTU58"/>
      <c r="DTV58"/>
      <c r="DTW58"/>
      <c r="DTX58"/>
      <c r="DTY58"/>
      <c r="DTZ58"/>
      <c r="DUA58"/>
      <c r="DUB58"/>
      <c r="DUC58"/>
      <c r="DUD58"/>
      <c r="DUE58"/>
      <c r="DUF58"/>
      <c r="DUG58"/>
      <c r="DUH58"/>
      <c r="DUI58"/>
      <c r="DUJ58"/>
      <c r="DUK58"/>
      <c r="DUL58"/>
      <c r="DUM58"/>
      <c r="DUN58"/>
      <c r="DUO58"/>
      <c r="DUP58"/>
      <c r="DUQ58"/>
      <c r="DUR58"/>
      <c r="DUS58"/>
      <c r="DUT58"/>
      <c r="DUU58"/>
      <c r="DUV58"/>
      <c r="DUW58"/>
      <c r="DUX58"/>
      <c r="DUY58"/>
      <c r="DUZ58"/>
      <c r="DVA58"/>
      <c r="DVB58"/>
      <c r="DVC58"/>
      <c r="DVD58"/>
      <c r="DVE58"/>
      <c r="DVF58"/>
      <c r="DVG58"/>
      <c r="DVH58"/>
      <c r="DVI58"/>
      <c r="DVJ58"/>
      <c r="DVK58"/>
      <c r="DVL58"/>
      <c r="DVM58"/>
      <c r="DVN58"/>
      <c r="DVO58"/>
      <c r="DVP58"/>
      <c r="DVQ58"/>
      <c r="DVR58"/>
      <c r="DVS58"/>
      <c r="DVT58"/>
      <c r="DVU58"/>
      <c r="DVV58"/>
      <c r="DVW58"/>
      <c r="DVX58"/>
      <c r="DVY58"/>
      <c r="DVZ58"/>
      <c r="DWA58"/>
      <c r="DWB58"/>
      <c r="DWC58"/>
      <c r="DWD58"/>
      <c r="DWE58"/>
      <c r="DWF58"/>
      <c r="DWG58"/>
      <c r="DWH58"/>
      <c r="DWI58"/>
      <c r="DWJ58"/>
      <c r="DWK58"/>
      <c r="DWL58"/>
      <c r="DWM58"/>
      <c r="DWN58"/>
      <c r="DWO58"/>
      <c r="DWP58"/>
      <c r="DWQ58"/>
      <c r="DWR58"/>
      <c r="DWS58"/>
      <c r="DWT58"/>
      <c r="DWU58"/>
      <c r="DWV58"/>
      <c r="DWW58"/>
      <c r="DWX58"/>
      <c r="DWY58"/>
      <c r="DWZ58"/>
      <c r="DXA58"/>
      <c r="DXB58"/>
      <c r="DXC58"/>
      <c r="DXD58"/>
      <c r="DXE58"/>
      <c r="DXF58"/>
      <c r="DXG58"/>
      <c r="DXH58"/>
      <c r="DXI58"/>
      <c r="DXJ58"/>
      <c r="DXK58"/>
      <c r="DXL58"/>
      <c r="DXM58"/>
      <c r="DXN58"/>
      <c r="DXO58"/>
      <c r="DXP58"/>
      <c r="DXQ58"/>
      <c r="DXR58"/>
      <c r="DXS58"/>
      <c r="DXT58"/>
      <c r="DXU58"/>
      <c r="DXV58"/>
      <c r="DXW58"/>
      <c r="DXX58"/>
      <c r="DXY58"/>
      <c r="DXZ58"/>
      <c r="DYA58"/>
      <c r="DYB58"/>
      <c r="DYC58"/>
      <c r="DYD58"/>
      <c r="DYE58"/>
      <c r="DYF58"/>
      <c r="DYG58"/>
      <c r="DYH58"/>
      <c r="DYI58"/>
      <c r="DYJ58"/>
      <c r="DYK58"/>
      <c r="DYL58"/>
      <c r="DYM58"/>
      <c r="DYN58"/>
      <c r="DYO58"/>
      <c r="DYP58"/>
      <c r="DYQ58"/>
      <c r="DYR58"/>
      <c r="DYS58"/>
      <c r="DYT58"/>
      <c r="DYU58"/>
      <c r="DYV58"/>
      <c r="DYW58"/>
      <c r="DYX58"/>
      <c r="DYY58"/>
      <c r="DYZ58"/>
      <c r="DZA58"/>
      <c r="DZB58"/>
      <c r="DZC58"/>
      <c r="DZD58"/>
      <c r="DZE58"/>
      <c r="DZF58"/>
      <c r="DZG58"/>
      <c r="DZH58"/>
      <c r="DZI58"/>
      <c r="DZJ58"/>
      <c r="DZK58"/>
      <c r="DZL58"/>
      <c r="DZM58"/>
      <c r="DZN58"/>
      <c r="DZO58"/>
      <c r="DZP58"/>
      <c r="DZQ58"/>
      <c r="DZR58"/>
      <c r="DZS58"/>
      <c r="DZT58"/>
      <c r="DZU58"/>
      <c r="DZV58"/>
      <c r="DZW58"/>
      <c r="DZX58"/>
      <c r="DZY58"/>
      <c r="DZZ58"/>
      <c r="EAA58"/>
      <c r="EAB58"/>
      <c r="EAC58"/>
      <c r="EAD58"/>
      <c r="EAE58"/>
      <c r="EAF58"/>
      <c r="EAG58"/>
      <c r="EAH58"/>
      <c r="EAI58"/>
      <c r="EAJ58"/>
      <c r="EAK58"/>
      <c r="EAL58"/>
      <c r="EAM58"/>
      <c r="EAN58"/>
      <c r="EAO58"/>
      <c r="EAP58"/>
      <c r="EAQ58"/>
      <c r="EAR58"/>
      <c r="EAS58"/>
      <c r="EAT58"/>
      <c r="EAU58"/>
      <c r="EAV58"/>
      <c r="EAW58"/>
      <c r="EAX58"/>
      <c r="EAY58"/>
      <c r="EAZ58"/>
      <c r="EBA58"/>
      <c r="EBB58"/>
      <c r="EBC58"/>
      <c r="EBD58"/>
      <c r="EBE58"/>
      <c r="EBF58"/>
      <c r="EBG58"/>
      <c r="EBH58"/>
      <c r="EBI58"/>
      <c r="EBJ58"/>
      <c r="EBK58"/>
      <c r="EBL58"/>
      <c r="EBM58"/>
      <c r="EBN58"/>
      <c r="EBO58"/>
      <c r="EBP58"/>
      <c r="EBQ58"/>
      <c r="EBR58"/>
      <c r="EBS58"/>
      <c r="EBT58"/>
      <c r="EBU58"/>
      <c r="EBV58"/>
      <c r="EBW58"/>
      <c r="EBX58"/>
      <c r="EBY58"/>
      <c r="EBZ58"/>
      <c r="ECA58"/>
      <c r="ECB58"/>
      <c r="ECC58"/>
      <c r="ECD58"/>
      <c r="ECE58"/>
      <c r="ECF58"/>
      <c r="ECG58"/>
      <c r="ECH58"/>
      <c r="ECI58"/>
      <c r="ECJ58"/>
      <c r="ECK58"/>
      <c r="ECL58"/>
      <c r="ECM58"/>
      <c r="ECN58"/>
      <c r="ECO58"/>
      <c r="ECP58"/>
      <c r="ECQ58"/>
      <c r="ECR58"/>
      <c r="ECS58"/>
      <c r="ECT58"/>
      <c r="ECU58"/>
      <c r="ECV58"/>
      <c r="ECW58"/>
      <c r="ECX58"/>
      <c r="ECY58"/>
      <c r="ECZ58"/>
      <c r="EDA58"/>
      <c r="EDB58"/>
      <c r="EDC58"/>
      <c r="EDD58"/>
      <c r="EDE58"/>
      <c r="EDF58"/>
      <c r="EDG58"/>
      <c r="EDH58"/>
      <c r="EDI58"/>
      <c r="EDJ58"/>
      <c r="EDK58"/>
      <c r="EDL58"/>
      <c r="EDM58"/>
      <c r="EDN58"/>
      <c r="EDO58"/>
      <c r="EDP58"/>
      <c r="EDQ58"/>
      <c r="EDR58"/>
      <c r="EDS58"/>
      <c r="EDT58"/>
      <c r="EDU58"/>
      <c r="EDV58"/>
      <c r="EDW58"/>
      <c r="EDX58"/>
      <c r="EDY58"/>
      <c r="EDZ58"/>
      <c r="EEA58"/>
      <c r="EEB58"/>
      <c r="EEC58"/>
      <c r="EED58"/>
      <c r="EEE58"/>
      <c r="EEF58"/>
      <c r="EEG58"/>
      <c r="EEH58"/>
      <c r="EEI58"/>
      <c r="EEJ58"/>
      <c r="EEK58"/>
      <c r="EEL58"/>
      <c r="EEM58"/>
      <c r="EEN58"/>
      <c r="EEO58"/>
      <c r="EEP58"/>
      <c r="EEQ58"/>
      <c r="EER58"/>
      <c r="EES58"/>
      <c r="EET58"/>
      <c r="EEU58"/>
      <c r="EEV58"/>
      <c r="EEW58"/>
      <c r="EEX58"/>
      <c r="EEY58"/>
      <c r="EEZ58"/>
      <c r="EFA58"/>
      <c r="EFB58"/>
      <c r="EFC58"/>
      <c r="EFD58"/>
      <c r="EFE58"/>
      <c r="EFF58"/>
      <c r="EFG58"/>
      <c r="EFH58"/>
      <c r="EFI58"/>
      <c r="EFJ58"/>
      <c r="EFK58"/>
      <c r="EFL58"/>
      <c r="EFM58"/>
      <c r="EFN58"/>
      <c r="EFO58"/>
      <c r="EFP58"/>
      <c r="EFQ58"/>
      <c r="EFR58"/>
      <c r="EFS58"/>
      <c r="EFT58"/>
      <c r="EFU58"/>
      <c r="EFV58"/>
      <c r="EFW58"/>
      <c r="EFX58"/>
      <c r="EFY58"/>
      <c r="EFZ58"/>
      <c r="EGA58"/>
      <c r="EGB58"/>
      <c r="EGC58"/>
      <c r="EGD58"/>
      <c r="EGE58"/>
      <c r="EGF58"/>
      <c r="EGG58"/>
      <c r="EGH58"/>
      <c r="EGI58"/>
      <c r="EGJ58"/>
      <c r="EGK58"/>
      <c r="EGL58"/>
      <c r="EGM58"/>
      <c r="EGN58"/>
      <c r="EGO58"/>
      <c r="EGP58"/>
      <c r="EGQ58"/>
      <c r="EGR58"/>
      <c r="EGS58"/>
      <c r="EGT58"/>
      <c r="EGU58"/>
      <c r="EGV58"/>
      <c r="EGW58"/>
      <c r="EGX58"/>
      <c r="EGY58"/>
      <c r="EGZ58"/>
      <c r="EHA58"/>
      <c r="EHB58"/>
      <c r="EHC58"/>
      <c r="EHD58"/>
      <c r="EHE58"/>
      <c r="EHF58"/>
      <c r="EHG58"/>
      <c r="EHH58"/>
      <c r="EHI58"/>
      <c r="EHJ58"/>
      <c r="EHK58"/>
      <c r="EHL58"/>
      <c r="EHM58"/>
      <c r="EHN58"/>
      <c r="EHO58"/>
      <c r="EHP58"/>
      <c r="EHQ58"/>
      <c r="EHR58"/>
      <c r="EHS58"/>
      <c r="EHT58"/>
      <c r="EHU58"/>
      <c r="EHV58"/>
      <c r="EHW58"/>
      <c r="EHX58"/>
      <c r="EHY58"/>
      <c r="EHZ58"/>
      <c r="EIA58"/>
      <c r="EIB58"/>
      <c r="EIC58"/>
      <c r="EID58"/>
      <c r="EIE58"/>
      <c r="EIF58"/>
      <c r="EIG58"/>
      <c r="EIH58"/>
      <c r="EII58"/>
      <c r="EIJ58"/>
      <c r="EIK58"/>
      <c r="EIL58"/>
      <c r="EIM58"/>
      <c r="EIN58"/>
      <c r="EIO58"/>
      <c r="EIP58"/>
      <c r="EIQ58"/>
      <c r="EIR58"/>
      <c r="EIS58"/>
      <c r="EIT58"/>
      <c r="EIU58"/>
      <c r="EIV58"/>
      <c r="EIW58"/>
      <c r="EIX58"/>
      <c r="EIY58"/>
      <c r="EIZ58"/>
      <c r="EJA58"/>
      <c r="EJB58"/>
      <c r="EJC58"/>
      <c r="EJD58"/>
      <c r="EJE58"/>
      <c r="EJF58"/>
      <c r="EJG58"/>
      <c r="EJH58"/>
      <c r="EJI58"/>
      <c r="EJJ58"/>
      <c r="EJK58"/>
      <c r="EJL58"/>
      <c r="EJM58"/>
      <c r="EJN58"/>
      <c r="EJO58"/>
      <c r="EJP58"/>
      <c r="EJQ58"/>
      <c r="EJR58"/>
      <c r="EJS58"/>
      <c r="EJT58"/>
      <c r="EJU58"/>
      <c r="EJV58"/>
      <c r="EJW58"/>
      <c r="EJX58"/>
      <c r="EJY58"/>
      <c r="EJZ58"/>
      <c r="EKA58"/>
      <c r="EKB58"/>
      <c r="EKC58"/>
      <c r="EKD58"/>
      <c r="EKE58"/>
      <c r="EKF58"/>
      <c r="EKG58"/>
      <c r="EKH58"/>
      <c r="EKI58"/>
      <c r="EKJ58"/>
      <c r="EKK58"/>
      <c r="EKL58"/>
      <c r="EKM58"/>
      <c r="EKN58"/>
      <c r="EKO58"/>
      <c r="EKP58"/>
      <c r="EKQ58"/>
      <c r="EKR58"/>
      <c r="EKS58"/>
      <c r="EKT58"/>
      <c r="EKU58"/>
      <c r="EKV58"/>
      <c r="EKW58"/>
      <c r="EKX58"/>
      <c r="EKY58"/>
      <c r="EKZ58"/>
      <c r="ELA58"/>
      <c r="ELB58"/>
      <c r="ELC58"/>
      <c r="ELD58"/>
      <c r="ELE58"/>
      <c r="ELF58"/>
      <c r="ELG58"/>
      <c r="ELH58"/>
      <c r="ELI58"/>
      <c r="ELJ58"/>
      <c r="ELK58"/>
      <c r="ELL58"/>
      <c r="ELM58"/>
      <c r="ELN58"/>
      <c r="ELO58"/>
      <c r="ELP58"/>
      <c r="ELQ58"/>
      <c r="ELR58"/>
      <c r="ELS58"/>
      <c r="ELT58"/>
      <c r="ELU58"/>
      <c r="ELV58"/>
      <c r="ELW58"/>
      <c r="ELX58"/>
      <c r="ELY58"/>
      <c r="ELZ58"/>
      <c r="EMA58"/>
      <c r="EMB58"/>
      <c r="EMC58"/>
      <c r="EMD58"/>
      <c r="EME58"/>
      <c r="EMF58"/>
      <c r="EMG58"/>
      <c r="EMH58"/>
      <c r="EMI58"/>
      <c r="EMJ58"/>
      <c r="EMK58"/>
      <c r="EML58"/>
      <c r="EMM58"/>
      <c r="EMN58"/>
      <c r="EMO58"/>
      <c r="EMP58"/>
      <c r="EMQ58"/>
      <c r="EMR58"/>
      <c r="EMS58"/>
      <c r="EMT58"/>
      <c r="EMU58"/>
      <c r="EMV58"/>
      <c r="EMW58"/>
      <c r="EMX58"/>
      <c r="EMY58"/>
      <c r="EMZ58"/>
      <c r="ENA58"/>
      <c r="ENB58"/>
      <c r="ENC58"/>
      <c r="END58"/>
      <c r="ENE58"/>
      <c r="ENF58"/>
      <c r="ENG58"/>
      <c r="ENH58"/>
      <c r="ENI58"/>
      <c r="ENJ58"/>
      <c r="ENK58"/>
      <c r="ENL58"/>
      <c r="ENM58"/>
      <c r="ENN58"/>
      <c r="ENO58"/>
      <c r="ENP58"/>
      <c r="ENQ58"/>
      <c r="ENR58"/>
      <c r="ENS58"/>
      <c r="ENT58"/>
      <c r="ENU58"/>
      <c r="ENV58"/>
      <c r="ENW58"/>
      <c r="ENX58"/>
      <c r="ENY58"/>
      <c r="ENZ58"/>
      <c r="EOA58"/>
      <c r="EOB58"/>
      <c r="EOC58"/>
      <c r="EOD58"/>
      <c r="EOE58"/>
      <c r="EOF58"/>
      <c r="EOG58"/>
      <c r="EOH58"/>
      <c r="EOI58"/>
      <c r="EOJ58"/>
      <c r="EOK58"/>
      <c r="EOL58"/>
      <c r="EOM58"/>
      <c r="EON58"/>
      <c r="EOO58"/>
      <c r="EOP58"/>
      <c r="EOQ58"/>
      <c r="EOR58"/>
      <c r="EOS58"/>
      <c r="EOT58"/>
      <c r="EOU58"/>
      <c r="EOV58"/>
      <c r="EOW58"/>
      <c r="EOX58"/>
      <c r="EOY58"/>
      <c r="EOZ58"/>
      <c r="EPA58"/>
      <c r="EPB58"/>
      <c r="EPC58"/>
      <c r="EPD58"/>
      <c r="EPE58"/>
      <c r="EPF58"/>
      <c r="EPG58"/>
      <c r="EPH58"/>
      <c r="EPI58"/>
      <c r="EPJ58"/>
      <c r="EPK58"/>
      <c r="EPL58"/>
      <c r="EPM58"/>
      <c r="EPN58"/>
      <c r="EPO58"/>
      <c r="EPP58"/>
      <c r="EPQ58"/>
      <c r="EPR58"/>
      <c r="EPS58"/>
      <c r="EPT58"/>
      <c r="EPU58"/>
      <c r="EPV58"/>
      <c r="EPW58"/>
      <c r="EPX58"/>
      <c r="EPY58"/>
      <c r="EPZ58"/>
      <c r="EQA58"/>
      <c r="EQB58"/>
      <c r="EQC58"/>
      <c r="EQD58"/>
      <c r="EQE58"/>
      <c r="EQF58"/>
      <c r="EQG58"/>
      <c r="EQH58"/>
      <c r="EQI58"/>
      <c r="EQJ58"/>
      <c r="EQK58"/>
      <c r="EQL58"/>
      <c r="EQM58"/>
      <c r="EQN58"/>
      <c r="EQO58"/>
      <c r="EQP58"/>
      <c r="EQQ58"/>
      <c r="EQR58"/>
      <c r="EQS58"/>
      <c r="EQT58"/>
      <c r="EQU58"/>
      <c r="EQV58"/>
      <c r="EQW58"/>
      <c r="EQX58"/>
      <c r="EQY58"/>
      <c r="EQZ58"/>
      <c r="ERA58"/>
      <c r="ERB58"/>
      <c r="ERC58"/>
      <c r="ERD58"/>
      <c r="ERE58"/>
      <c r="ERF58"/>
      <c r="ERG58"/>
      <c r="ERH58"/>
      <c r="ERI58"/>
      <c r="ERJ58"/>
      <c r="ERK58"/>
      <c r="ERL58"/>
      <c r="ERM58"/>
      <c r="ERN58"/>
      <c r="ERO58"/>
      <c r="ERP58"/>
      <c r="ERQ58"/>
      <c r="ERR58"/>
      <c r="ERS58"/>
      <c r="ERT58"/>
      <c r="ERU58"/>
      <c r="ERV58"/>
      <c r="ERW58"/>
      <c r="ERX58"/>
      <c r="ERY58"/>
      <c r="ERZ58"/>
      <c r="ESA58"/>
      <c r="ESB58"/>
      <c r="ESC58"/>
      <c r="ESD58"/>
      <c r="ESE58"/>
      <c r="ESF58"/>
      <c r="ESG58"/>
      <c r="ESH58"/>
      <c r="ESI58"/>
      <c r="ESJ58"/>
      <c r="ESK58"/>
      <c r="ESL58"/>
      <c r="ESM58"/>
      <c r="ESN58"/>
      <c r="ESO58"/>
      <c r="ESP58"/>
      <c r="ESQ58"/>
      <c r="ESR58"/>
      <c r="ESS58"/>
      <c r="EST58"/>
      <c r="ESU58"/>
      <c r="ESV58"/>
      <c r="ESW58"/>
      <c r="ESX58"/>
      <c r="ESY58"/>
      <c r="ESZ58"/>
      <c r="ETA58"/>
      <c r="ETB58"/>
      <c r="ETC58"/>
      <c r="ETD58"/>
      <c r="ETE58"/>
      <c r="ETF58"/>
      <c r="ETG58"/>
      <c r="ETH58"/>
      <c r="ETI58"/>
      <c r="ETJ58"/>
      <c r="ETK58"/>
      <c r="ETL58"/>
      <c r="ETM58"/>
      <c r="ETN58"/>
      <c r="ETO58"/>
      <c r="ETP58"/>
      <c r="ETQ58"/>
      <c r="ETR58"/>
      <c r="ETS58"/>
      <c r="ETT58"/>
      <c r="ETU58"/>
      <c r="ETV58"/>
      <c r="ETW58"/>
      <c r="ETX58"/>
      <c r="ETY58"/>
      <c r="ETZ58"/>
      <c r="EUA58"/>
      <c r="EUB58"/>
      <c r="EUC58"/>
      <c r="EUD58"/>
      <c r="EUE58"/>
      <c r="EUF58"/>
      <c r="EUG58"/>
      <c r="EUH58"/>
      <c r="EUI58"/>
      <c r="EUJ58"/>
      <c r="EUK58"/>
      <c r="EUL58"/>
      <c r="EUM58"/>
      <c r="EUN58"/>
      <c r="EUO58"/>
      <c r="EUP58"/>
      <c r="EUQ58"/>
      <c r="EUR58"/>
      <c r="EUS58"/>
      <c r="EUT58"/>
      <c r="EUU58"/>
      <c r="EUV58"/>
      <c r="EUW58"/>
      <c r="EUX58"/>
      <c r="EUY58"/>
      <c r="EUZ58"/>
      <c r="EVA58"/>
      <c r="EVB58"/>
      <c r="EVC58"/>
      <c r="EVD58"/>
      <c r="EVE58"/>
      <c r="EVF58"/>
      <c r="EVG58"/>
      <c r="EVH58"/>
      <c r="EVI58"/>
      <c r="EVJ58"/>
      <c r="EVK58"/>
      <c r="EVL58"/>
      <c r="EVM58"/>
      <c r="EVN58"/>
      <c r="EVO58"/>
      <c r="EVP58"/>
      <c r="EVQ58"/>
      <c r="EVR58"/>
      <c r="EVS58"/>
      <c r="EVT58"/>
      <c r="EVU58"/>
      <c r="EVV58"/>
      <c r="EVW58"/>
      <c r="EVX58"/>
      <c r="EVY58"/>
      <c r="EVZ58"/>
      <c r="EWA58"/>
      <c r="EWB58"/>
      <c r="EWC58"/>
      <c r="EWD58"/>
      <c r="EWE58"/>
      <c r="EWF58"/>
      <c r="EWG58"/>
      <c r="EWH58"/>
      <c r="EWI58"/>
      <c r="EWJ58"/>
      <c r="EWK58"/>
      <c r="EWL58"/>
      <c r="EWM58"/>
      <c r="EWN58"/>
      <c r="EWO58"/>
      <c r="EWP58"/>
      <c r="EWQ58"/>
      <c r="EWR58"/>
      <c r="EWS58"/>
      <c r="EWT58"/>
      <c r="EWU58"/>
      <c r="EWV58"/>
      <c r="EWW58"/>
      <c r="EWX58"/>
      <c r="EWY58"/>
      <c r="EWZ58"/>
      <c r="EXA58"/>
      <c r="EXB58"/>
      <c r="EXC58"/>
      <c r="EXD58"/>
      <c r="EXE58"/>
      <c r="EXF58"/>
      <c r="EXG58"/>
      <c r="EXH58"/>
      <c r="EXI58"/>
      <c r="EXJ58"/>
      <c r="EXK58"/>
      <c r="EXL58"/>
      <c r="EXM58"/>
      <c r="EXN58"/>
      <c r="EXO58"/>
      <c r="EXP58"/>
      <c r="EXQ58"/>
      <c r="EXR58"/>
      <c r="EXS58"/>
      <c r="EXT58"/>
      <c r="EXU58"/>
      <c r="EXV58"/>
      <c r="EXW58"/>
      <c r="EXX58"/>
      <c r="EXY58"/>
      <c r="EXZ58"/>
      <c r="EYA58"/>
      <c r="EYB58"/>
      <c r="EYC58"/>
      <c r="EYD58"/>
      <c r="EYE58"/>
      <c r="EYF58"/>
      <c r="EYG58"/>
      <c r="EYH58"/>
      <c r="EYI58"/>
      <c r="EYJ58"/>
      <c r="EYK58"/>
      <c r="EYL58"/>
      <c r="EYM58"/>
      <c r="EYN58"/>
      <c r="EYO58"/>
      <c r="EYP58"/>
      <c r="EYQ58"/>
      <c r="EYR58"/>
      <c r="EYS58"/>
      <c r="EYT58"/>
      <c r="EYU58"/>
      <c r="EYV58"/>
      <c r="EYW58"/>
      <c r="EYX58"/>
      <c r="EYY58"/>
      <c r="EYZ58"/>
      <c r="EZA58"/>
      <c r="EZB58"/>
      <c r="EZC58"/>
      <c r="EZD58"/>
      <c r="EZE58"/>
      <c r="EZF58"/>
      <c r="EZG58"/>
      <c r="EZH58"/>
      <c r="EZI58"/>
      <c r="EZJ58"/>
      <c r="EZK58"/>
      <c r="EZL58"/>
      <c r="EZM58"/>
      <c r="EZN58"/>
      <c r="EZO58"/>
      <c r="EZP58"/>
      <c r="EZQ58"/>
      <c r="EZR58"/>
      <c r="EZS58"/>
      <c r="EZT58"/>
      <c r="EZU58"/>
      <c r="EZV58"/>
      <c r="EZW58"/>
      <c r="EZX58"/>
      <c r="EZY58"/>
      <c r="EZZ58"/>
      <c r="FAA58"/>
      <c r="FAB58"/>
      <c r="FAC58"/>
      <c r="FAD58"/>
      <c r="FAE58"/>
      <c r="FAF58"/>
      <c r="FAG58"/>
      <c r="FAH58"/>
      <c r="FAI58"/>
      <c r="FAJ58"/>
      <c r="FAK58"/>
      <c r="FAL58"/>
      <c r="FAM58"/>
      <c r="FAN58"/>
      <c r="FAO58"/>
      <c r="FAP58"/>
      <c r="FAQ58"/>
      <c r="FAR58"/>
      <c r="FAS58"/>
      <c r="FAT58"/>
      <c r="FAU58"/>
      <c r="FAV58"/>
      <c r="FAW58"/>
      <c r="FAX58"/>
      <c r="FAY58"/>
      <c r="FAZ58"/>
      <c r="FBA58"/>
      <c r="FBB58"/>
      <c r="FBC58"/>
      <c r="FBD58"/>
      <c r="FBE58"/>
      <c r="FBF58"/>
      <c r="FBG58"/>
      <c r="FBH58"/>
      <c r="FBI58"/>
      <c r="FBJ58"/>
      <c r="FBK58"/>
      <c r="FBL58"/>
      <c r="FBM58"/>
      <c r="FBN58"/>
      <c r="FBO58"/>
      <c r="FBP58"/>
      <c r="FBQ58"/>
      <c r="FBR58"/>
      <c r="FBS58"/>
      <c r="FBT58"/>
      <c r="FBU58"/>
      <c r="FBV58"/>
      <c r="FBW58"/>
      <c r="FBX58"/>
      <c r="FBY58"/>
      <c r="FBZ58"/>
      <c r="FCA58"/>
      <c r="FCB58"/>
      <c r="FCC58"/>
      <c r="FCD58"/>
      <c r="FCE58"/>
      <c r="FCF58"/>
      <c r="FCG58"/>
      <c r="FCH58"/>
      <c r="FCI58"/>
      <c r="FCJ58"/>
      <c r="FCK58"/>
      <c r="FCL58"/>
      <c r="FCM58"/>
      <c r="FCN58"/>
      <c r="FCO58"/>
      <c r="FCP58"/>
      <c r="FCQ58"/>
      <c r="FCR58"/>
      <c r="FCS58"/>
      <c r="FCT58"/>
      <c r="FCU58"/>
      <c r="FCV58"/>
      <c r="FCW58"/>
      <c r="FCX58"/>
      <c r="FCY58"/>
      <c r="FCZ58"/>
      <c r="FDA58"/>
      <c r="FDB58"/>
      <c r="FDC58"/>
      <c r="FDD58"/>
      <c r="FDE58"/>
      <c r="FDF58"/>
      <c r="FDG58"/>
      <c r="FDH58"/>
      <c r="FDI58"/>
      <c r="FDJ58"/>
      <c r="FDK58"/>
      <c r="FDL58"/>
      <c r="FDM58"/>
      <c r="FDN58"/>
      <c r="FDO58"/>
      <c r="FDP58"/>
      <c r="FDQ58"/>
      <c r="FDR58"/>
      <c r="FDS58"/>
      <c r="FDT58"/>
      <c r="FDU58"/>
      <c r="FDV58"/>
      <c r="FDW58"/>
      <c r="FDX58"/>
      <c r="FDY58"/>
      <c r="FDZ58"/>
      <c r="FEA58"/>
      <c r="FEB58"/>
      <c r="FEC58"/>
      <c r="FED58"/>
      <c r="FEE58"/>
      <c r="FEF58"/>
      <c r="FEG58"/>
      <c r="FEH58"/>
      <c r="FEI58"/>
      <c r="FEJ58"/>
      <c r="FEK58"/>
      <c r="FEL58"/>
      <c r="FEM58"/>
      <c r="FEN58"/>
      <c r="FEO58"/>
      <c r="FEP58"/>
      <c r="FEQ58"/>
      <c r="FER58"/>
      <c r="FES58"/>
      <c r="FET58"/>
      <c r="FEU58"/>
      <c r="FEV58"/>
      <c r="FEW58"/>
      <c r="FEX58"/>
      <c r="FEY58"/>
      <c r="FEZ58"/>
      <c r="FFA58"/>
      <c r="FFB58"/>
      <c r="FFC58"/>
      <c r="FFD58"/>
      <c r="FFE58"/>
      <c r="FFF58"/>
      <c r="FFG58"/>
      <c r="FFH58"/>
      <c r="FFI58"/>
      <c r="FFJ58"/>
      <c r="FFK58"/>
      <c r="FFL58"/>
      <c r="FFM58"/>
      <c r="FFN58"/>
      <c r="FFO58"/>
      <c r="FFP58"/>
      <c r="FFQ58"/>
      <c r="FFR58"/>
      <c r="FFS58"/>
      <c r="FFT58"/>
      <c r="FFU58"/>
      <c r="FFV58"/>
      <c r="FFW58"/>
      <c r="FFX58"/>
      <c r="FFY58"/>
      <c r="FFZ58"/>
      <c r="FGA58"/>
      <c r="FGB58"/>
      <c r="FGC58"/>
      <c r="FGD58"/>
      <c r="FGE58"/>
      <c r="FGF58"/>
      <c r="FGG58"/>
      <c r="FGH58"/>
      <c r="FGI58"/>
      <c r="FGJ58"/>
      <c r="FGK58"/>
      <c r="FGL58"/>
      <c r="FGM58"/>
      <c r="FGN58"/>
      <c r="FGO58"/>
      <c r="FGP58"/>
      <c r="FGQ58"/>
      <c r="FGR58"/>
      <c r="FGS58"/>
      <c r="FGT58"/>
      <c r="FGU58"/>
      <c r="FGV58"/>
      <c r="FGW58"/>
      <c r="FGX58"/>
      <c r="FGY58"/>
      <c r="FGZ58"/>
      <c r="FHA58"/>
      <c r="FHB58"/>
      <c r="FHC58"/>
      <c r="FHD58"/>
      <c r="FHE58"/>
      <c r="FHF58"/>
      <c r="FHG58"/>
      <c r="FHH58"/>
      <c r="FHI58"/>
      <c r="FHJ58"/>
      <c r="FHK58"/>
      <c r="FHL58"/>
      <c r="FHM58"/>
      <c r="FHN58"/>
      <c r="FHO58"/>
      <c r="FHP58"/>
      <c r="FHQ58"/>
      <c r="FHR58"/>
      <c r="FHS58"/>
      <c r="FHT58"/>
      <c r="FHU58"/>
      <c r="FHV58"/>
      <c r="FHW58"/>
      <c r="FHX58"/>
      <c r="FHY58"/>
      <c r="FHZ58"/>
      <c r="FIA58"/>
      <c r="FIB58"/>
      <c r="FIC58"/>
      <c r="FID58"/>
      <c r="FIE58"/>
      <c r="FIF58"/>
      <c r="FIG58"/>
      <c r="FIH58"/>
      <c r="FII58"/>
      <c r="FIJ58"/>
      <c r="FIK58"/>
      <c r="FIL58"/>
      <c r="FIM58"/>
      <c r="FIN58"/>
      <c r="FIO58"/>
      <c r="FIP58"/>
      <c r="FIQ58"/>
      <c r="FIR58"/>
      <c r="FIS58"/>
      <c r="FIT58"/>
      <c r="FIU58"/>
      <c r="FIV58"/>
      <c r="FIW58"/>
      <c r="FIX58"/>
      <c r="FIY58"/>
      <c r="FIZ58"/>
      <c r="FJA58"/>
      <c r="FJB58"/>
      <c r="FJC58"/>
      <c r="FJD58"/>
      <c r="FJE58"/>
      <c r="FJF58"/>
      <c r="FJG58"/>
      <c r="FJH58"/>
      <c r="FJI58"/>
      <c r="FJJ58"/>
      <c r="FJK58"/>
      <c r="FJL58"/>
      <c r="FJM58"/>
      <c r="FJN58"/>
      <c r="FJO58"/>
      <c r="FJP58"/>
      <c r="FJQ58"/>
      <c r="FJR58"/>
      <c r="FJS58"/>
      <c r="FJT58"/>
      <c r="FJU58"/>
      <c r="FJV58"/>
      <c r="FJW58"/>
      <c r="FJX58"/>
      <c r="FJY58"/>
      <c r="FJZ58"/>
      <c r="FKA58"/>
      <c r="FKB58"/>
      <c r="FKC58"/>
      <c r="FKD58"/>
      <c r="FKE58"/>
      <c r="FKF58"/>
      <c r="FKG58"/>
      <c r="FKH58"/>
      <c r="FKI58"/>
      <c r="FKJ58"/>
      <c r="FKK58"/>
      <c r="FKL58"/>
      <c r="FKM58"/>
      <c r="FKN58"/>
      <c r="FKO58"/>
      <c r="FKP58"/>
      <c r="FKQ58"/>
      <c r="FKR58"/>
      <c r="FKS58"/>
      <c r="FKT58"/>
      <c r="FKU58"/>
      <c r="FKV58"/>
      <c r="FKW58"/>
      <c r="FKX58"/>
      <c r="FKY58"/>
      <c r="FKZ58"/>
      <c r="FLA58"/>
      <c r="FLB58"/>
      <c r="FLC58"/>
      <c r="FLD58"/>
      <c r="FLE58"/>
      <c r="FLF58"/>
      <c r="FLG58"/>
      <c r="FLH58"/>
      <c r="FLI58"/>
      <c r="FLJ58"/>
      <c r="FLK58"/>
      <c r="FLL58"/>
      <c r="FLM58"/>
      <c r="FLN58"/>
      <c r="FLO58"/>
      <c r="FLP58"/>
      <c r="FLQ58"/>
      <c r="FLR58"/>
      <c r="FLS58"/>
      <c r="FLT58"/>
      <c r="FLU58"/>
      <c r="FLV58"/>
      <c r="FLW58"/>
      <c r="FLX58"/>
      <c r="FLY58"/>
      <c r="FLZ58"/>
      <c r="FMA58"/>
      <c r="FMB58"/>
      <c r="FMC58"/>
      <c r="FMD58"/>
      <c r="FME58"/>
      <c r="FMF58"/>
      <c r="FMG58"/>
      <c r="FMH58"/>
      <c r="FMI58"/>
      <c r="FMJ58"/>
      <c r="FMK58"/>
      <c r="FML58"/>
      <c r="FMM58"/>
      <c r="FMN58"/>
      <c r="FMO58"/>
      <c r="FMP58"/>
      <c r="FMQ58"/>
      <c r="FMR58"/>
      <c r="FMS58"/>
      <c r="FMT58"/>
      <c r="FMU58"/>
      <c r="FMV58"/>
      <c r="FMW58"/>
      <c r="FMX58"/>
      <c r="FMY58"/>
      <c r="FMZ58"/>
      <c r="FNA58"/>
      <c r="FNB58"/>
      <c r="FNC58"/>
      <c r="FND58"/>
      <c r="FNE58"/>
      <c r="FNF58"/>
      <c r="FNG58"/>
      <c r="FNH58"/>
      <c r="FNI58"/>
      <c r="FNJ58"/>
      <c r="FNK58"/>
      <c r="FNL58"/>
      <c r="FNM58"/>
      <c r="FNN58"/>
      <c r="FNO58"/>
      <c r="FNP58"/>
      <c r="FNQ58"/>
      <c r="FNR58"/>
      <c r="FNS58"/>
      <c r="FNT58"/>
      <c r="FNU58"/>
      <c r="FNV58"/>
      <c r="FNW58"/>
      <c r="FNX58"/>
      <c r="FNY58"/>
      <c r="FNZ58"/>
      <c r="FOA58"/>
      <c r="FOB58"/>
      <c r="FOC58"/>
      <c r="FOD58"/>
      <c r="FOE58"/>
      <c r="FOF58"/>
      <c r="FOG58"/>
      <c r="FOH58"/>
      <c r="FOI58"/>
      <c r="FOJ58"/>
      <c r="FOK58"/>
      <c r="FOL58"/>
      <c r="FOM58"/>
      <c r="FON58"/>
      <c r="FOO58"/>
      <c r="FOP58"/>
      <c r="FOQ58"/>
      <c r="FOR58"/>
      <c r="FOS58"/>
      <c r="FOT58"/>
      <c r="FOU58"/>
      <c r="FOV58"/>
      <c r="FOW58"/>
      <c r="FOX58"/>
      <c r="FOY58"/>
      <c r="FOZ58"/>
      <c r="FPA58"/>
      <c r="FPB58"/>
      <c r="FPC58"/>
      <c r="FPD58"/>
      <c r="FPE58"/>
      <c r="FPF58"/>
      <c r="FPG58"/>
      <c r="FPH58"/>
      <c r="FPI58"/>
      <c r="FPJ58"/>
      <c r="FPK58"/>
      <c r="FPL58"/>
      <c r="FPM58"/>
      <c r="FPN58"/>
      <c r="FPO58"/>
      <c r="FPP58"/>
      <c r="FPQ58"/>
      <c r="FPR58"/>
      <c r="FPS58"/>
      <c r="FPT58"/>
      <c r="FPU58"/>
      <c r="FPV58"/>
      <c r="FPW58"/>
      <c r="FPX58"/>
      <c r="FPY58"/>
      <c r="FPZ58"/>
      <c r="FQA58"/>
      <c r="FQB58"/>
      <c r="FQC58"/>
      <c r="FQD58"/>
      <c r="FQE58"/>
      <c r="FQF58"/>
      <c r="FQG58"/>
      <c r="FQH58"/>
      <c r="FQI58"/>
      <c r="FQJ58"/>
      <c r="FQK58"/>
      <c r="FQL58"/>
      <c r="FQM58"/>
      <c r="FQN58"/>
      <c r="FQO58"/>
      <c r="FQP58"/>
      <c r="FQQ58"/>
      <c r="FQR58"/>
      <c r="FQS58"/>
      <c r="FQT58"/>
      <c r="FQU58"/>
      <c r="FQV58"/>
      <c r="FQW58"/>
      <c r="FQX58"/>
      <c r="FQY58"/>
      <c r="FQZ58"/>
      <c r="FRA58"/>
      <c r="FRB58"/>
      <c r="FRC58"/>
      <c r="FRD58"/>
      <c r="FRE58"/>
      <c r="FRF58"/>
      <c r="FRG58"/>
      <c r="FRH58"/>
      <c r="FRI58"/>
      <c r="FRJ58"/>
      <c r="FRK58"/>
      <c r="FRL58"/>
      <c r="FRM58"/>
      <c r="FRN58"/>
      <c r="FRO58"/>
      <c r="FRP58"/>
      <c r="FRQ58"/>
      <c r="FRR58"/>
      <c r="FRS58"/>
      <c r="FRT58"/>
      <c r="FRU58"/>
      <c r="FRV58"/>
      <c r="FRW58"/>
      <c r="FRX58"/>
      <c r="FRY58"/>
      <c r="FRZ58"/>
      <c r="FSA58"/>
      <c r="FSB58"/>
      <c r="FSC58"/>
      <c r="FSD58"/>
      <c r="FSE58"/>
      <c r="FSF58"/>
      <c r="FSG58"/>
      <c r="FSH58"/>
      <c r="FSI58"/>
      <c r="FSJ58"/>
      <c r="FSK58"/>
      <c r="FSL58"/>
      <c r="FSM58"/>
      <c r="FSN58"/>
      <c r="FSO58"/>
      <c r="FSP58"/>
      <c r="FSQ58"/>
      <c r="FSR58"/>
      <c r="FSS58"/>
      <c r="FST58"/>
      <c r="FSU58"/>
      <c r="FSV58"/>
      <c r="FSW58"/>
      <c r="FSX58"/>
      <c r="FSY58"/>
      <c r="FSZ58"/>
      <c r="FTA58"/>
      <c r="FTB58"/>
      <c r="FTC58"/>
      <c r="FTD58"/>
      <c r="FTE58"/>
      <c r="FTF58"/>
      <c r="FTG58"/>
      <c r="FTH58"/>
      <c r="FTI58"/>
      <c r="FTJ58"/>
      <c r="FTK58"/>
      <c r="FTL58"/>
      <c r="FTM58"/>
      <c r="FTN58"/>
      <c r="FTO58"/>
      <c r="FTP58"/>
      <c r="FTQ58"/>
      <c r="FTR58"/>
      <c r="FTS58"/>
      <c r="FTT58"/>
      <c r="FTU58"/>
      <c r="FTV58"/>
      <c r="FTW58"/>
      <c r="FTX58"/>
      <c r="FTY58"/>
      <c r="FTZ58"/>
      <c r="FUA58"/>
      <c r="FUB58"/>
      <c r="FUC58"/>
      <c r="FUD58"/>
      <c r="FUE58"/>
      <c r="FUF58"/>
      <c r="FUG58"/>
      <c r="FUH58"/>
      <c r="FUI58"/>
      <c r="FUJ58"/>
      <c r="FUK58"/>
      <c r="FUL58"/>
      <c r="FUM58"/>
      <c r="FUN58"/>
      <c r="FUO58"/>
      <c r="FUP58"/>
      <c r="FUQ58"/>
      <c r="FUR58"/>
      <c r="FUS58"/>
      <c r="FUT58"/>
      <c r="FUU58"/>
      <c r="FUV58"/>
      <c r="FUW58"/>
      <c r="FUX58"/>
      <c r="FUY58"/>
      <c r="FUZ58"/>
      <c r="FVA58"/>
      <c r="FVB58"/>
      <c r="FVC58"/>
      <c r="FVD58"/>
      <c r="FVE58"/>
      <c r="FVF58"/>
      <c r="FVG58"/>
      <c r="FVH58"/>
      <c r="FVI58"/>
      <c r="FVJ58"/>
      <c r="FVK58"/>
      <c r="FVL58"/>
      <c r="FVM58"/>
      <c r="FVN58"/>
      <c r="FVO58"/>
      <c r="FVP58"/>
      <c r="FVQ58"/>
      <c r="FVR58"/>
      <c r="FVS58"/>
      <c r="FVT58"/>
      <c r="FVU58"/>
      <c r="FVV58"/>
      <c r="FVW58"/>
      <c r="FVX58"/>
      <c r="FVY58"/>
      <c r="FVZ58"/>
      <c r="FWA58"/>
      <c r="FWB58"/>
      <c r="FWC58"/>
      <c r="FWD58"/>
      <c r="FWE58"/>
      <c r="FWF58"/>
      <c r="FWG58"/>
      <c r="FWH58"/>
      <c r="FWI58"/>
      <c r="FWJ58"/>
      <c r="FWK58"/>
      <c r="FWL58"/>
      <c r="FWM58"/>
      <c r="FWN58"/>
      <c r="FWO58"/>
      <c r="FWP58"/>
      <c r="FWQ58"/>
      <c r="FWR58"/>
      <c r="FWS58"/>
      <c r="FWT58"/>
      <c r="FWU58"/>
      <c r="FWV58"/>
      <c r="FWW58"/>
      <c r="FWX58"/>
      <c r="FWY58"/>
      <c r="FWZ58"/>
      <c r="FXA58"/>
      <c r="FXB58"/>
      <c r="FXC58"/>
      <c r="FXD58"/>
      <c r="FXE58"/>
      <c r="FXF58"/>
      <c r="FXG58"/>
      <c r="FXH58"/>
      <c r="FXI58"/>
      <c r="FXJ58"/>
      <c r="FXK58"/>
      <c r="FXL58"/>
      <c r="FXM58"/>
      <c r="FXN58"/>
      <c r="FXO58"/>
      <c r="FXP58"/>
      <c r="FXQ58"/>
      <c r="FXR58"/>
      <c r="FXS58"/>
      <c r="FXT58"/>
      <c r="FXU58"/>
      <c r="FXV58"/>
      <c r="FXW58"/>
      <c r="FXX58"/>
      <c r="FXY58"/>
      <c r="FXZ58"/>
      <c r="FYA58"/>
      <c r="FYB58"/>
      <c r="FYC58"/>
      <c r="FYD58"/>
      <c r="FYE58"/>
      <c r="FYF58"/>
      <c r="FYG58"/>
      <c r="FYH58"/>
      <c r="FYI58"/>
      <c r="FYJ58"/>
      <c r="FYK58"/>
      <c r="FYL58"/>
      <c r="FYM58"/>
      <c r="FYN58"/>
      <c r="FYO58"/>
      <c r="FYP58"/>
      <c r="FYQ58"/>
      <c r="FYR58"/>
      <c r="FYS58"/>
      <c r="FYT58"/>
      <c r="FYU58"/>
      <c r="FYV58"/>
      <c r="FYW58"/>
      <c r="FYX58"/>
      <c r="FYY58"/>
      <c r="FYZ58"/>
      <c r="FZA58"/>
      <c r="FZB58"/>
      <c r="FZC58"/>
      <c r="FZD58"/>
      <c r="FZE58"/>
      <c r="FZF58"/>
      <c r="FZG58"/>
      <c r="FZH58"/>
      <c r="FZI58"/>
      <c r="FZJ58"/>
      <c r="FZK58"/>
      <c r="FZL58"/>
      <c r="FZM58"/>
      <c r="FZN58"/>
      <c r="FZO58"/>
      <c r="FZP58"/>
      <c r="FZQ58"/>
      <c r="FZR58"/>
      <c r="FZS58"/>
      <c r="FZT58"/>
      <c r="FZU58"/>
      <c r="FZV58"/>
      <c r="FZW58"/>
      <c r="FZX58"/>
      <c r="FZY58"/>
      <c r="FZZ58"/>
      <c r="GAA58"/>
      <c r="GAB58"/>
      <c r="GAC58"/>
      <c r="GAD58"/>
      <c r="GAE58"/>
      <c r="GAF58"/>
      <c r="GAG58"/>
      <c r="GAH58"/>
      <c r="GAI58"/>
      <c r="GAJ58"/>
      <c r="GAK58"/>
      <c r="GAL58"/>
      <c r="GAM58"/>
      <c r="GAN58"/>
      <c r="GAO58"/>
      <c r="GAP58"/>
      <c r="GAQ58"/>
      <c r="GAR58"/>
      <c r="GAS58"/>
      <c r="GAT58"/>
      <c r="GAU58"/>
      <c r="GAV58"/>
      <c r="GAW58"/>
      <c r="GAX58"/>
      <c r="GAY58"/>
      <c r="GAZ58"/>
      <c r="GBA58"/>
      <c r="GBB58"/>
      <c r="GBC58"/>
      <c r="GBD58"/>
      <c r="GBE58"/>
      <c r="GBF58"/>
      <c r="GBG58"/>
      <c r="GBH58"/>
      <c r="GBI58"/>
      <c r="GBJ58"/>
      <c r="GBK58"/>
      <c r="GBL58"/>
      <c r="GBM58"/>
      <c r="GBN58"/>
      <c r="GBO58"/>
      <c r="GBP58"/>
      <c r="GBQ58"/>
      <c r="GBR58"/>
      <c r="GBS58"/>
      <c r="GBT58"/>
      <c r="GBU58"/>
      <c r="GBV58"/>
      <c r="GBW58"/>
      <c r="GBX58"/>
      <c r="GBY58"/>
      <c r="GBZ58"/>
      <c r="GCA58"/>
      <c r="GCB58"/>
      <c r="GCC58"/>
      <c r="GCD58"/>
      <c r="GCE58"/>
      <c r="GCF58"/>
      <c r="GCG58"/>
      <c r="GCH58"/>
      <c r="GCI58"/>
      <c r="GCJ58"/>
      <c r="GCK58"/>
      <c r="GCL58"/>
      <c r="GCM58"/>
      <c r="GCN58"/>
      <c r="GCO58"/>
      <c r="GCP58"/>
      <c r="GCQ58"/>
      <c r="GCR58"/>
      <c r="GCS58"/>
      <c r="GCT58"/>
      <c r="GCU58"/>
      <c r="GCV58"/>
      <c r="GCW58"/>
      <c r="GCX58"/>
      <c r="GCY58"/>
      <c r="GCZ58"/>
      <c r="GDA58"/>
      <c r="GDB58"/>
      <c r="GDC58"/>
      <c r="GDD58"/>
      <c r="GDE58"/>
      <c r="GDF58"/>
      <c r="GDG58"/>
      <c r="GDH58"/>
      <c r="GDI58"/>
      <c r="GDJ58"/>
      <c r="GDK58"/>
      <c r="GDL58"/>
      <c r="GDM58"/>
      <c r="GDN58"/>
      <c r="GDO58"/>
      <c r="GDP58"/>
      <c r="GDQ58"/>
      <c r="GDR58"/>
      <c r="GDS58"/>
      <c r="GDT58"/>
      <c r="GDU58"/>
      <c r="GDV58"/>
      <c r="GDW58"/>
      <c r="GDX58"/>
      <c r="GDY58"/>
      <c r="GDZ58"/>
      <c r="GEA58"/>
      <c r="GEB58"/>
      <c r="GEC58"/>
      <c r="GED58"/>
      <c r="GEE58"/>
      <c r="GEF58"/>
      <c r="GEG58"/>
      <c r="GEH58"/>
      <c r="GEI58"/>
      <c r="GEJ58"/>
      <c r="GEK58"/>
      <c r="GEL58"/>
      <c r="GEM58"/>
      <c r="GEN58"/>
      <c r="GEO58"/>
      <c r="GEP58"/>
      <c r="GEQ58"/>
      <c r="GER58"/>
      <c r="GES58"/>
      <c r="GET58"/>
      <c r="GEU58"/>
      <c r="GEV58"/>
      <c r="GEW58"/>
      <c r="GEX58"/>
      <c r="GEY58"/>
      <c r="GEZ58"/>
      <c r="GFA58"/>
      <c r="GFB58"/>
      <c r="GFC58"/>
      <c r="GFD58"/>
      <c r="GFE58"/>
      <c r="GFF58"/>
      <c r="GFG58"/>
      <c r="GFH58"/>
      <c r="GFI58"/>
      <c r="GFJ58"/>
      <c r="GFK58"/>
      <c r="GFL58"/>
      <c r="GFM58"/>
      <c r="GFN58"/>
      <c r="GFO58"/>
      <c r="GFP58"/>
      <c r="GFQ58"/>
      <c r="GFR58"/>
      <c r="GFS58"/>
      <c r="GFT58"/>
      <c r="GFU58"/>
      <c r="GFV58"/>
      <c r="GFW58"/>
      <c r="GFX58"/>
      <c r="GFY58"/>
      <c r="GFZ58"/>
      <c r="GGA58"/>
      <c r="GGB58"/>
      <c r="GGC58"/>
      <c r="GGD58"/>
      <c r="GGE58"/>
      <c r="GGF58"/>
      <c r="GGG58"/>
      <c r="GGH58"/>
      <c r="GGI58"/>
      <c r="GGJ58"/>
      <c r="GGK58"/>
      <c r="GGL58"/>
      <c r="GGM58"/>
      <c r="GGN58"/>
      <c r="GGO58"/>
      <c r="GGP58"/>
      <c r="GGQ58"/>
      <c r="GGR58"/>
      <c r="GGS58"/>
      <c r="GGT58"/>
      <c r="GGU58"/>
      <c r="GGV58"/>
      <c r="GGW58"/>
      <c r="GGX58"/>
      <c r="GGY58"/>
      <c r="GGZ58"/>
      <c r="GHA58"/>
      <c r="GHB58"/>
      <c r="GHC58"/>
      <c r="GHD58"/>
      <c r="GHE58"/>
      <c r="GHF58"/>
      <c r="GHG58"/>
      <c r="GHH58"/>
      <c r="GHI58"/>
      <c r="GHJ58"/>
      <c r="GHK58"/>
      <c r="GHL58"/>
      <c r="GHM58"/>
      <c r="GHN58"/>
      <c r="GHO58"/>
      <c r="GHP58"/>
      <c r="GHQ58"/>
      <c r="GHR58"/>
      <c r="GHS58"/>
      <c r="GHT58"/>
      <c r="GHU58"/>
      <c r="GHV58"/>
      <c r="GHW58"/>
      <c r="GHX58"/>
      <c r="GHY58"/>
      <c r="GHZ58"/>
      <c r="GIA58"/>
      <c r="GIB58"/>
      <c r="GIC58"/>
      <c r="GID58"/>
      <c r="GIE58"/>
      <c r="GIF58"/>
      <c r="GIG58"/>
      <c r="GIH58"/>
      <c r="GII58"/>
      <c r="GIJ58"/>
      <c r="GIK58"/>
      <c r="GIL58"/>
      <c r="GIM58"/>
      <c r="GIN58"/>
      <c r="GIO58"/>
      <c r="GIP58"/>
      <c r="GIQ58"/>
      <c r="GIR58"/>
      <c r="GIS58"/>
      <c r="GIT58"/>
      <c r="GIU58"/>
      <c r="GIV58"/>
      <c r="GIW58"/>
      <c r="GIX58"/>
      <c r="GIY58"/>
      <c r="GIZ58"/>
      <c r="GJA58"/>
      <c r="GJB58"/>
      <c r="GJC58"/>
      <c r="GJD58"/>
      <c r="GJE58"/>
      <c r="GJF58"/>
      <c r="GJG58"/>
      <c r="GJH58"/>
      <c r="GJI58"/>
      <c r="GJJ58"/>
      <c r="GJK58"/>
      <c r="GJL58"/>
      <c r="GJM58"/>
      <c r="GJN58"/>
      <c r="GJO58"/>
      <c r="GJP58"/>
      <c r="GJQ58"/>
      <c r="GJR58"/>
      <c r="GJS58"/>
      <c r="GJT58"/>
      <c r="GJU58"/>
      <c r="GJV58"/>
      <c r="GJW58"/>
      <c r="GJX58"/>
      <c r="GJY58"/>
      <c r="GJZ58"/>
      <c r="GKA58"/>
      <c r="GKB58"/>
      <c r="GKC58"/>
      <c r="GKD58"/>
      <c r="GKE58"/>
      <c r="GKF58"/>
      <c r="GKG58"/>
      <c r="GKH58"/>
      <c r="GKI58"/>
      <c r="GKJ58"/>
      <c r="GKK58"/>
      <c r="GKL58"/>
      <c r="GKM58"/>
      <c r="GKN58"/>
      <c r="GKO58"/>
      <c r="GKP58"/>
      <c r="GKQ58"/>
      <c r="GKR58"/>
      <c r="GKS58"/>
      <c r="GKT58"/>
      <c r="GKU58"/>
      <c r="GKV58"/>
      <c r="GKW58"/>
      <c r="GKX58"/>
      <c r="GKY58"/>
      <c r="GKZ58"/>
      <c r="GLA58"/>
      <c r="GLB58"/>
      <c r="GLC58"/>
      <c r="GLD58"/>
      <c r="GLE58"/>
      <c r="GLF58"/>
      <c r="GLG58"/>
      <c r="GLH58"/>
      <c r="GLI58"/>
      <c r="GLJ58"/>
      <c r="GLK58"/>
      <c r="GLL58"/>
      <c r="GLM58"/>
      <c r="GLN58"/>
      <c r="GLO58"/>
      <c r="GLP58"/>
      <c r="GLQ58"/>
      <c r="GLR58"/>
      <c r="GLS58"/>
      <c r="GLT58"/>
      <c r="GLU58"/>
      <c r="GLV58"/>
      <c r="GLW58"/>
      <c r="GLX58"/>
      <c r="GLY58"/>
      <c r="GLZ58"/>
      <c r="GMA58"/>
      <c r="GMB58"/>
      <c r="GMC58"/>
      <c r="GMD58"/>
      <c r="GME58"/>
      <c r="GMF58"/>
      <c r="GMG58"/>
      <c r="GMH58"/>
      <c r="GMI58"/>
      <c r="GMJ58"/>
      <c r="GMK58"/>
      <c r="GML58"/>
      <c r="GMM58"/>
      <c r="GMN58"/>
      <c r="GMO58"/>
      <c r="GMP58"/>
      <c r="GMQ58"/>
      <c r="GMR58"/>
      <c r="GMS58"/>
      <c r="GMT58"/>
      <c r="GMU58"/>
      <c r="GMV58"/>
      <c r="GMW58"/>
      <c r="GMX58"/>
      <c r="GMY58"/>
      <c r="GMZ58"/>
      <c r="GNA58"/>
      <c r="GNB58"/>
      <c r="GNC58"/>
      <c r="GND58"/>
      <c r="GNE58"/>
      <c r="GNF58"/>
      <c r="GNG58"/>
      <c r="GNH58"/>
      <c r="GNI58"/>
      <c r="GNJ58"/>
      <c r="GNK58"/>
      <c r="GNL58"/>
      <c r="GNM58"/>
      <c r="GNN58"/>
      <c r="GNO58"/>
      <c r="GNP58"/>
      <c r="GNQ58"/>
      <c r="GNR58"/>
      <c r="GNS58"/>
      <c r="GNT58"/>
      <c r="GNU58"/>
      <c r="GNV58"/>
      <c r="GNW58"/>
      <c r="GNX58"/>
      <c r="GNY58"/>
      <c r="GNZ58"/>
      <c r="GOA58"/>
      <c r="GOB58"/>
      <c r="GOC58"/>
      <c r="GOD58"/>
      <c r="GOE58"/>
      <c r="GOF58"/>
      <c r="GOG58"/>
      <c r="GOH58"/>
      <c r="GOI58"/>
      <c r="GOJ58"/>
      <c r="GOK58"/>
      <c r="GOL58"/>
      <c r="GOM58"/>
      <c r="GON58"/>
      <c r="GOO58"/>
      <c r="GOP58"/>
      <c r="GOQ58"/>
      <c r="GOR58"/>
      <c r="GOS58"/>
      <c r="GOT58"/>
      <c r="GOU58"/>
      <c r="GOV58"/>
      <c r="GOW58"/>
      <c r="GOX58"/>
      <c r="GOY58"/>
      <c r="GOZ58"/>
      <c r="GPA58"/>
      <c r="GPB58"/>
      <c r="GPC58"/>
      <c r="GPD58"/>
      <c r="GPE58"/>
      <c r="GPF58"/>
      <c r="GPG58"/>
      <c r="GPH58"/>
      <c r="GPI58"/>
      <c r="GPJ58"/>
      <c r="GPK58"/>
      <c r="GPL58"/>
      <c r="GPM58"/>
      <c r="GPN58"/>
      <c r="GPO58"/>
      <c r="GPP58"/>
      <c r="GPQ58"/>
      <c r="GPR58"/>
      <c r="GPS58"/>
      <c r="GPT58"/>
      <c r="GPU58"/>
      <c r="GPV58"/>
      <c r="GPW58"/>
      <c r="GPX58"/>
      <c r="GPY58"/>
      <c r="GPZ58"/>
      <c r="GQA58"/>
      <c r="GQB58"/>
      <c r="GQC58"/>
      <c r="GQD58"/>
      <c r="GQE58"/>
      <c r="GQF58"/>
      <c r="GQG58"/>
      <c r="GQH58"/>
      <c r="GQI58"/>
      <c r="GQJ58"/>
      <c r="GQK58"/>
      <c r="GQL58"/>
      <c r="GQM58"/>
      <c r="GQN58"/>
      <c r="GQO58"/>
      <c r="GQP58"/>
      <c r="GQQ58"/>
      <c r="GQR58"/>
      <c r="GQS58"/>
      <c r="GQT58"/>
      <c r="GQU58"/>
      <c r="GQV58"/>
      <c r="GQW58"/>
      <c r="GQX58"/>
      <c r="GQY58"/>
      <c r="GQZ58"/>
      <c r="GRA58"/>
      <c r="GRB58"/>
      <c r="GRC58"/>
      <c r="GRD58"/>
      <c r="GRE58"/>
      <c r="GRF58"/>
      <c r="GRG58"/>
      <c r="GRH58"/>
      <c r="GRI58"/>
      <c r="GRJ58"/>
      <c r="GRK58"/>
      <c r="GRL58"/>
      <c r="GRM58"/>
      <c r="GRN58"/>
      <c r="GRO58"/>
      <c r="GRP58"/>
      <c r="GRQ58"/>
      <c r="GRR58"/>
      <c r="GRS58"/>
      <c r="GRT58"/>
      <c r="GRU58"/>
      <c r="GRV58"/>
      <c r="GRW58"/>
      <c r="GRX58"/>
      <c r="GRY58"/>
      <c r="GRZ58"/>
      <c r="GSA58"/>
      <c r="GSB58"/>
      <c r="GSC58"/>
      <c r="GSD58"/>
      <c r="GSE58"/>
      <c r="GSF58"/>
      <c r="GSG58"/>
      <c r="GSH58"/>
      <c r="GSI58"/>
      <c r="GSJ58"/>
      <c r="GSK58"/>
      <c r="GSL58"/>
      <c r="GSM58"/>
      <c r="GSN58"/>
      <c r="GSO58"/>
      <c r="GSP58"/>
      <c r="GSQ58"/>
      <c r="GSR58"/>
      <c r="GSS58"/>
      <c r="GST58"/>
      <c r="GSU58"/>
      <c r="GSV58"/>
      <c r="GSW58"/>
      <c r="GSX58"/>
      <c r="GSY58"/>
      <c r="GSZ58"/>
      <c r="GTA58"/>
      <c r="GTB58"/>
      <c r="GTC58"/>
      <c r="GTD58"/>
      <c r="GTE58"/>
      <c r="GTF58"/>
      <c r="GTG58"/>
      <c r="GTH58"/>
      <c r="GTI58"/>
      <c r="GTJ58"/>
      <c r="GTK58"/>
      <c r="GTL58"/>
      <c r="GTM58"/>
      <c r="GTN58"/>
      <c r="GTO58"/>
      <c r="GTP58"/>
      <c r="GTQ58"/>
      <c r="GTR58"/>
      <c r="GTS58"/>
      <c r="GTT58"/>
      <c r="GTU58"/>
      <c r="GTV58"/>
      <c r="GTW58"/>
      <c r="GTX58"/>
      <c r="GTY58"/>
      <c r="GTZ58"/>
      <c r="GUA58"/>
      <c r="GUB58"/>
      <c r="GUC58"/>
      <c r="GUD58"/>
      <c r="GUE58"/>
      <c r="GUF58"/>
      <c r="GUG58"/>
      <c r="GUH58"/>
      <c r="GUI58"/>
      <c r="GUJ58"/>
      <c r="GUK58"/>
      <c r="GUL58"/>
      <c r="GUM58"/>
      <c r="GUN58"/>
      <c r="GUO58"/>
      <c r="GUP58"/>
      <c r="GUQ58"/>
      <c r="GUR58"/>
      <c r="GUS58"/>
      <c r="GUT58"/>
      <c r="GUU58"/>
      <c r="GUV58"/>
      <c r="GUW58"/>
      <c r="GUX58"/>
      <c r="GUY58"/>
      <c r="GUZ58"/>
      <c r="GVA58"/>
      <c r="GVB58"/>
      <c r="GVC58"/>
      <c r="GVD58"/>
      <c r="GVE58"/>
      <c r="GVF58"/>
      <c r="GVG58"/>
      <c r="GVH58"/>
      <c r="GVI58"/>
      <c r="GVJ58"/>
      <c r="GVK58"/>
      <c r="GVL58"/>
      <c r="GVM58"/>
      <c r="GVN58"/>
      <c r="GVO58"/>
      <c r="GVP58"/>
      <c r="GVQ58"/>
      <c r="GVR58"/>
      <c r="GVS58"/>
      <c r="GVT58"/>
      <c r="GVU58"/>
      <c r="GVV58"/>
      <c r="GVW58"/>
      <c r="GVX58"/>
      <c r="GVY58"/>
      <c r="GVZ58"/>
      <c r="GWA58"/>
      <c r="GWB58"/>
      <c r="GWC58"/>
      <c r="GWD58"/>
      <c r="GWE58"/>
      <c r="GWF58"/>
      <c r="GWG58"/>
      <c r="GWH58"/>
      <c r="GWI58"/>
      <c r="GWJ58"/>
      <c r="GWK58"/>
      <c r="GWL58"/>
      <c r="GWM58"/>
      <c r="GWN58"/>
      <c r="GWO58"/>
      <c r="GWP58"/>
      <c r="GWQ58"/>
      <c r="GWR58"/>
      <c r="GWS58"/>
      <c r="GWT58"/>
      <c r="GWU58"/>
      <c r="GWV58"/>
      <c r="GWW58"/>
      <c r="GWX58"/>
      <c r="GWY58"/>
      <c r="GWZ58"/>
      <c r="GXA58"/>
      <c r="GXB58"/>
      <c r="GXC58"/>
      <c r="GXD58"/>
      <c r="GXE58"/>
      <c r="GXF58"/>
      <c r="GXG58"/>
      <c r="GXH58"/>
      <c r="GXI58"/>
      <c r="GXJ58"/>
      <c r="GXK58"/>
      <c r="GXL58"/>
      <c r="GXM58"/>
      <c r="GXN58"/>
      <c r="GXO58"/>
      <c r="GXP58"/>
      <c r="GXQ58"/>
      <c r="GXR58"/>
      <c r="GXS58"/>
      <c r="GXT58"/>
      <c r="GXU58"/>
      <c r="GXV58"/>
      <c r="GXW58"/>
      <c r="GXX58"/>
      <c r="GXY58"/>
      <c r="GXZ58"/>
      <c r="GYA58"/>
      <c r="GYB58"/>
      <c r="GYC58"/>
      <c r="GYD58"/>
      <c r="GYE58"/>
      <c r="GYF58"/>
      <c r="GYG58"/>
      <c r="GYH58"/>
      <c r="GYI58"/>
      <c r="GYJ58"/>
      <c r="GYK58"/>
      <c r="GYL58"/>
      <c r="GYM58"/>
      <c r="GYN58"/>
      <c r="GYO58"/>
      <c r="GYP58"/>
      <c r="GYQ58"/>
      <c r="GYR58"/>
      <c r="GYS58"/>
      <c r="GYT58"/>
      <c r="GYU58"/>
      <c r="GYV58"/>
      <c r="GYW58"/>
      <c r="GYX58"/>
      <c r="GYY58"/>
      <c r="GYZ58"/>
      <c r="GZA58"/>
      <c r="GZB58"/>
      <c r="GZC58"/>
      <c r="GZD58"/>
      <c r="GZE58"/>
      <c r="GZF58"/>
      <c r="GZG58"/>
      <c r="GZH58"/>
      <c r="GZI58"/>
      <c r="GZJ58"/>
      <c r="GZK58"/>
      <c r="GZL58"/>
      <c r="GZM58"/>
      <c r="GZN58"/>
      <c r="GZO58"/>
      <c r="GZP58"/>
      <c r="GZQ58"/>
      <c r="GZR58"/>
      <c r="GZS58"/>
      <c r="GZT58"/>
      <c r="GZU58"/>
      <c r="GZV58"/>
      <c r="GZW58"/>
      <c r="GZX58"/>
      <c r="GZY58"/>
      <c r="GZZ58"/>
      <c r="HAA58"/>
      <c r="HAB58"/>
      <c r="HAC58"/>
      <c r="HAD58"/>
      <c r="HAE58"/>
      <c r="HAF58"/>
      <c r="HAG58"/>
      <c r="HAH58"/>
      <c r="HAI58"/>
      <c r="HAJ58"/>
      <c r="HAK58"/>
      <c r="HAL58"/>
      <c r="HAM58"/>
      <c r="HAN58"/>
      <c r="HAO58"/>
      <c r="HAP58"/>
      <c r="HAQ58"/>
      <c r="HAR58"/>
      <c r="HAS58"/>
      <c r="HAT58"/>
      <c r="HAU58"/>
      <c r="HAV58"/>
      <c r="HAW58"/>
      <c r="HAX58"/>
      <c r="HAY58"/>
      <c r="HAZ58"/>
      <c r="HBA58"/>
      <c r="HBB58"/>
      <c r="HBC58"/>
      <c r="HBD58"/>
      <c r="HBE58"/>
      <c r="HBF58"/>
      <c r="HBG58"/>
      <c r="HBH58"/>
      <c r="HBI58"/>
      <c r="HBJ58"/>
      <c r="HBK58"/>
      <c r="HBL58"/>
      <c r="HBM58"/>
      <c r="HBN58"/>
      <c r="HBO58"/>
      <c r="HBP58"/>
      <c r="HBQ58"/>
      <c r="HBR58"/>
      <c r="HBS58"/>
      <c r="HBT58"/>
      <c r="HBU58"/>
      <c r="HBV58"/>
      <c r="HBW58"/>
      <c r="HBX58"/>
      <c r="HBY58"/>
      <c r="HBZ58"/>
      <c r="HCA58"/>
      <c r="HCB58"/>
      <c r="HCC58"/>
      <c r="HCD58"/>
      <c r="HCE58"/>
      <c r="HCF58"/>
      <c r="HCG58"/>
      <c r="HCH58"/>
      <c r="HCI58"/>
      <c r="HCJ58"/>
      <c r="HCK58"/>
      <c r="HCL58"/>
      <c r="HCM58"/>
      <c r="HCN58"/>
      <c r="HCO58"/>
      <c r="HCP58"/>
      <c r="HCQ58"/>
      <c r="HCR58"/>
      <c r="HCS58"/>
      <c r="HCT58"/>
      <c r="HCU58"/>
      <c r="HCV58"/>
      <c r="HCW58"/>
      <c r="HCX58"/>
      <c r="HCY58"/>
      <c r="HCZ58"/>
      <c r="HDA58"/>
      <c r="HDB58"/>
      <c r="HDC58"/>
      <c r="HDD58"/>
      <c r="HDE58"/>
      <c r="HDF58"/>
      <c r="HDG58"/>
      <c r="HDH58"/>
      <c r="HDI58"/>
      <c r="HDJ58"/>
      <c r="HDK58"/>
      <c r="HDL58"/>
      <c r="HDM58"/>
      <c r="HDN58"/>
      <c r="HDO58"/>
      <c r="HDP58"/>
      <c r="HDQ58"/>
      <c r="HDR58"/>
      <c r="HDS58"/>
      <c r="HDT58"/>
      <c r="HDU58"/>
      <c r="HDV58"/>
      <c r="HDW58"/>
      <c r="HDX58"/>
      <c r="HDY58"/>
      <c r="HDZ58"/>
      <c r="HEA58"/>
      <c r="HEB58"/>
      <c r="HEC58"/>
      <c r="HED58"/>
      <c r="HEE58"/>
      <c r="HEF58"/>
      <c r="HEG58"/>
      <c r="HEH58"/>
      <c r="HEI58"/>
      <c r="HEJ58"/>
      <c r="HEK58"/>
      <c r="HEL58"/>
      <c r="HEM58"/>
      <c r="HEN58"/>
      <c r="HEO58"/>
      <c r="HEP58"/>
      <c r="HEQ58"/>
      <c r="HER58"/>
      <c r="HES58"/>
      <c r="HET58"/>
      <c r="HEU58"/>
      <c r="HEV58"/>
      <c r="HEW58"/>
      <c r="HEX58"/>
      <c r="HEY58"/>
      <c r="HEZ58"/>
      <c r="HFA58"/>
      <c r="HFB58"/>
      <c r="HFC58"/>
      <c r="HFD58"/>
      <c r="HFE58"/>
      <c r="HFF58"/>
      <c r="HFG58"/>
      <c r="HFH58"/>
      <c r="HFI58"/>
      <c r="HFJ58"/>
      <c r="HFK58"/>
      <c r="HFL58"/>
      <c r="HFM58"/>
      <c r="HFN58"/>
      <c r="HFO58"/>
      <c r="HFP58"/>
      <c r="HFQ58"/>
      <c r="HFR58"/>
      <c r="HFS58"/>
      <c r="HFT58"/>
      <c r="HFU58"/>
      <c r="HFV58"/>
      <c r="HFW58"/>
      <c r="HFX58"/>
      <c r="HFY58"/>
      <c r="HFZ58"/>
      <c r="HGA58"/>
      <c r="HGB58"/>
      <c r="HGC58"/>
      <c r="HGD58"/>
      <c r="HGE58"/>
      <c r="HGF58"/>
      <c r="HGG58"/>
      <c r="HGH58"/>
      <c r="HGI58"/>
      <c r="HGJ58"/>
      <c r="HGK58"/>
      <c r="HGL58"/>
      <c r="HGM58"/>
      <c r="HGN58"/>
      <c r="HGO58"/>
      <c r="HGP58"/>
      <c r="HGQ58"/>
      <c r="HGR58"/>
      <c r="HGS58"/>
      <c r="HGT58"/>
      <c r="HGU58"/>
      <c r="HGV58"/>
      <c r="HGW58"/>
      <c r="HGX58"/>
      <c r="HGY58"/>
      <c r="HGZ58"/>
      <c r="HHA58"/>
      <c r="HHB58"/>
      <c r="HHC58"/>
      <c r="HHD58"/>
      <c r="HHE58"/>
      <c r="HHF58"/>
      <c r="HHG58"/>
      <c r="HHH58"/>
      <c r="HHI58"/>
      <c r="HHJ58"/>
      <c r="HHK58"/>
      <c r="HHL58"/>
      <c r="HHM58"/>
      <c r="HHN58"/>
      <c r="HHO58"/>
      <c r="HHP58"/>
      <c r="HHQ58"/>
      <c r="HHR58"/>
      <c r="HHS58"/>
      <c r="HHT58"/>
      <c r="HHU58"/>
      <c r="HHV58"/>
      <c r="HHW58"/>
      <c r="HHX58"/>
      <c r="HHY58"/>
      <c r="HHZ58"/>
      <c r="HIA58"/>
      <c r="HIB58"/>
      <c r="HIC58"/>
      <c r="HID58"/>
      <c r="HIE58"/>
      <c r="HIF58"/>
      <c r="HIG58"/>
      <c r="HIH58"/>
      <c r="HII58"/>
      <c r="HIJ58"/>
      <c r="HIK58"/>
      <c r="HIL58"/>
      <c r="HIM58"/>
      <c r="HIN58"/>
      <c r="HIO58"/>
      <c r="HIP58"/>
      <c r="HIQ58"/>
      <c r="HIR58"/>
      <c r="HIS58"/>
      <c r="HIT58"/>
      <c r="HIU58"/>
      <c r="HIV58"/>
      <c r="HIW58"/>
      <c r="HIX58"/>
      <c r="HIY58"/>
      <c r="HIZ58"/>
      <c r="HJA58"/>
      <c r="HJB58"/>
      <c r="HJC58"/>
      <c r="HJD58"/>
      <c r="HJE58"/>
      <c r="HJF58"/>
      <c r="HJG58"/>
      <c r="HJH58"/>
      <c r="HJI58"/>
      <c r="HJJ58"/>
      <c r="HJK58"/>
      <c r="HJL58"/>
      <c r="HJM58"/>
      <c r="HJN58"/>
      <c r="HJO58"/>
      <c r="HJP58"/>
      <c r="HJQ58"/>
      <c r="HJR58"/>
      <c r="HJS58"/>
      <c r="HJT58"/>
      <c r="HJU58"/>
      <c r="HJV58"/>
      <c r="HJW58"/>
      <c r="HJX58"/>
      <c r="HJY58"/>
      <c r="HJZ58"/>
      <c r="HKA58"/>
      <c r="HKB58"/>
      <c r="HKC58"/>
      <c r="HKD58"/>
      <c r="HKE58"/>
      <c r="HKF58"/>
      <c r="HKG58"/>
      <c r="HKH58"/>
      <c r="HKI58"/>
      <c r="HKJ58"/>
      <c r="HKK58"/>
      <c r="HKL58"/>
      <c r="HKM58"/>
      <c r="HKN58"/>
      <c r="HKO58"/>
      <c r="HKP58"/>
      <c r="HKQ58"/>
      <c r="HKR58"/>
      <c r="HKS58"/>
      <c r="HKT58"/>
      <c r="HKU58"/>
      <c r="HKV58"/>
      <c r="HKW58"/>
      <c r="HKX58"/>
      <c r="HKY58"/>
      <c r="HKZ58"/>
      <c r="HLA58"/>
      <c r="HLB58"/>
      <c r="HLC58"/>
      <c r="HLD58"/>
      <c r="HLE58"/>
      <c r="HLF58"/>
      <c r="HLG58"/>
      <c r="HLH58"/>
      <c r="HLI58"/>
      <c r="HLJ58"/>
      <c r="HLK58"/>
      <c r="HLL58"/>
      <c r="HLM58"/>
      <c r="HLN58"/>
      <c r="HLO58"/>
      <c r="HLP58"/>
      <c r="HLQ58"/>
      <c r="HLR58"/>
      <c r="HLS58"/>
      <c r="HLT58"/>
      <c r="HLU58"/>
      <c r="HLV58"/>
      <c r="HLW58"/>
      <c r="HLX58"/>
      <c r="HLY58"/>
      <c r="HLZ58"/>
      <c r="HMA58"/>
      <c r="HMB58"/>
      <c r="HMC58"/>
      <c r="HMD58"/>
      <c r="HME58"/>
      <c r="HMF58"/>
      <c r="HMG58"/>
      <c r="HMH58"/>
      <c r="HMI58"/>
      <c r="HMJ58"/>
      <c r="HMK58"/>
      <c r="HML58"/>
      <c r="HMM58"/>
      <c r="HMN58"/>
      <c r="HMO58"/>
      <c r="HMP58"/>
      <c r="HMQ58"/>
      <c r="HMR58"/>
      <c r="HMS58"/>
      <c r="HMT58"/>
      <c r="HMU58"/>
      <c r="HMV58"/>
      <c r="HMW58"/>
      <c r="HMX58"/>
      <c r="HMY58"/>
      <c r="HMZ58"/>
      <c r="HNA58"/>
      <c r="HNB58"/>
      <c r="HNC58"/>
      <c r="HND58"/>
      <c r="HNE58"/>
      <c r="HNF58"/>
      <c r="HNG58"/>
      <c r="HNH58"/>
      <c r="HNI58"/>
      <c r="HNJ58"/>
      <c r="HNK58"/>
      <c r="HNL58"/>
      <c r="HNM58"/>
      <c r="HNN58"/>
      <c r="HNO58"/>
      <c r="HNP58"/>
      <c r="HNQ58"/>
      <c r="HNR58"/>
      <c r="HNS58"/>
      <c r="HNT58"/>
      <c r="HNU58"/>
      <c r="HNV58"/>
      <c r="HNW58"/>
      <c r="HNX58"/>
      <c r="HNY58"/>
      <c r="HNZ58"/>
      <c r="HOA58"/>
      <c r="HOB58"/>
      <c r="HOC58"/>
      <c r="HOD58"/>
      <c r="HOE58"/>
      <c r="HOF58"/>
      <c r="HOG58"/>
      <c r="HOH58"/>
      <c r="HOI58"/>
      <c r="HOJ58"/>
      <c r="HOK58"/>
      <c r="HOL58"/>
      <c r="HOM58"/>
      <c r="HON58"/>
      <c r="HOO58"/>
      <c r="HOP58"/>
      <c r="HOQ58"/>
      <c r="HOR58"/>
      <c r="HOS58"/>
      <c r="HOT58"/>
      <c r="HOU58"/>
      <c r="HOV58"/>
      <c r="HOW58"/>
      <c r="HOX58"/>
      <c r="HOY58"/>
      <c r="HOZ58"/>
      <c r="HPA58"/>
      <c r="HPB58"/>
      <c r="HPC58"/>
      <c r="HPD58"/>
      <c r="HPE58"/>
      <c r="HPF58"/>
      <c r="HPG58"/>
      <c r="HPH58"/>
      <c r="HPI58"/>
      <c r="HPJ58"/>
      <c r="HPK58"/>
      <c r="HPL58"/>
      <c r="HPM58"/>
      <c r="HPN58"/>
      <c r="HPO58"/>
      <c r="HPP58"/>
      <c r="HPQ58"/>
      <c r="HPR58"/>
      <c r="HPS58"/>
      <c r="HPT58"/>
      <c r="HPU58"/>
      <c r="HPV58"/>
      <c r="HPW58"/>
      <c r="HPX58"/>
      <c r="HPY58"/>
      <c r="HPZ58"/>
      <c r="HQA58"/>
      <c r="HQB58"/>
      <c r="HQC58"/>
      <c r="HQD58"/>
      <c r="HQE58"/>
      <c r="HQF58"/>
      <c r="HQG58"/>
      <c r="HQH58"/>
      <c r="HQI58"/>
      <c r="HQJ58"/>
      <c r="HQK58"/>
      <c r="HQL58"/>
      <c r="HQM58"/>
      <c r="HQN58"/>
      <c r="HQO58"/>
      <c r="HQP58"/>
      <c r="HQQ58"/>
      <c r="HQR58"/>
      <c r="HQS58"/>
      <c r="HQT58"/>
      <c r="HQU58"/>
      <c r="HQV58"/>
      <c r="HQW58"/>
      <c r="HQX58"/>
      <c r="HQY58"/>
      <c r="HQZ58"/>
      <c r="HRA58"/>
      <c r="HRB58"/>
      <c r="HRC58"/>
      <c r="HRD58"/>
      <c r="HRE58"/>
      <c r="HRF58"/>
      <c r="HRG58"/>
      <c r="HRH58"/>
      <c r="HRI58"/>
      <c r="HRJ58"/>
      <c r="HRK58"/>
      <c r="HRL58"/>
      <c r="HRM58"/>
      <c r="HRN58"/>
      <c r="HRO58"/>
      <c r="HRP58"/>
      <c r="HRQ58"/>
      <c r="HRR58"/>
      <c r="HRS58"/>
      <c r="HRT58"/>
      <c r="HRU58"/>
      <c r="HRV58"/>
      <c r="HRW58"/>
      <c r="HRX58"/>
      <c r="HRY58"/>
      <c r="HRZ58"/>
      <c r="HSA58"/>
      <c r="HSB58"/>
      <c r="HSC58"/>
      <c r="HSD58"/>
      <c r="HSE58"/>
      <c r="HSF58"/>
      <c r="HSG58"/>
      <c r="HSH58"/>
      <c r="HSI58"/>
      <c r="HSJ58"/>
      <c r="HSK58"/>
      <c r="HSL58"/>
      <c r="HSM58"/>
      <c r="HSN58"/>
      <c r="HSO58"/>
      <c r="HSP58"/>
      <c r="HSQ58"/>
      <c r="HSR58"/>
      <c r="HSS58"/>
      <c r="HST58"/>
      <c r="HSU58"/>
      <c r="HSV58"/>
      <c r="HSW58"/>
      <c r="HSX58"/>
      <c r="HSY58"/>
      <c r="HSZ58"/>
      <c r="HTA58"/>
      <c r="HTB58"/>
      <c r="HTC58"/>
      <c r="HTD58"/>
      <c r="HTE58"/>
      <c r="HTF58"/>
      <c r="HTG58"/>
      <c r="HTH58"/>
      <c r="HTI58"/>
      <c r="HTJ58"/>
      <c r="HTK58"/>
      <c r="HTL58"/>
      <c r="HTM58"/>
      <c r="HTN58"/>
      <c r="HTO58"/>
      <c r="HTP58"/>
      <c r="HTQ58"/>
      <c r="HTR58"/>
      <c r="HTS58"/>
      <c r="HTT58"/>
      <c r="HTU58"/>
      <c r="HTV58"/>
      <c r="HTW58"/>
      <c r="HTX58"/>
      <c r="HTY58"/>
      <c r="HTZ58"/>
      <c r="HUA58"/>
      <c r="HUB58"/>
      <c r="HUC58"/>
      <c r="HUD58"/>
      <c r="HUE58"/>
      <c r="HUF58"/>
      <c r="HUG58"/>
      <c r="HUH58"/>
      <c r="HUI58"/>
      <c r="HUJ58"/>
      <c r="HUK58"/>
      <c r="HUL58"/>
      <c r="HUM58"/>
      <c r="HUN58"/>
      <c r="HUO58"/>
      <c r="HUP58"/>
      <c r="HUQ58"/>
      <c r="HUR58"/>
      <c r="HUS58"/>
      <c r="HUT58"/>
      <c r="HUU58"/>
      <c r="HUV58"/>
      <c r="HUW58"/>
      <c r="HUX58"/>
      <c r="HUY58"/>
      <c r="HUZ58"/>
      <c r="HVA58"/>
      <c r="HVB58"/>
      <c r="HVC58"/>
      <c r="HVD58"/>
      <c r="HVE58"/>
      <c r="HVF58"/>
      <c r="HVG58"/>
      <c r="HVH58"/>
      <c r="HVI58"/>
      <c r="HVJ58"/>
      <c r="HVK58"/>
      <c r="HVL58"/>
      <c r="HVM58"/>
      <c r="HVN58"/>
      <c r="HVO58"/>
      <c r="HVP58"/>
      <c r="HVQ58"/>
      <c r="HVR58"/>
      <c r="HVS58"/>
      <c r="HVT58"/>
      <c r="HVU58"/>
      <c r="HVV58"/>
      <c r="HVW58"/>
      <c r="HVX58"/>
      <c r="HVY58"/>
      <c r="HVZ58"/>
      <c r="HWA58"/>
      <c r="HWB58"/>
      <c r="HWC58"/>
      <c r="HWD58"/>
      <c r="HWE58"/>
      <c r="HWF58"/>
      <c r="HWG58"/>
      <c r="HWH58"/>
      <c r="HWI58"/>
      <c r="HWJ58"/>
      <c r="HWK58"/>
      <c r="HWL58"/>
      <c r="HWM58"/>
      <c r="HWN58"/>
      <c r="HWO58"/>
      <c r="HWP58"/>
      <c r="HWQ58"/>
      <c r="HWR58"/>
      <c r="HWS58"/>
      <c r="HWT58"/>
      <c r="HWU58"/>
      <c r="HWV58"/>
      <c r="HWW58"/>
      <c r="HWX58"/>
      <c r="HWY58"/>
      <c r="HWZ58"/>
      <c r="HXA58"/>
      <c r="HXB58"/>
      <c r="HXC58"/>
      <c r="HXD58"/>
      <c r="HXE58"/>
      <c r="HXF58"/>
      <c r="HXG58"/>
      <c r="HXH58"/>
      <c r="HXI58"/>
      <c r="HXJ58"/>
      <c r="HXK58"/>
      <c r="HXL58"/>
      <c r="HXM58"/>
      <c r="HXN58"/>
      <c r="HXO58"/>
      <c r="HXP58"/>
      <c r="HXQ58"/>
      <c r="HXR58"/>
      <c r="HXS58"/>
      <c r="HXT58"/>
      <c r="HXU58"/>
      <c r="HXV58"/>
      <c r="HXW58"/>
      <c r="HXX58"/>
      <c r="HXY58"/>
      <c r="HXZ58"/>
      <c r="HYA58"/>
      <c r="HYB58"/>
      <c r="HYC58"/>
      <c r="HYD58"/>
      <c r="HYE58"/>
      <c r="HYF58"/>
      <c r="HYG58"/>
      <c r="HYH58"/>
      <c r="HYI58"/>
      <c r="HYJ58"/>
      <c r="HYK58"/>
      <c r="HYL58"/>
      <c r="HYM58"/>
      <c r="HYN58"/>
      <c r="HYO58"/>
      <c r="HYP58"/>
      <c r="HYQ58"/>
      <c r="HYR58"/>
      <c r="HYS58"/>
      <c r="HYT58"/>
      <c r="HYU58"/>
      <c r="HYV58"/>
      <c r="HYW58"/>
      <c r="HYX58"/>
      <c r="HYY58"/>
      <c r="HYZ58"/>
      <c r="HZA58"/>
      <c r="HZB58"/>
      <c r="HZC58"/>
      <c r="HZD58"/>
      <c r="HZE58"/>
      <c r="HZF58"/>
      <c r="HZG58"/>
      <c r="HZH58"/>
      <c r="HZI58"/>
      <c r="HZJ58"/>
      <c r="HZK58"/>
      <c r="HZL58"/>
      <c r="HZM58"/>
      <c r="HZN58"/>
      <c r="HZO58"/>
      <c r="HZP58"/>
      <c r="HZQ58"/>
      <c r="HZR58"/>
      <c r="HZS58"/>
      <c r="HZT58"/>
      <c r="HZU58"/>
      <c r="HZV58"/>
      <c r="HZW58"/>
      <c r="HZX58"/>
      <c r="HZY58"/>
      <c r="HZZ58"/>
      <c r="IAA58"/>
      <c r="IAB58"/>
      <c r="IAC58"/>
      <c r="IAD58"/>
      <c r="IAE58"/>
      <c r="IAF58"/>
      <c r="IAG58"/>
      <c r="IAH58"/>
      <c r="IAI58"/>
      <c r="IAJ58"/>
      <c r="IAK58"/>
      <c r="IAL58"/>
      <c r="IAM58"/>
      <c r="IAN58"/>
      <c r="IAO58"/>
      <c r="IAP58"/>
      <c r="IAQ58"/>
      <c r="IAR58"/>
      <c r="IAS58"/>
      <c r="IAT58"/>
      <c r="IAU58"/>
      <c r="IAV58"/>
      <c r="IAW58"/>
      <c r="IAX58"/>
      <c r="IAY58"/>
      <c r="IAZ58"/>
      <c r="IBA58"/>
      <c r="IBB58"/>
      <c r="IBC58"/>
      <c r="IBD58"/>
      <c r="IBE58"/>
      <c r="IBF58"/>
      <c r="IBG58"/>
      <c r="IBH58"/>
      <c r="IBI58"/>
      <c r="IBJ58"/>
      <c r="IBK58"/>
      <c r="IBL58"/>
      <c r="IBM58"/>
      <c r="IBN58"/>
      <c r="IBO58"/>
      <c r="IBP58"/>
      <c r="IBQ58"/>
      <c r="IBR58"/>
      <c r="IBS58"/>
      <c r="IBT58"/>
      <c r="IBU58"/>
      <c r="IBV58"/>
      <c r="IBW58"/>
      <c r="IBX58"/>
      <c r="IBY58"/>
      <c r="IBZ58"/>
      <c r="ICA58"/>
      <c r="ICB58"/>
      <c r="ICC58"/>
      <c r="ICD58"/>
      <c r="ICE58"/>
      <c r="ICF58"/>
      <c r="ICG58"/>
      <c r="ICH58"/>
      <c r="ICI58"/>
      <c r="ICJ58"/>
      <c r="ICK58"/>
      <c r="ICL58"/>
      <c r="ICM58"/>
      <c r="ICN58"/>
      <c r="ICO58"/>
      <c r="ICP58"/>
      <c r="ICQ58"/>
      <c r="ICR58"/>
      <c r="ICS58"/>
      <c r="ICT58"/>
      <c r="ICU58"/>
      <c r="ICV58"/>
      <c r="ICW58"/>
      <c r="ICX58"/>
      <c r="ICY58"/>
      <c r="ICZ58"/>
      <c r="IDA58"/>
      <c r="IDB58"/>
      <c r="IDC58"/>
      <c r="IDD58"/>
      <c r="IDE58"/>
      <c r="IDF58"/>
      <c r="IDG58"/>
      <c r="IDH58"/>
      <c r="IDI58"/>
      <c r="IDJ58"/>
      <c r="IDK58"/>
      <c r="IDL58"/>
      <c r="IDM58"/>
      <c r="IDN58"/>
      <c r="IDO58"/>
      <c r="IDP58"/>
      <c r="IDQ58"/>
      <c r="IDR58"/>
      <c r="IDS58"/>
      <c r="IDT58"/>
      <c r="IDU58"/>
      <c r="IDV58"/>
      <c r="IDW58"/>
      <c r="IDX58"/>
      <c r="IDY58"/>
      <c r="IDZ58"/>
      <c r="IEA58"/>
      <c r="IEB58"/>
      <c r="IEC58"/>
      <c r="IED58"/>
      <c r="IEE58"/>
      <c r="IEF58"/>
      <c r="IEG58"/>
      <c r="IEH58"/>
      <c r="IEI58"/>
      <c r="IEJ58"/>
      <c r="IEK58"/>
      <c r="IEL58"/>
      <c r="IEM58"/>
      <c r="IEN58"/>
      <c r="IEO58"/>
      <c r="IEP58"/>
      <c r="IEQ58"/>
      <c r="IER58"/>
      <c r="IES58"/>
      <c r="IET58"/>
      <c r="IEU58"/>
      <c r="IEV58"/>
      <c r="IEW58"/>
      <c r="IEX58"/>
      <c r="IEY58"/>
      <c r="IEZ58"/>
      <c r="IFA58"/>
      <c r="IFB58"/>
      <c r="IFC58"/>
      <c r="IFD58"/>
      <c r="IFE58"/>
      <c r="IFF58"/>
      <c r="IFG58"/>
      <c r="IFH58"/>
      <c r="IFI58"/>
      <c r="IFJ58"/>
      <c r="IFK58"/>
      <c r="IFL58"/>
      <c r="IFM58"/>
      <c r="IFN58"/>
      <c r="IFO58"/>
      <c r="IFP58"/>
      <c r="IFQ58"/>
      <c r="IFR58"/>
      <c r="IFS58"/>
      <c r="IFT58"/>
      <c r="IFU58"/>
      <c r="IFV58"/>
      <c r="IFW58"/>
      <c r="IFX58"/>
      <c r="IFY58"/>
      <c r="IFZ58"/>
      <c r="IGA58"/>
      <c r="IGB58"/>
      <c r="IGC58"/>
      <c r="IGD58"/>
      <c r="IGE58"/>
      <c r="IGF58"/>
      <c r="IGG58"/>
      <c r="IGH58"/>
      <c r="IGI58"/>
      <c r="IGJ58"/>
      <c r="IGK58"/>
      <c r="IGL58"/>
      <c r="IGM58"/>
      <c r="IGN58"/>
      <c r="IGO58"/>
      <c r="IGP58"/>
      <c r="IGQ58"/>
      <c r="IGR58"/>
      <c r="IGS58"/>
      <c r="IGT58"/>
      <c r="IGU58"/>
      <c r="IGV58"/>
      <c r="IGW58"/>
      <c r="IGX58"/>
      <c r="IGY58"/>
      <c r="IGZ58"/>
      <c r="IHA58"/>
      <c r="IHB58"/>
      <c r="IHC58"/>
      <c r="IHD58"/>
      <c r="IHE58"/>
      <c r="IHF58"/>
      <c r="IHG58"/>
      <c r="IHH58"/>
      <c r="IHI58"/>
      <c r="IHJ58"/>
      <c r="IHK58"/>
      <c r="IHL58"/>
      <c r="IHM58"/>
      <c r="IHN58"/>
      <c r="IHO58"/>
      <c r="IHP58"/>
      <c r="IHQ58"/>
      <c r="IHR58"/>
      <c r="IHS58"/>
      <c r="IHT58"/>
      <c r="IHU58"/>
      <c r="IHV58"/>
      <c r="IHW58"/>
      <c r="IHX58"/>
      <c r="IHY58"/>
      <c r="IHZ58"/>
      <c r="IIA58"/>
      <c r="IIB58"/>
      <c r="IIC58"/>
      <c r="IID58"/>
      <c r="IIE58"/>
      <c r="IIF58"/>
      <c r="IIG58"/>
      <c r="IIH58"/>
      <c r="III58"/>
      <c r="IIJ58"/>
      <c r="IIK58"/>
      <c r="IIL58"/>
      <c r="IIM58"/>
      <c r="IIN58"/>
      <c r="IIO58"/>
      <c r="IIP58"/>
      <c r="IIQ58"/>
      <c r="IIR58"/>
      <c r="IIS58"/>
      <c r="IIT58"/>
      <c r="IIU58"/>
      <c r="IIV58"/>
      <c r="IIW58"/>
      <c r="IIX58"/>
      <c r="IIY58"/>
      <c r="IIZ58"/>
      <c r="IJA58"/>
      <c r="IJB58"/>
      <c r="IJC58"/>
      <c r="IJD58"/>
      <c r="IJE58"/>
      <c r="IJF58"/>
      <c r="IJG58"/>
      <c r="IJH58"/>
      <c r="IJI58"/>
      <c r="IJJ58"/>
      <c r="IJK58"/>
      <c r="IJL58"/>
      <c r="IJM58"/>
      <c r="IJN58"/>
      <c r="IJO58"/>
      <c r="IJP58"/>
      <c r="IJQ58"/>
      <c r="IJR58"/>
      <c r="IJS58"/>
      <c r="IJT58"/>
      <c r="IJU58"/>
      <c r="IJV58"/>
      <c r="IJW58"/>
      <c r="IJX58"/>
      <c r="IJY58"/>
      <c r="IJZ58"/>
      <c r="IKA58"/>
      <c r="IKB58"/>
      <c r="IKC58"/>
      <c r="IKD58"/>
      <c r="IKE58"/>
      <c r="IKF58"/>
      <c r="IKG58"/>
      <c r="IKH58"/>
      <c r="IKI58"/>
      <c r="IKJ58"/>
      <c r="IKK58"/>
      <c r="IKL58"/>
      <c r="IKM58"/>
      <c r="IKN58"/>
      <c r="IKO58"/>
      <c r="IKP58"/>
      <c r="IKQ58"/>
      <c r="IKR58"/>
      <c r="IKS58"/>
      <c r="IKT58"/>
      <c r="IKU58"/>
      <c r="IKV58"/>
      <c r="IKW58"/>
      <c r="IKX58"/>
      <c r="IKY58"/>
      <c r="IKZ58"/>
      <c r="ILA58"/>
      <c r="ILB58"/>
      <c r="ILC58"/>
      <c r="ILD58"/>
      <c r="ILE58"/>
      <c r="ILF58"/>
      <c r="ILG58"/>
      <c r="ILH58"/>
      <c r="ILI58"/>
      <c r="ILJ58"/>
      <c r="ILK58"/>
      <c r="ILL58"/>
      <c r="ILM58"/>
      <c r="ILN58"/>
      <c r="ILO58"/>
      <c r="ILP58"/>
      <c r="ILQ58"/>
      <c r="ILR58"/>
      <c r="ILS58"/>
      <c r="ILT58"/>
      <c r="ILU58"/>
      <c r="ILV58"/>
      <c r="ILW58"/>
      <c r="ILX58"/>
      <c r="ILY58"/>
      <c r="ILZ58"/>
      <c r="IMA58"/>
      <c r="IMB58"/>
      <c r="IMC58"/>
      <c r="IMD58"/>
      <c r="IME58"/>
      <c r="IMF58"/>
      <c r="IMG58"/>
      <c r="IMH58"/>
      <c r="IMI58"/>
      <c r="IMJ58"/>
      <c r="IMK58"/>
      <c r="IML58"/>
      <c r="IMM58"/>
      <c r="IMN58"/>
      <c r="IMO58"/>
      <c r="IMP58"/>
      <c r="IMQ58"/>
      <c r="IMR58"/>
      <c r="IMS58"/>
      <c r="IMT58"/>
      <c r="IMU58"/>
      <c r="IMV58"/>
      <c r="IMW58"/>
      <c r="IMX58"/>
      <c r="IMY58"/>
      <c r="IMZ58"/>
      <c r="INA58"/>
      <c r="INB58"/>
      <c r="INC58"/>
      <c r="IND58"/>
      <c r="INE58"/>
      <c r="INF58"/>
      <c r="ING58"/>
      <c r="INH58"/>
      <c r="INI58"/>
      <c r="INJ58"/>
      <c r="INK58"/>
      <c r="INL58"/>
      <c r="INM58"/>
      <c r="INN58"/>
      <c r="INO58"/>
      <c r="INP58"/>
      <c r="INQ58"/>
      <c r="INR58"/>
      <c r="INS58"/>
      <c r="INT58"/>
      <c r="INU58"/>
      <c r="INV58"/>
      <c r="INW58"/>
      <c r="INX58"/>
      <c r="INY58"/>
      <c r="INZ58"/>
      <c r="IOA58"/>
      <c r="IOB58"/>
      <c r="IOC58"/>
      <c r="IOD58"/>
      <c r="IOE58"/>
      <c r="IOF58"/>
      <c r="IOG58"/>
      <c r="IOH58"/>
      <c r="IOI58"/>
      <c r="IOJ58"/>
      <c r="IOK58"/>
      <c r="IOL58"/>
      <c r="IOM58"/>
      <c r="ION58"/>
      <c r="IOO58"/>
      <c r="IOP58"/>
      <c r="IOQ58"/>
      <c r="IOR58"/>
      <c r="IOS58"/>
      <c r="IOT58"/>
      <c r="IOU58"/>
      <c r="IOV58"/>
      <c r="IOW58"/>
      <c r="IOX58"/>
      <c r="IOY58"/>
      <c r="IOZ58"/>
      <c r="IPA58"/>
      <c r="IPB58"/>
      <c r="IPC58"/>
      <c r="IPD58"/>
      <c r="IPE58"/>
      <c r="IPF58"/>
      <c r="IPG58"/>
      <c r="IPH58"/>
      <c r="IPI58"/>
      <c r="IPJ58"/>
      <c r="IPK58"/>
      <c r="IPL58"/>
      <c r="IPM58"/>
      <c r="IPN58"/>
      <c r="IPO58"/>
      <c r="IPP58"/>
      <c r="IPQ58"/>
      <c r="IPR58"/>
      <c r="IPS58"/>
      <c r="IPT58"/>
      <c r="IPU58"/>
      <c r="IPV58"/>
      <c r="IPW58"/>
      <c r="IPX58"/>
      <c r="IPY58"/>
      <c r="IPZ58"/>
      <c r="IQA58"/>
      <c r="IQB58"/>
      <c r="IQC58"/>
      <c r="IQD58"/>
      <c r="IQE58"/>
      <c r="IQF58"/>
      <c r="IQG58"/>
      <c r="IQH58"/>
      <c r="IQI58"/>
      <c r="IQJ58"/>
      <c r="IQK58"/>
      <c r="IQL58"/>
      <c r="IQM58"/>
      <c r="IQN58"/>
      <c r="IQO58"/>
      <c r="IQP58"/>
      <c r="IQQ58"/>
      <c r="IQR58"/>
      <c r="IQS58"/>
      <c r="IQT58"/>
      <c r="IQU58"/>
      <c r="IQV58"/>
      <c r="IQW58"/>
      <c r="IQX58"/>
      <c r="IQY58"/>
      <c r="IQZ58"/>
      <c r="IRA58"/>
      <c r="IRB58"/>
      <c r="IRC58"/>
      <c r="IRD58"/>
      <c r="IRE58"/>
      <c r="IRF58"/>
      <c r="IRG58"/>
      <c r="IRH58"/>
      <c r="IRI58"/>
      <c r="IRJ58"/>
      <c r="IRK58"/>
      <c r="IRL58"/>
      <c r="IRM58"/>
      <c r="IRN58"/>
      <c r="IRO58"/>
      <c r="IRP58"/>
      <c r="IRQ58"/>
      <c r="IRR58"/>
      <c r="IRS58"/>
      <c r="IRT58"/>
      <c r="IRU58"/>
      <c r="IRV58"/>
      <c r="IRW58"/>
      <c r="IRX58"/>
      <c r="IRY58"/>
      <c r="IRZ58"/>
      <c r="ISA58"/>
      <c r="ISB58"/>
      <c r="ISC58"/>
      <c r="ISD58"/>
      <c r="ISE58"/>
      <c r="ISF58"/>
      <c r="ISG58"/>
      <c r="ISH58"/>
      <c r="ISI58"/>
      <c r="ISJ58"/>
      <c r="ISK58"/>
      <c r="ISL58"/>
      <c r="ISM58"/>
      <c r="ISN58"/>
      <c r="ISO58"/>
      <c r="ISP58"/>
      <c r="ISQ58"/>
      <c r="ISR58"/>
      <c r="ISS58"/>
      <c r="IST58"/>
      <c r="ISU58"/>
      <c r="ISV58"/>
      <c r="ISW58"/>
      <c r="ISX58"/>
      <c r="ISY58"/>
      <c r="ISZ58"/>
      <c r="ITA58"/>
      <c r="ITB58"/>
      <c r="ITC58"/>
      <c r="ITD58"/>
      <c r="ITE58"/>
      <c r="ITF58"/>
      <c r="ITG58"/>
      <c r="ITH58"/>
      <c r="ITI58"/>
      <c r="ITJ58"/>
      <c r="ITK58"/>
      <c r="ITL58"/>
      <c r="ITM58"/>
      <c r="ITN58"/>
      <c r="ITO58"/>
      <c r="ITP58"/>
      <c r="ITQ58"/>
      <c r="ITR58"/>
      <c r="ITS58"/>
      <c r="ITT58"/>
      <c r="ITU58"/>
      <c r="ITV58"/>
      <c r="ITW58"/>
      <c r="ITX58"/>
      <c r="ITY58"/>
      <c r="ITZ58"/>
      <c r="IUA58"/>
      <c r="IUB58"/>
      <c r="IUC58"/>
      <c r="IUD58"/>
      <c r="IUE58"/>
      <c r="IUF58"/>
      <c r="IUG58"/>
      <c r="IUH58"/>
      <c r="IUI58"/>
      <c r="IUJ58"/>
      <c r="IUK58"/>
      <c r="IUL58"/>
      <c r="IUM58"/>
      <c r="IUN58"/>
      <c r="IUO58"/>
      <c r="IUP58"/>
      <c r="IUQ58"/>
      <c r="IUR58"/>
      <c r="IUS58"/>
      <c r="IUT58"/>
      <c r="IUU58"/>
      <c r="IUV58"/>
      <c r="IUW58"/>
      <c r="IUX58"/>
      <c r="IUY58"/>
      <c r="IUZ58"/>
      <c r="IVA58"/>
      <c r="IVB58"/>
      <c r="IVC58"/>
      <c r="IVD58"/>
      <c r="IVE58"/>
      <c r="IVF58"/>
      <c r="IVG58"/>
      <c r="IVH58"/>
      <c r="IVI58"/>
      <c r="IVJ58"/>
      <c r="IVK58"/>
      <c r="IVL58"/>
      <c r="IVM58"/>
      <c r="IVN58"/>
      <c r="IVO58"/>
      <c r="IVP58"/>
      <c r="IVQ58"/>
      <c r="IVR58"/>
      <c r="IVS58"/>
      <c r="IVT58"/>
      <c r="IVU58"/>
      <c r="IVV58"/>
      <c r="IVW58"/>
      <c r="IVX58"/>
      <c r="IVY58"/>
      <c r="IVZ58"/>
      <c r="IWA58"/>
      <c r="IWB58"/>
      <c r="IWC58"/>
      <c r="IWD58"/>
      <c r="IWE58"/>
      <c r="IWF58"/>
      <c r="IWG58"/>
      <c r="IWH58"/>
      <c r="IWI58"/>
      <c r="IWJ58"/>
      <c r="IWK58"/>
      <c r="IWL58"/>
      <c r="IWM58"/>
      <c r="IWN58"/>
      <c r="IWO58"/>
      <c r="IWP58"/>
      <c r="IWQ58"/>
      <c r="IWR58"/>
      <c r="IWS58"/>
      <c r="IWT58"/>
      <c r="IWU58"/>
      <c r="IWV58"/>
      <c r="IWW58"/>
      <c r="IWX58"/>
      <c r="IWY58"/>
      <c r="IWZ58"/>
      <c r="IXA58"/>
      <c r="IXB58"/>
      <c r="IXC58"/>
      <c r="IXD58"/>
      <c r="IXE58"/>
      <c r="IXF58"/>
      <c r="IXG58"/>
      <c r="IXH58"/>
      <c r="IXI58"/>
      <c r="IXJ58"/>
      <c r="IXK58"/>
      <c r="IXL58"/>
      <c r="IXM58"/>
      <c r="IXN58"/>
      <c r="IXO58"/>
      <c r="IXP58"/>
      <c r="IXQ58"/>
      <c r="IXR58"/>
      <c r="IXS58"/>
      <c r="IXT58"/>
      <c r="IXU58"/>
      <c r="IXV58"/>
      <c r="IXW58"/>
      <c r="IXX58"/>
      <c r="IXY58"/>
      <c r="IXZ58"/>
      <c r="IYA58"/>
      <c r="IYB58"/>
      <c r="IYC58"/>
      <c r="IYD58"/>
      <c r="IYE58"/>
      <c r="IYF58"/>
      <c r="IYG58"/>
      <c r="IYH58"/>
      <c r="IYI58"/>
      <c r="IYJ58"/>
      <c r="IYK58"/>
      <c r="IYL58"/>
      <c r="IYM58"/>
      <c r="IYN58"/>
      <c r="IYO58"/>
      <c r="IYP58"/>
      <c r="IYQ58"/>
      <c r="IYR58"/>
      <c r="IYS58"/>
      <c r="IYT58"/>
      <c r="IYU58"/>
      <c r="IYV58"/>
      <c r="IYW58"/>
      <c r="IYX58"/>
      <c r="IYY58"/>
      <c r="IYZ58"/>
      <c r="IZA58"/>
      <c r="IZB58"/>
      <c r="IZC58"/>
      <c r="IZD58"/>
      <c r="IZE58"/>
      <c r="IZF58"/>
      <c r="IZG58"/>
      <c r="IZH58"/>
      <c r="IZI58"/>
      <c r="IZJ58"/>
      <c r="IZK58"/>
      <c r="IZL58"/>
      <c r="IZM58"/>
      <c r="IZN58"/>
      <c r="IZO58"/>
      <c r="IZP58"/>
      <c r="IZQ58"/>
      <c r="IZR58"/>
      <c r="IZS58"/>
      <c r="IZT58"/>
      <c r="IZU58"/>
      <c r="IZV58"/>
      <c r="IZW58"/>
      <c r="IZX58"/>
      <c r="IZY58"/>
      <c r="IZZ58"/>
      <c r="JAA58"/>
      <c r="JAB58"/>
      <c r="JAC58"/>
      <c r="JAD58"/>
      <c r="JAE58"/>
      <c r="JAF58"/>
      <c r="JAG58"/>
      <c r="JAH58"/>
      <c r="JAI58"/>
      <c r="JAJ58"/>
      <c r="JAK58"/>
      <c r="JAL58"/>
      <c r="JAM58"/>
      <c r="JAN58"/>
      <c r="JAO58"/>
      <c r="JAP58"/>
      <c r="JAQ58"/>
      <c r="JAR58"/>
      <c r="JAS58"/>
      <c r="JAT58"/>
      <c r="JAU58"/>
      <c r="JAV58"/>
      <c r="JAW58"/>
      <c r="JAX58"/>
      <c r="JAY58"/>
      <c r="JAZ58"/>
      <c r="JBA58"/>
      <c r="JBB58"/>
      <c r="JBC58"/>
      <c r="JBD58"/>
      <c r="JBE58"/>
      <c r="JBF58"/>
      <c r="JBG58"/>
      <c r="JBH58"/>
      <c r="JBI58"/>
      <c r="JBJ58"/>
      <c r="JBK58"/>
      <c r="JBL58"/>
      <c r="JBM58"/>
      <c r="JBN58"/>
      <c r="JBO58"/>
      <c r="JBP58"/>
      <c r="JBQ58"/>
      <c r="JBR58"/>
      <c r="JBS58"/>
      <c r="JBT58"/>
      <c r="JBU58"/>
      <c r="JBV58"/>
      <c r="JBW58"/>
      <c r="JBX58"/>
      <c r="JBY58"/>
      <c r="JBZ58"/>
      <c r="JCA58"/>
      <c r="JCB58"/>
      <c r="JCC58"/>
      <c r="JCD58"/>
      <c r="JCE58"/>
      <c r="JCF58"/>
      <c r="JCG58"/>
      <c r="JCH58"/>
      <c r="JCI58"/>
      <c r="JCJ58"/>
      <c r="JCK58"/>
      <c r="JCL58"/>
      <c r="JCM58"/>
      <c r="JCN58"/>
      <c r="JCO58"/>
      <c r="JCP58"/>
      <c r="JCQ58"/>
      <c r="JCR58"/>
      <c r="JCS58"/>
      <c r="JCT58"/>
      <c r="JCU58"/>
      <c r="JCV58"/>
      <c r="JCW58"/>
      <c r="JCX58"/>
      <c r="JCY58"/>
      <c r="JCZ58"/>
      <c r="JDA58"/>
      <c r="JDB58"/>
      <c r="JDC58"/>
      <c r="JDD58"/>
      <c r="JDE58"/>
      <c r="JDF58"/>
      <c r="JDG58"/>
      <c r="JDH58"/>
      <c r="JDI58"/>
      <c r="JDJ58"/>
      <c r="JDK58"/>
      <c r="JDL58"/>
      <c r="JDM58"/>
      <c r="JDN58"/>
      <c r="JDO58"/>
      <c r="JDP58"/>
      <c r="JDQ58"/>
      <c r="JDR58"/>
      <c r="JDS58"/>
      <c r="JDT58"/>
      <c r="JDU58"/>
      <c r="JDV58"/>
      <c r="JDW58"/>
      <c r="JDX58"/>
      <c r="JDY58"/>
      <c r="JDZ58"/>
      <c r="JEA58"/>
      <c r="JEB58"/>
      <c r="JEC58"/>
      <c r="JED58"/>
      <c r="JEE58"/>
      <c r="JEF58"/>
      <c r="JEG58"/>
      <c r="JEH58"/>
      <c r="JEI58"/>
      <c r="JEJ58"/>
      <c r="JEK58"/>
      <c r="JEL58"/>
      <c r="JEM58"/>
      <c r="JEN58"/>
      <c r="JEO58"/>
      <c r="JEP58"/>
      <c r="JEQ58"/>
      <c r="JER58"/>
      <c r="JES58"/>
      <c r="JET58"/>
      <c r="JEU58"/>
      <c r="JEV58"/>
      <c r="JEW58"/>
      <c r="JEX58"/>
      <c r="JEY58"/>
      <c r="JEZ58"/>
      <c r="JFA58"/>
      <c r="JFB58"/>
      <c r="JFC58"/>
      <c r="JFD58"/>
      <c r="JFE58"/>
      <c r="JFF58"/>
      <c r="JFG58"/>
      <c r="JFH58"/>
      <c r="JFI58"/>
      <c r="JFJ58"/>
      <c r="JFK58"/>
      <c r="JFL58"/>
      <c r="JFM58"/>
      <c r="JFN58"/>
      <c r="JFO58"/>
      <c r="JFP58"/>
      <c r="JFQ58"/>
      <c r="JFR58"/>
      <c r="JFS58"/>
      <c r="JFT58"/>
      <c r="JFU58"/>
      <c r="JFV58"/>
      <c r="JFW58"/>
      <c r="JFX58"/>
      <c r="JFY58"/>
      <c r="JFZ58"/>
      <c r="JGA58"/>
      <c r="JGB58"/>
      <c r="JGC58"/>
      <c r="JGD58"/>
      <c r="JGE58"/>
      <c r="JGF58"/>
      <c r="JGG58"/>
      <c r="JGH58"/>
      <c r="JGI58"/>
      <c r="JGJ58"/>
      <c r="JGK58"/>
      <c r="JGL58"/>
      <c r="JGM58"/>
      <c r="JGN58"/>
      <c r="JGO58"/>
      <c r="JGP58"/>
      <c r="JGQ58"/>
      <c r="JGR58"/>
      <c r="JGS58"/>
      <c r="JGT58"/>
      <c r="JGU58"/>
      <c r="JGV58"/>
      <c r="JGW58"/>
      <c r="JGX58"/>
      <c r="JGY58"/>
      <c r="JGZ58"/>
      <c r="JHA58"/>
      <c r="JHB58"/>
      <c r="JHC58"/>
      <c r="JHD58"/>
      <c r="JHE58"/>
      <c r="JHF58"/>
      <c r="JHG58"/>
      <c r="JHH58"/>
      <c r="JHI58"/>
      <c r="JHJ58"/>
      <c r="JHK58"/>
      <c r="JHL58"/>
      <c r="JHM58"/>
      <c r="JHN58"/>
      <c r="JHO58"/>
      <c r="JHP58"/>
      <c r="JHQ58"/>
      <c r="JHR58"/>
      <c r="JHS58"/>
      <c r="JHT58"/>
      <c r="JHU58"/>
      <c r="JHV58"/>
      <c r="JHW58"/>
      <c r="JHX58"/>
      <c r="JHY58"/>
      <c r="JHZ58"/>
      <c r="JIA58"/>
      <c r="JIB58"/>
      <c r="JIC58"/>
      <c r="JID58"/>
      <c r="JIE58"/>
      <c r="JIF58"/>
      <c r="JIG58"/>
      <c r="JIH58"/>
      <c r="JII58"/>
      <c r="JIJ58"/>
      <c r="JIK58"/>
      <c r="JIL58"/>
      <c r="JIM58"/>
      <c r="JIN58"/>
      <c r="JIO58"/>
      <c r="JIP58"/>
      <c r="JIQ58"/>
      <c r="JIR58"/>
      <c r="JIS58"/>
      <c r="JIT58"/>
      <c r="JIU58"/>
      <c r="JIV58"/>
      <c r="JIW58"/>
      <c r="JIX58"/>
      <c r="JIY58"/>
      <c r="JIZ58"/>
      <c r="JJA58"/>
      <c r="JJB58"/>
      <c r="JJC58"/>
      <c r="JJD58"/>
      <c r="JJE58"/>
      <c r="JJF58"/>
      <c r="JJG58"/>
      <c r="JJH58"/>
      <c r="JJI58"/>
      <c r="JJJ58"/>
      <c r="JJK58"/>
      <c r="JJL58"/>
      <c r="JJM58"/>
      <c r="JJN58"/>
      <c r="JJO58"/>
      <c r="JJP58"/>
      <c r="JJQ58"/>
      <c r="JJR58"/>
      <c r="JJS58"/>
      <c r="JJT58"/>
      <c r="JJU58"/>
      <c r="JJV58"/>
      <c r="JJW58"/>
      <c r="JJX58"/>
      <c r="JJY58"/>
      <c r="JJZ58"/>
      <c r="JKA58"/>
      <c r="JKB58"/>
      <c r="JKC58"/>
      <c r="JKD58"/>
      <c r="JKE58"/>
      <c r="JKF58"/>
      <c r="JKG58"/>
      <c r="JKH58"/>
      <c r="JKI58"/>
      <c r="JKJ58"/>
      <c r="JKK58"/>
      <c r="JKL58"/>
      <c r="JKM58"/>
      <c r="JKN58"/>
      <c r="JKO58"/>
      <c r="JKP58"/>
      <c r="JKQ58"/>
      <c r="JKR58"/>
      <c r="JKS58"/>
      <c r="JKT58"/>
      <c r="JKU58"/>
      <c r="JKV58"/>
      <c r="JKW58"/>
      <c r="JKX58"/>
      <c r="JKY58"/>
      <c r="JKZ58"/>
      <c r="JLA58"/>
      <c r="JLB58"/>
      <c r="JLC58"/>
      <c r="JLD58"/>
      <c r="JLE58"/>
      <c r="JLF58"/>
      <c r="JLG58"/>
      <c r="JLH58"/>
      <c r="JLI58"/>
      <c r="JLJ58"/>
      <c r="JLK58"/>
      <c r="JLL58"/>
      <c r="JLM58"/>
      <c r="JLN58"/>
      <c r="JLO58"/>
      <c r="JLP58"/>
      <c r="JLQ58"/>
      <c r="JLR58"/>
      <c r="JLS58"/>
      <c r="JLT58"/>
      <c r="JLU58"/>
      <c r="JLV58"/>
      <c r="JLW58"/>
      <c r="JLX58"/>
      <c r="JLY58"/>
      <c r="JLZ58"/>
      <c r="JMA58"/>
      <c r="JMB58"/>
      <c r="JMC58"/>
      <c r="JMD58"/>
      <c r="JME58"/>
      <c r="JMF58"/>
      <c r="JMG58"/>
      <c r="JMH58"/>
      <c r="JMI58"/>
      <c r="JMJ58"/>
      <c r="JMK58"/>
      <c r="JML58"/>
      <c r="JMM58"/>
      <c r="JMN58"/>
      <c r="JMO58"/>
      <c r="JMP58"/>
      <c r="JMQ58"/>
      <c r="JMR58"/>
      <c r="JMS58"/>
      <c r="JMT58"/>
      <c r="JMU58"/>
      <c r="JMV58"/>
      <c r="JMW58"/>
      <c r="JMX58"/>
      <c r="JMY58"/>
      <c r="JMZ58"/>
      <c r="JNA58"/>
      <c r="JNB58"/>
      <c r="JNC58"/>
      <c r="JND58"/>
      <c r="JNE58"/>
      <c r="JNF58"/>
      <c r="JNG58"/>
      <c r="JNH58"/>
      <c r="JNI58"/>
      <c r="JNJ58"/>
      <c r="JNK58"/>
      <c r="JNL58"/>
      <c r="JNM58"/>
      <c r="JNN58"/>
      <c r="JNO58"/>
      <c r="JNP58"/>
      <c r="JNQ58"/>
      <c r="JNR58"/>
      <c r="JNS58"/>
      <c r="JNT58"/>
      <c r="JNU58"/>
      <c r="JNV58"/>
      <c r="JNW58"/>
      <c r="JNX58"/>
      <c r="JNY58"/>
      <c r="JNZ58"/>
      <c r="JOA58"/>
      <c r="JOB58"/>
      <c r="JOC58"/>
      <c r="JOD58"/>
      <c r="JOE58"/>
      <c r="JOF58"/>
      <c r="JOG58"/>
      <c r="JOH58"/>
      <c r="JOI58"/>
      <c r="JOJ58"/>
      <c r="JOK58"/>
      <c r="JOL58"/>
      <c r="JOM58"/>
      <c r="JON58"/>
      <c r="JOO58"/>
      <c r="JOP58"/>
      <c r="JOQ58"/>
      <c r="JOR58"/>
      <c r="JOS58"/>
      <c r="JOT58"/>
      <c r="JOU58"/>
      <c r="JOV58"/>
      <c r="JOW58"/>
      <c r="JOX58"/>
      <c r="JOY58"/>
      <c r="JOZ58"/>
      <c r="JPA58"/>
      <c r="JPB58"/>
      <c r="JPC58"/>
      <c r="JPD58"/>
      <c r="JPE58"/>
      <c r="JPF58"/>
      <c r="JPG58"/>
      <c r="JPH58"/>
      <c r="JPI58"/>
      <c r="JPJ58"/>
      <c r="JPK58"/>
      <c r="JPL58"/>
      <c r="JPM58"/>
      <c r="JPN58"/>
      <c r="JPO58"/>
      <c r="JPP58"/>
      <c r="JPQ58"/>
      <c r="JPR58"/>
      <c r="JPS58"/>
      <c r="JPT58"/>
      <c r="JPU58"/>
      <c r="JPV58"/>
      <c r="JPW58"/>
      <c r="JPX58"/>
      <c r="JPY58"/>
      <c r="JPZ58"/>
      <c r="JQA58"/>
      <c r="JQB58"/>
      <c r="JQC58"/>
      <c r="JQD58"/>
      <c r="JQE58"/>
      <c r="JQF58"/>
      <c r="JQG58"/>
      <c r="JQH58"/>
      <c r="JQI58"/>
      <c r="JQJ58"/>
      <c r="JQK58"/>
      <c r="JQL58"/>
      <c r="JQM58"/>
      <c r="JQN58"/>
      <c r="JQO58"/>
      <c r="JQP58"/>
      <c r="JQQ58"/>
      <c r="JQR58"/>
      <c r="JQS58"/>
      <c r="JQT58"/>
      <c r="JQU58"/>
      <c r="JQV58"/>
      <c r="JQW58"/>
      <c r="JQX58"/>
      <c r="JQY58"/>
      <c r="JQZ58"/>
      <c r="JRA58"/>
      <c r="JRB58"/>
      <c r="JRC58"/>
      <c r="JRD58"/>
      <c r="JRE58"/>
      <c r="JRF58"/>
      <c r="JRG58"/>
      <c r="JRH58"/>
      <c r="JRI58"/>
      <c r="JRJ58"/>
      <c r="JRK58"/>
      <c r="JRL58"/>
      <c r="JRM58"/>
      <c r="JRN58"/>
      <c r="JRO58"/>
      <c r="JRP58"/>
      <c r="JRQ58"/>
      <c r="JRR58"/>
      <c r="JRS58"/>
      <c r="JRT58"/>
      <c r="JRU58"/>
      <c r="JRV58"/>
      <c r="JRW58"/>
      <c r="JRX58"/>
      <c r="JRY58"/>
      <c r="JRZ58"/>
      <c r="JSA58"/>
      <c r="JSB58"/>
      <c r="JSC58"/>
      <c r="JSD58"/>
      <c r="JSE58"/>
      <c r="JSF58"/>
      <c r="JSG58"/>
      <c r="JSH58"/>
      <c r="JSI58"/>
      <c r="JSJ58"/>
      <c r="JSK58"/>
      <c r="JSL58"/>
      <c r="JSM58"/>
      <c r="JSN58"/>
      <c r="JSO58"/>
      <c r="JSP58"/>
      <c r="JSQ58"/>
      <c r="JSR58"/>
      <c r="JSS58"/>
      <c r="JST58"/>
      <c r="JSU58"/>
      <c r="JSV58"/>
      <c r="JSW58"/>
      <c r="JSX58"/>
      <c r="JSY58"/>
      <c r="JSZ58"/>
      <c r="JTA58"/>
      <c r="JTB58"/>
      <c r="JTC58"/>
      <c r="JTD58"/>
      <c r="JTE58"/>
      <c r="JTF58"/>
      <c r="JTG58"/>
      <c r="JTH58"/>
      <c r="JTI58"/>
      <c r="JTJ58"/>
      <c r="JTK58"/>
      <c r="JTL58"/>
      <c r="JTM58"/>
      <c r="JTN58"/>
      <c r="JTO58"/>
      <c r="JTP58"/>
      <c r="JTQ58"/>
      <c r="JTR58"/>
      <c r="JTS58"/>
      <c r="JTT58"/>
      <c r="JTU58"/>
      <c r="JTV58"/>
      <c r="JTW58"/>
      <c r="JTX58"/>
      <c r="JTY58"/>
      <c r="JTZ58"/>
      <c r="JUA58"/>
      <c r="JUB58"/>
      <c r="JUC58"/>
      <c r="JUD58"/>
      <c r="JUE58"/>
      <c r="JUF58"/>
      <c r="JUG58"/>
      <c r="JUH58"/>
      <c r="JUI58"/>
      <c r="JUJ58"/>
      <c r="JUK58"/>
      <c r="JUL58"/>
      <c r="JUM58"/>
      <c r="JUN58"/>
      <c r="JUO58"/>
      <c r="JUP58"/>
      <c r="JUQ58"/>
      <c r="JUR58"/>
      <c r="JUS58"/>
      <c r="JUT58"/>
      <c r="JUU58"/>
      <c r="JUV58"/>
      <c r="JUW58"/>
      <c r="JUX58"/>
      <c r="JUY58"/>
      <c r="JUZ58"/>
      <c r="JVA58"/>
      <c r="JVB58"/>
      <c r="JVC58"/>
      <c r="JVD58"/>
      <c r="JVE58"/>
      <c r="JVF58"/>
      <c r="JVG58"/>
      <c r="JVH58"/>
      <c r="JVI58"/>
      <c r="JVJ58"/>
      <c r="JVK58"/>
      <c r="JVL58"/>
      <c r="JVM58"/>
      <c r="JVN58"/>
      <c r="JVO58"/>
      <c r="JVP58"/>
      <c r="JVQ58"/>
      <c r="JVR58"/>
      <c r="JVS58"/>
      <c r="JVT58"/>
      <c r="JVU58"/>
      <c r="JVV58"/>
      <c r="JVW58"/>
      <c r="JVX58"/>
      <c r="JVY58"/>
      <c r="JVZ58"/>
      <c r="JWA58"/>
      <c r="JWB58"/>
      <c r="JWC58"/>
      <c r="JWD58"/>
      <c r="JWE58"/>
      <c r="JWF58"/>
      <c r="JWG58"/>
      <c r="JWH58"/>
      <c r="JWI58"/>
      <c r="JWJ58"/>
      <c r="JWK58"/>
      <c r="JWL58"/>
      <c r="JWM58"/>
      <c r="JWN58"/>
      <c r="JWO58"/>
      <c r="JWP58"/>
      <c r="JWQ58"/>
      <c r="JWR58"/>
      <c r="JWS58"/>
      <c r="JWT58"/>
      <c r="JWU58"/>
      <c r="JWV58"/>
      <c r="JWW58"/>
      <c r="JWX58"/>
      <c r="JWY58"/>
      <c r="JWZ58"/>
      <c r="JXA58"/>
      <c r="JXB58"/>
      <c r="JXC58"/>
      <c r="JXD58"/>
      <c r="JXE58"/>
      <c r="JXF58"/>
      <c r="JXG58"/>
      <c r="JXH58"/>
      <c r="JXI58"/>
      <c r="JXJ58"/>
      <c r="JXK58"/>
      <c r="JXL58"/>
      <c r="JXM58"/>
      <c r="JXN58"/>
      <c r="JXO58"/>
      <c r="JXP58"/>
      <c r="JXQ58"/>
      <c r="JXR58"/>
      <c r="JXS58"/>
      <c r="JXT58"/>
      <c r="JXU58"/>
      <c r="JXV58"/>
      <c r="JXW58"/>
      <c r="JXX58"/>
      <c r="JXY58"/>
      <c r="JXZ58"/>
      <c r="JYA58"/>
      <c r="JYB58"/>
      <c r="JYC58"/>
      <c r="JYD58"/>
      <c r="JYE58"/>
      <c r="JYF58"/>
      <c r="JYG58"/>
      <c r="JYH58"/>
      <c r="JYI58"/>
      <c r="JYJ58"/>
      <c r="JYK58"/>
      <c r="JYL58"/>
      <c r="JYM58"/>
      <c r="JYN58"/>
      <c r="JYO58"/>
      <c r="JYP58"/>
      <c r="JYQ58"/>
      <c r="JYR58"/>
      <c r="JYS58"/>
      <c r="JYT58"/>
      <c r="JYU58"/>
      <c r="JYV58"/>
      <c r="JYW58"/>
      <c r="JYX58"/>
      <c r="JYY58"/>
      <c r="JYZ58"/>
      <c r="JZA58"/>
      <c r="JZB58"/>
      <c r="JZC58"/>
      <c r="JZD58"/>
      <c r="JZE58"/>
      <c r="JZF58"/>
      <c r="JZG58"/>
      <c r="JZH58"/>
      <c r="JZI58"/>
      <c r="JZJ58"/>
      <c r="JZK58"/>
      <c r="JZL58"/>
      <c r="JZM58"/>
      <c r="JZN58"/>
      <c r="JZO58"/>
      <c r="JZP58"/>
      <c r="JZQ58"/>
      <c r="JZR58"/>
      <c r="JZS58"/>
      <c r="JZT58"/>
      <c r="JZU58"/>
      <c r="JZV58"/>
      <c r="JZW58"/>
      <c r="JZX58"/>
      <c r="JZY58"/>
      <c r="JZZ58"/>
      <c r="KAA58"/>
      <c r="KAB58"/>
      <c r="KAC58"/>
      <c r="KAD58"/>
      <c r="KAE58"/>
      <c r="KAF58"/>
      <c r="KAG58"/>
      <c r="KAH58"/>
      <c r="KAI58"/>
      <c r="KAJ58"/>
      <c r="KAK58"/>
      <c r="KAL58"/>
      <c r="KAM58"/>
      <c r="KAN58"/>
      <c r="KAO58"/>
      <c r="KAP58"/>
      <c r="KAQ58"/>
      <c r="KAR58"/>
      <c r="KAS58"/>
      <c r="KAT58"/>
      <c r="KAU58"/>
      <c r="KAV58"/>
      <c r="KAW58"/>
      <c r="KAX58"/>
      <c r="KAY58"/>
      <c r="KAZ58"/>
      <c r="KBA58"/>
      <c r="KBB58"/>
      <c r="KBC58"/>
      <c r="KBD58"/>
      <c r="KBE58"/>
      <c r="KBF58"/>
      <c r="KBG58"/>
      <c r="KBH58"/>
      <c r="KBI58"/>
      <c r="KBJ58"/>
      <c r="KBK58"/>
      <c r="KBL58"/>
      <c r="KBM58"/>
      <c r="KBN58"/>
      <c r="KBO58"/>
      <c r="KBP58"/>
      <c r="KBQ58"/>
      <c r="KBR58"/>
      <c r="KBS58"/>
      <c r="KBT58"/>
      <c r="KBU58"/>
      <c r="KBV58"/>
      <c r="KBW58"/>
      <c r="KBX58"/>
      <c r="KBY58"/>
      <c r="KBZ58"/>
      <c r="KCA58"/>
      <c r="KCB58"/>
      <c r="KCC58"/>
      <c r="KCD58"/>
      <c r="KCE58"/>
      <c r="KCF58"/>
      <c r="KCG58"/>
      <c r="KCH58"/>
      <c r="KCI58"/>
      <c r="KCJ58"/>
      <c r="KCK58"/>
      <c r="KCL58"/>
      <c r="KCM58"/>
      <c r="KCN58"/>
      <c r="KCO58"/>
      <c r="KCP58"/>
      <c r="KCQ58"/>
      <c r="KCR58"/>
      <c r="KCS58"/>
      <c r="KCT58"/>
      <c r="KCU58"/>
      <c r="KCV58"/>
      <c r="KCW58"/>
      <c r="KCX58"/>
      <c r="KCY58"/>
      <c r="KCZ58"/>
      <c r="KDA58"/>
      <c r="KDB58"/>
      <c r="KDC58"/>
      <c r="KDD58"/>
      <c r="KDE58"/>
      <c r="KDF58"/>
      <c r="KDG58"/>
      <c r="KDH58"/>
      <c r="KDI58"/>
      <c r="KDJ58"/>
      <c r="KDK58"/>
      <c r="KDL58"/>
      <c r="KDM58"/>
      <c r="KDN58"/>
      <c r="KDO58"/>
      <c r="KDP58"/>
      <c r="KDQ58"/>
      <c r="KDR58"/>
      <c r="KDS58"/>
      <c r="KDT58"/>
      <c r="KDU58"/>
      <c r="KDV58"/>
      <c r="KDW58"/>
      <c r="KDX58"/>
      <c r="KDY58"/>
      <c r="KDZ58"/>
      <c r="KEA58"/>
      <c r="KEB58"/>
      <c r="KEC58"/>
      <c r="KED58"/>
      <c r="KEE58"/>
      <c r="KEF58"/>
      <c r="KEG58"/>
      <c r="KEH58"/>
      <c r="KEI58"/>
      <c r="KEJ58"/>
      <c r="KEK58"/>
      <c r="KEL58"/>
      <c r="KEM58"/>
      <c r="KEN58"/>
      <c r="KEO58"/>
      <c r="KEP58"/>
      <c r="KEQ58"/>
      <c r="KER58"/>
      <c r="KES58"/>
      <c r="KET58"/>
      <c r="KEU58"/>
      <c r="KEV58"/>
      <c r="KEW58"/>
      <c r="KEX58"/>
      <c r="KEY58"/>
      <c r="KEZ58"/>
      <c r="KFA58"/>
      <c r="KFB58"/>
      <c r="KFC58"/>
      <c r="KFD58"/>
      <c r="KFE58"/>
      <c r="KFF58"/>
      <c r="KFG58"/>
      <c r="KFH58"/>
      <c r="KFI58"/>
      <c r="KFJ58"/>
      <c r="KFK58"/>
      <c r="KFL58"/>
      <c r="KFM58"/>
      <c r="KFN58"/>
      <c r="KFO58"/>
      <c r="KFP58"/>
      <c r="KFQ58"/>
      <c r="KFR58"/>
      <c r="KFS58"/>
      <c r="KFT58"/>
      <c r="KFU58"/>
      <c r="KFV58"/>
      <c r="KFW58"/>
      <c r="KFX58"/>
      <c r="KFY58"/>
      <c r="KFZ58"/>
      <c r="KGA58"/>
      <c r="KGB58"/>
      <c r="KGC58"/>
      <c r="KGD58"/>
      <c r="KGE58"/>
      <c r="KGF58"/>
      <c r="KGG58"/>
      <c r="KGH58"/>
      <c r="KGI58"/>
      <c r="KGJ58"/>
      <c r="KGK58"/>
      <c r="KGL58"/>
      <c r="KGM58"/>
      <c r="KGN58"/>
      <c r="KGO58"/>
      <c r="KGP58"/>
      <c r="KGQ58"/>
      <c r="KGR58"/>
      <c r="KGS58"/>
      <c r="KGT58"/>
      <c r="KGU58"/>
      <c r="KGV58"/>
      <c r="KGW58"/>
      <c r="KGX58"/>
      <c r="KGY58"/>
      <c r="KGZ58"/>
      <c r="KHA58"/>
      <c r="KHB58"/>
      <c r="KHC58"/>
      <c r="KHD58"/>
      <c r="KHE58"/>
      <c r="KHF58"/>
      <c r="KHG58"/>
      <c r="KHH58"/>
      <c r="KHI58"/>
      <c r="KHJ58"/>
      <c r="KHK58"/>
      <c r="KHL58"/>
      <c r="KHM58"/>
      <c r="KHN58"/>
      <c r="KHO58"/>
      <c r="KHP58"/>
      <c r="KHQ58"/>
      <c r="KHR58"/>
      <c r="KHS58"/>
      <c r="KHT58"/>
      <c r="KHU58"/>
      <c r="KHV58"/>
      <c r="KHW58"/>
      <c r="KHX58"/>
      <c r="KHY58"/>
      <c r="KHZ58"/>
      <c r="KIA58"/>
      <c r="KIB58"/>
      <c r="KIC58"/>
      <c r="KID58"/>
      <c r="KIE58"/>
      <c r="KIF58"/>
      <c r="KIG58"/>
      <c r="KIH58"/>
      <c r="KII58"/>
      <c r="KIJ58"/>
      <c r="KIK58"/>
      <c r="KIL58"/>
      <c r="KIM58"/>
      <c r="KIN58"/>
      <c r="KIO58"/>
      <c r="KIP58"/>
      <c r="KIQ58"/>
      <c r="KIR58"/>
      <c r="KIS58"/>
      <c r="KIT58"/>
      <c r="KIU58"/>
      <c r="KIV58"/>
      <c r="KIW58"/>
      <c r="KIX58"/>
      <c r="KIY58"/>
      <c r="KIZ58"/>
      <c r="KJA58"/>
      <c r="KJB58"/>
      <c r="KJC58"/>
      <c r="KJD58"/>
      <c r="KJE58"/>
      <c r="KJF58"/>
      <c r="KJG58"/>
      <c r="KJH58"/>
      <c r="KJI58"/>
      <c r="KJJ58"/>
      <c r="KJK58"/>
      <c r="KJL58"/>
      <c r="KJM58"/>
      <c r="KJN58"/>
      <c r="KJO58"/>
      <c r="KJP58"/>
      <c r="KJQ58"/>
      <c r="KJR58"/>
      <c r="KJS58"/>
      <c r="KJT58"/>
      <c r="KJU58"/>
      <c r="KJV58"/>
      <c r="KJW58"/>
      <c r="KJX58"/>
      <c r="KJY58"/>
      <c r="KJZ58"/>
      <c r="KKA58"/>
      <c r="KKB58"/>
      <c r="KKC58"/>
      <c r="KKD58"/>
      <c r="KKE58"/>
      <c r="KKF58"/>
      <c r="KKG58"/>
      <c r="KKH58"/>
      <c r="KKI58"/>
      <c r="KKJ58"/>
      <c r="KKK58"/>
      <c r="KKL58"/>
      <c r="KKM58"/>
      <c r="KKN58"/>
      <c r="KKO58"/>
      <c r="KKP58"/>
      <c r="KKQ58"/>
      <c r="KKR58"/>
      <c r="KKS58"/>
      <c r="KKT58"/>
      <c r="KKU58"/>
      <c r="KKV58"/>
      <c r="KKW58"/>
      <c r="KKX58"/>
      <c r="KKY58"/>
      <c r="KKZ58"/>
      <c r="KLA58"/>
      <c r="KLB58"/>
      <c r="KLC58"/>
      <c r="KLD58"/>
      <c r="KLE58"/>
      <c r="KLF58"/>
      <c r="KLG58"/>
      <c r="KLH58"/>
      <c r="KLI58"/>
      <c r="KLJ58"/>
      <c r="KLK58"/>
      <c r="KLL58"/>
      <c r="KLM58"/>
      <c r="KLN58"/>
      <c r="KLO58"/>
      <c r="KLP58"/>
      <c r="KLQ58"/>
      <c r="KLR58"/>
      <c r="KLS58"/>
      <c r="KLT58"/>
      <c r="KLU58"/>
      <c r="KLV58"/>
      <c r="KLW58"/>
      <c r="KLX58"/>
      <c r="KLY58"/>
      <c r="KLZ58"/>
      <c r="KMA58"/>
      <c r="KMB58"/>
      <c r="KMC58"/>
      <c r="KMD58"/>
      <c r="KME58"/>
      <c r="KMF58"/>
      <c r="KMG58"/>
      <c r="KMH58"/>
      <c r="KMI58"/>
      <c r="KMJ58"/>
      <c r="KMK58"/>
      <c r="KML58"/>
      <c r="KMM58"/>
      <c r="KMN58"/>
      <c r="KMO58"/>
      <c r="KMP58"/>
      <c r="KMQ58"/>
      <c r="KMR58"/>
      <c r="KMS58"/>
      <c r="KMT58"/>
      <c r="KMU58"/>
      <c r="KMV58"/>
      <c r="KMW58"/>
      <c r="KMX58"/>
      <c r="KMY58"/>
      <c r="KMZ58"/>
      <c r="KNA58"/>
      <c r="KNB58"/>
      <c r="KNC58"/>
      <c r="KND58"/>
      <c r="KNE58"/>
      <c r="KNF58"/>
      <c r="KNG58"/>
      <c r="KNH58"/>
      <c r="KNI58"/>
      <c r="KNJ58"/>
      <c r="KNK58"/>
      <c r="KNL58"/>
      <c r="KNM58"/>
      <c r="KNN58"/>
      <c r="KNO58"/>
      <c r="KNP58"/>
      <c r="KNQ58"/>
      <c r="KNR58"/>
      <c r="KNS58"/>
      <c r="KNT58"/>
      <c r="KNU58"/>
      <c r="KNV58"/>
      <c r="KNW58"/>
      <c r="KNX58"/>
      <c r="KNY58"/>
      <c r="KNZ58"/>
      <c r="KOA58"/>
      <c r="KOB58"/>
      <c r="KOC58"/>
      <c r="KOD58"/>
      <c r="KOE58"/>
      <c r="KOF58"/>
      <c r="KOG58"/>
      <c r="KOH58"/>
      <c r="KOI58"/>
      <c r="KOJ58"/>
      <c r="KOK58"/>
      <c r="KOL58"/>
      <c r="KOM58"/>
      <c r="KON58"/>
      <c r="KOO58"/>
      <c r="KOP58"/>
      <c r="KOQ58"/>
      <c r="KOR58"/>
      <c r="KOS58"/>
      <c r="KOT58"/>
      <c r="KOU58"/>
      <c r="KOV58"/>
      <c r="KOW58"/>
      <c r="KOX58"/>
      <c r="KOY58"/>
      <c r="KOZ58"/>
      <c r="KPA58"/>
      <c r="KPB58"/>
      <c r="KPC58"/>
      <c r="KPD58"/>
      <c r="KPE58"/>
      <c r="KPF58"/>
      <c r="KPG58"/>
      <c r="KPH58"/>
      <c r="KPI58"/>
      <c r="KPJ58"/>
      <c r="KPK58"/>
      <c r="KPL58"/>
      <c r="KPM58"/>
      <c r="KPN58"/>
      <c r="KPO58"/>
      <c r="KPP58"/>
      <c r="KPQ58"/>
      <c r="KPR58"/>
      <c r="KPS58"/>
      <c r="KPT58"/>
      <c r="KPU58"/>
      <c r="KPV58"/>
      <c r="KPW58"/>
      <c r="KPX58"/>
      <c r="KPY58"/>
      <c r="KPZ58"/>
      <c r="KQA58"/>
      <c r="KQB58"/>
      <c r="KQC58"/>
      <c r="KQD58"/>
      <c r="KQE58"/>
      <c r="KQF58"/>
      <c r="KQG58"/>
      <c r="KQH58"/>
      <c r="KQI58"/>
      <c r="KQJ58"/>
      <c r="KQK58"/>
      <c r="KQL58"/>
      <c r="KQM58"/>
      <c r="KQN58"/>
      <c r="KQO58"/>
      <c r="KQP58"/>
      <c r="KQQ58"/>
      <c r="KQR58"/>
      <c r="KQS58"/>
      <c r="KQT58"/>
      <c r="KQU58"/>
      <c r="KQV58"/>
      <c r="KQW58"/>
      <c r="KQX58"/>
      <c r="KQY58"/>
      <c r="KQZ58"/>
      <c r="KRA58"/>
      <c r="KRB58"/>
      <c r="KRC58"/>
      <c r="KRD58"/>
      <c r="KRE58"/>
      <c r="KRF58"/>
      <c r="KRG58"/>
      <c r="KRH58"/>
      <c r="KRI58"/>
      <c r="KRJ58"/>
      <c r="KRK58"/>
      <c r="KRL58"/>
      <c r="KRM58"/>
      <c r="KRN58"/>
      <c r="KRO58"/>
      <c r="KRP58"/>
      <c r="KRQ58"/>
      <c r="KRR58"/>
      <c r="KRS58"/>
      <c r="KRT58"/>
      <c r="KRU58"/>
      <c r="KRV58"/>
      <c r="KRW58"/>
      <c r="KRX58"/>
      <c r="KRY58"/>
      <c r="KRZ58"/>
      <c r="KSA58"/>
      <c r="KSB58"/>
      <c r="KSC58"/>
      <c r="KSD58"/>
      <c r="KSE58"/>
      <c r="KSF58"/>
      <c r="KSG58"/>
      <c r="KSH58"/>
      <c r="KSI58"/>
      <c r="KSJ58"/>
      <c r="KSK58"/>
      <c r="KSL58"/>
      <c r="KSM58"/>
      <c r="KSN58"/>
      <c r="KSO58"/>
      <c r="KSP58"/>
      <c r="KSQ58"/>
      <c r="KSR58"/>
      <c r="KSS58"/>
      <c r="KST58"/>
      <c r="KSU58"/>
      <c r="KSV58"/>
      <c r="KSW58"/>
      <c r="KSX58"/>
      <c r="KSY58"/>
      <c r="KSZ58"/>
      <c r="KTA58"/>
      <c r="KTB58"/>
      <c r="KTC58"/>
      <c r="KTD58"/>
      <c r="KTE58"/>
      <c r="KTF58"/>
      <c r="KTG58"/>
      <c r="KTH58"/>
      <c r="KTI58"/>
      <c r="KTJ58"/>
      <c r="KTK58"/>
      <c r="KTL58"/>
      <c r="KTM58"/>
      <c r="KTN58"/>
      <c r="KTO58"/>
      <c r="KTP58"/>
      <c r="KTQ58"/>
      <c r="KTR58"/>
      <c r="KTS58"/>
      <c r="KTT58"/>
      <c r="KTU58"/>
      <c r="KTV58"/>
      <c r="KTW58"/>
      <c r="KTX58"/>
      <c r="KTY58"/>
      <c r="KTZ58"/>
      <c r="KUA58"/>
      <c r="KUB58"/>
      <c r="KUC58"/>
      <c r="KUD58"/>
      <c r="KUE58"/>
      <c r="KUF58"/>
      <c r="KUG58"/>
      <c r="KUH58"/>
      <c r="KUI58"/>
      <c r="KUJ58"/>
      <c r="KUK58"/>
      <c r="KUL58"/>
      <c r="KUM58"/>
      <c r="KUN58"/>
      <c r="KUO58"/>
      <c r="KUP58"/>
      <c r="KUQ58"/>
      <c r="KUR58"/>
      <c r="KUS58"/>
      <c r="KUT58"/>
      <c r="KUU58"/>
      <c r="KUV58"/>
      <c r="KUW58"/>
      <c r="KUX58"/>
      <c r="KUY58"/>
      <c r="KUZ58"/>
      <c r="KVA58"/>
      <c r="KVB58"/>
      <c r="KVC58"/>
      <c r="KVD58"/>
      <c r="KVE58"/>
      <c r="KVF58"/>
      <c r="KVG58"/>
      <c r="KVH58"/>
      <c r="KVI58"/>
      <c r="KVJ58"/>
      <c r="KVK58"/>
      <c r="KVL58"/>
      <c r="KVM58"/>
      <c r="KVN58"/>
      <c r="KVO58"/>
      <c r="KVP58"/>
      <c r="KVQ58"/>
      <c r="KVR58"/>
      <c r="KVS58"/>
      <c r="KVT58"/>
      <c r="KVU58"/>
      <c r="KVV58"/>
      <c r="KVW58"/>
      <c r="KVX58"/>
      <c r="KVY58"/>
      <c r="KVZ58"/>
      <c r="KWA58"/>
      <c r="KWB58"/>
      <c r="KWC58"/>
      <c r="KWD58"/>
      <c r="KWE58"/>
      <c r="KWF58"/>
      <c r="KWG58"/>
      <c r="KWH58"/>
      <c r="KWI58"/>
      <c r="KWJ58"/>
      <c r="KWK58"/>
      <c r="KWL58"/>
      <c r="KWM58"/>
      <c r="KWN58"/>
      <c r="KWO58"/>
      <c r="KWP58"/>
      <c r="KWQ58"/>
      <c r="KWR58"/>
      <c r="KWS58"/>
      <c r="KWT58"/>
      <c r="KWU58"/>
      <c r="KWV58"/>
      <c r="KWW58"/>
      <c r="KWX58"/>
      <c r="KWY58"/>
      <c r="KWZ58"/>
      <c r="KXA58"/>
      <c r="KXB58"/>
      <c r="KXC58"/>
      <c r="KXD58"/>
      <c r="KXE58"/>
      <c r="KXF58"/>
      <c r="KXG58"/>
      <c r="KXH58"/>
      <c r="KXI58"/>
      <c r="KXJ58"/>
      <c r="KXK58"/>
      <c r="KXL58"/>
      <c r="KXM58"/>
      <c r="KXN58"/>
      <c r="KXO58"/>
      <c r="KXP58"/>
      <c r="KXQ58"/>
      <c r="KXR58"/>
      <c r="KXS58"/>
      <c r="KXT58"/>
      <c r="KXU58"/>
      <c r="KXV58"/>
      <c r="KXW58"/>
      <c r="KXX58"/>
      <c r="KXY58"/>
      <c r="KXZ58"/>
      <c r="KYA58"/>
      <c r="KYB58"/>
      <c r="KYC58"/>
      <c r="KYD58"/>
      <c r="KYE58"/>
      <c r="KYF58"/>
      <c r="KYG58"/>
      <c r="KYH58"/>
      <c r="KYI58"/>
      <c r="KYJ58"/>
      <c r="KYK58"/>
      <c r="KYL58"/>
      <c r="KYM58"/>
      <c r="KYN58"/>
      <c r="KYO58"/>
      <c r="KYP58"/>
      <c r="KYQ58"/>
      <c r="KYR58"/>
      <c r="KYS58"/>
      <c r="KYT58"/>
      <c r="KYU58"/>
      <c r="KYV58"/>
      <c r="KYW58"/>
      <c r="KYX58"/>
      <c r="KYY58"/>
      <c r="KYZ58"/>
      <c r="KZA58"/>
      <c r="KZB58"/>
      <c r="KZC58"/>
      <c r="KZD58"/>
      <c r="KZE58"/>
      <c r="KZF58"/>
      <c r="KZG58"/>
      <c r="KZH58"/>
      <c r="KZI58"/>
      <c r="KZJ58"/>
      <c r="KZK58"/>
      <c r="KZL58"/>
      <c r="KZM58"/>
      <c r="KZN58"/>
      <c r="KZO58"/>
      <c r="KZP58"/>
      <c r="KZQ58"/>
      <c r="KZR58"/>
      <c r="KZS58"/>
      <c r="KZT58"/>
      <c r="KZU58"/>
      <c r="KZV58"/>
      <c r="KZW58"/>
      <c r="KZX58"/>
      <c r="KZY58"/>
      <c r="KZZ58"/>
      <c r="LAA58"/>
      <c r="LAB58"/>
      <c r="LAC58"/>
      <c r="LAD58"/>
      <c r="LAE58"/>
      <c r="LAF58"/>
      <c r="LAG58"/>
      <c r="LAH58"/>
      <c r="LAI58"/>
      <c r="LAJ58"/>
      <c r="LAK58"/>
      <c r="LAL58"/>
      <c r="LAM58"/>
      <c r="LAN58"/>
      <c r="LAO58"/>
      <c r="LAP58"/>
      <c r="LAQ58"/>
      <c r="LAR58"/>
      <c r="LAS58"/>
      <c r="LAT58"/>
      <c r="LAU58"/>
      <c r="LAV58"/>
      <c r="LAW58"/>
      <c r="LAX58"/>
      <c r="LAY58"/>
      <c r="LAZ58"/>
      <c r="LBA58"/>
      <c r="LBB58"/>
      <c r="LBC58"/>
      <c r="LBD58"/>
      <c r="LBE58"/>
      <c r="LBF58"/>
      <c r="LBG58"/>
      <c r="LBH58"/>
      <c r="LBI58"/>
      <c r="LBJ58"/>
      <c r="LBK58"/>
      <c r="LBL58"/>
      <c r="LBM58"/>
      <c r="LBN58"/>
      <c r="LBO58"/>
      <c r="LBP58"/>
      <c r="LBQ58"/>
      <c r="LBR58"/>
      <c r="LBS58"/>
      <c r="LBT58"/>
      <c r="LBU58"/>
      <c r="LBV58"/>
      <c r="LBW58"/>
      <c r="LBX58"/>
      <c r="LBY58"/>
      <c r="LBZ58"/>
      <c r="LCA58"/>
      <c r="LCB58"/>
      <c r="LCC58"/>
      <c r="LCD58"/>
      <c r="LCE58"/>
      <c r="LCF58"/>
      <c r="LCG58"/>
      <c r="LCH58"/>
      <c r="LCI58"/>
      <c r="LCJ58"/>
      <c r="LCK58"/>
      <c r="LCL58"/>
      <c r="LCM58"/>
      <c r="LCN58"/>
      <c r="LCO58"/>
      <c r="LCP58"/>
      <c r="LCQ58"/>
      <c r="LCR58"/>
      <c r="LCS58"/>
      <c r="LCT58"/>
      <c r="LCU58"/>
      <c r="LCV58"/>
      <c r="LCW58"/>
      <c r="LCX58"/>
      <c r="LCY58"/>
      <c r="LCZ58"/>
      <c r="LDA58"/>
      <c r="LDB58"/>
      <c r="LDC58"/>
      <c r="LDD58"/>
      <c r="LDE58"/>
      <c r="LDF58"/>
      <c r="LDG58"/>
      <c r="LDH58"/>
      <c r="LDI58"/>
      <c r="LDJ58"/>
      <c r="LDK58"/>
      <c r="LDL58"/>
      <c r="LDM58"/>
      <c r="LDN58"/>
      <c r="LDO58"/>
      <c r="LDP58"/>
      <c r="LDQ58"/>
      <c r="LDR58"/>
      <c r="LDS58"/>
      <c r="LDT58"/>
      <c r="LDU58"/>
      <c r="LDV58"/>
      <c r="LDW58"/>
      <c r="LDX58"/>
      <c r="LDY58"/>
      <c r="LDZ58"/>
      <c r="LEA58"/>
      <c r="LEB58"/>
      <c r="LEC58"/>
      <c r="LED58"/>
      <c r="LEE58"/>
      <c r="LEF58"/>
      <c r="LEG58"/>
      <c r="LEH58"/>
      <c r="LEI58"/>
      <c r="LEJ58"/>
      <c r="LEK58"/>
      <c r="LEL58"/>
      <c r="LEM58"/>
      <c r="LEN58"/>
      <c r="LEO58"/>
      <c r="LEP58"/>
      <c r="LEQ58"/>
      <c r="LER58"/>
      <c r="LES58"/>
      <c r="LET58"/>
      <c r="LEU58"/>
      <c r="LEV58"/>
      <c r="LEW58"/>
      <c r="LEX58"/>
      <c r="LEY58"/>
      <c r="LEZ58"/>
      <c r="LFA58"/>
      <c r="LFB58"/>
      <c r="LFC58"/>
      <c r="LFD58"/>
      <c r="LFE58"/>
      <c r="LFF58"/>
      <c r="LFG58"/>
      <c r="LFH58"/>
      <c r="LFI58"/>
      <c r="LFJ58"/>
      <c r="LFK58"/>
      <c r="LFL58"/>
      <c r="LFM58"/>
      <c r="LFN58"/>
      <c r="LFO58"/>
      <c r="LFP58"/>
      <c r="LFQ58"/>
      <c r="LFR58"/>
      <c r="LFS58"/>
      <c r="LFT58"/>
      <c r="LFU58"/>
      <c r="LFV58"/>
      <c r="LFW58"/>
      <c r="LFX58"/>
      <c r="LFY58"/>
      <c r="LFZ58"/>
      <c r="LGA58"/>
      <c r="LGB58"/>
      <c r="LGC58"/>
      <c r="LGD58"/>
      <c r="LGE58"/>
      <c r="LGF58"/>
      <c r="LGG58"/>
      <c r="LGH58"/>
      <c r="LGI58"/>
      <c r="LGJ58"/>
      <c r="LGK58"/>
      <c r="LGL58"/>
      <c r="LGM58"/>
      <c r="LGN58"/>
      <c r="LGO58"/>
      <c r="LGP58"/>
      <c r="LGQ58"/>
      <c r="LGR58"/>
      <c r="LGS58"/>
      <c r="LGT58"/>
      <c r="LGU58"/>
      <c r="LGV58"/>
      <c r="LGW58"/>
      <c r="LGX58"/>
      <c r="LGY58"/>
      <c r="LGZ58"/>
      <c r="LHA58"/>
      <c r="LHB58"/>
      <c r="LHC58"/>
      <c r="LHD58"/>
      <c r="LHE58"/>
      <c r="LHF58"/>
      <c r="LHG58"/>
      <c r="LHH58"/>
      <c r="LHI58"/>
      <c r="LHJ58"/>
      <c r="LHK58"/>
      <c r="LHL58"/>
      <c r="LHM58"/>
      <c r="LHN58"/>
      <c r="LHO58"/>
      <c r="LHP58"/>
      <c r="LHQ58"/>
      <c r="LHR58"/>
      <c r="LHS58"/>
      <c r="LHT58"/>
      <c r="LHU58"/>
      <c r="LHV58"/>
      <c r="LHW58"/>
      <c r="LHX58"/>
      <c r="LHY58"/>
      <c r="LHZ58"/>
      <c r="LIA58"/>
      <c r="LIB58"/>
      <c r="LIC58"/>
      <c r="LID58"/>
      <c r="LIE58"/>
      <c r="LIF58"/>
      <c r="LIG58"/>
      <c r="LIH58"/>
      <c r="LII58"/>
      <c r="LIJ58"/>
      <c r="LIK58"/>
      <c r="LIL58"/>
      <c r="LIM58"/>
      <c r="LIN58"/>
      <c r="LIO58"/>
      <c r="LIP58"/>
      <c r="LIQ58"/>
      <c r="LIR58"/>
      <c r="LIS58"/>
      <c r="LIT58"/>
      <c r="LIU58"/>
      <c r="LIV58"/>
      <c r="LIW58"/>
      <c r="LIX58"/>
      <c r="LIY58"/>
      <c r="LIZ58"/>
      <c r="LJA58"/>
      <c r="LJB58"/>
      <c r="LJC58"/>
      <c r="LJD58"/>
      <c r="LJE58"/>
      <c r="LJF58"/>
      <c r="LJG58"/>
      <c r="LJH58"/>
      <c r="LJI58"/>
      <c r="LJJ58"/>
      <c r="LJK58"/>
      <c r="LJL58"/>
      <c r="LJM58"/>
      <c r="LJN58"/>
      <c r="LJO58"/>
      <c r="LJP58"/>
      <c r="LJQ58"/>
      <c r="LJR58"/>
      <c r="LJS58"/>
      <c r="LJT58"/>
      <c r="LJU58"/>
      <c r="LJV58"/>
      <c r="LJW58"/>
      <c r="LJX58"/>
      <c r="LJY58"/>
      <c r="LJZ58"/>
      <c r="LKA58"/>
      <c r="LKB58"/>
      <c r="LKC58"/>
      <c r="LKD58"/>
      <c r="LKE58"/>
      <c r="LKF58"/>
      <c r="LKG58"/>
      <c r="LKH58"/>
      <c r="LKI58"/>
      <c r="LKJ58"/>
      <c r="LKK58"/>
      <c r="LKL58"/>
      <c r="LKM58"/>
      <c r="LKN58"/>
      <c r="LKO58"/>
      <c r="LKP58"/>
      <c r="LKQ58"/>
      <c r="LKR58"/>
      <c r="LKS58"/>
      <c r="LKT58"/>
      <c r="LKU58"/>
      <c r="LKV58"/>
      <c r="LKW58"/>
      <c r="LKX58"/>
      <c r="LKY58"/>
      <c r="LKZ58"/>
      <c r="LLA58"/>
      <c r="LLB58"/>
      <c r="LLC58"/>
      <c r="LLD58"/>
      <c r="LLE58"/>
      <c r="LLF58"/>
      <c r="LLG58"/>
      <c r="LLH58"/>
      <c r="LLI58"/>
      <c r="LLJ58"/>
      <c r="LLK58"/>
      <c r="LLL58"/>
      <c r="LLM58"/>
      <c r="LLN58"/>
      <c r="LLO58"/>
      <c r="LLP58"/>
      <c r="LLQ58"/>
      <c r="LLR58"/>
      <c r="LLS58"/>
      <c r="LLT58"/>
      <c r="LLU58"/>
      <c r="LLV58"/>
      <c r="LLW58"/>
      <c r="LLX58"/>
      <c r="LLY58"/>
      <c r="LLZ58"/>
      <c r="LMA58"/>
      <c r="LMB58"/>
      <c r="LMC58"/>
      <c r="LMD58"/>
      <c r="LME58"/>
      <c r="LMF58"/>
      <c r="LMG58"/>
      <c r="LMH58"/>
      <c r="LMI58"/>
      <c r="LMJ58"/>
      <c r="LMK58"/>
      <c r="LML58"/>
      <c r="LMM58"/>
      <c r="LMN58"/>
      <c r="LMO58"/>
      <c r="LMP58"/>
      <c r="LMQ58"/>
      <c r="LMR58"/>
      <c r="LMS58"/>
      <c r="LMT58"/>
      <c r="LMU58"/>
      <c r="LMV58"/>
      <c r="LMW58"/>
      <c r="LMX58"/>
      <c r="LMY58"/>
      <c r="LMZ58"/>
      <c r="LNA58"/>
      <c r="LNB58"/>
      <c r="LNC58"/>
      <c r="LND58"/>
      <c r="LNE58"/>
      <c r="LNF58"/>
      <c r="LNG58"/>
      <c r="LNH58"/>
      <c r="LNI58"/>
      <c r="LNJ58"/>
      <c r="LNK58"/>
      <c r="LNL58"/>
      <c r="LNM58"/>
      <c r="LNN58"/>
      <c r="LNO58"/>
      <c r="LNP58"/>
      <c r="LNQ58"/>
      <c r="LNR58"/>
      <c r="LNS58"/>
      <c r="LNT58"/>
      <c r="LNU58"/>
      <c r="LNV58"/>
      <c r="LNW58"/>
      <c r="LNX58"/>
      <c r="LNY58"/>
      <c r="LNZ58"/>
      <c r="LOA58"/>
      <c r="LOB58"/>
      <c r="LOC58"/>
      <c r="LOD58"/>
      <c r="LOE58"/>
      <c r="LOF58"/>
      <c r="LOG58"/>
      <c r="LOH58"/>
      <c r="LOI58"/>
      <c r="LOJ58"/>
      <c r="LOK58"/>
      <c r="LOL58"/>
      <c r="LOM58"/>
      <c r="LON58"/>
      <c r="LOO58"/>
      <c r="LOP58"/>
      <c r="LOQ58"/>
      <c r="LOR58"/>
      <c r="LOS58"/>
      <c r="LOT58"/>
      <c r="LOU58"/>
      <c r="LOV58"/>
      <c r="LOW58"/>
      <c r="LOX58"/>
      <c r="LOY58"/>
      <c r="LOZ58"/>
      <c r="LPA58"/>
      <c r="LPB58"/>
      <c r="LPC58"/>
      <c r="LPD58"/>
      <c r="LPE58"/>
      <c r="LPF58"/>
      <c r="LPG58"/>
      <c r="LPH58"/>
      <c r="LPI58"/>
      <c r="LPJ58"/>
      <c r="LPK58"/>
      <c r="LPL58"/>
      <c r="LPM58"/>
      <c r="LPN58"/>
      <c r="LPO58"/>
      <c r="LPP58"/>
      <c r="LPQ58"/>
      <c r="LPR58"/>
      <c r="LPS58"/>
      <c r="LPT58"/>
      <c r="LPU58"/>
      <c r="LPV58"/>
      <c r="LPW58"/>
      <c r="LPX58"/>
      <c r="LPY58"/>
      <c r="LPZ58"/>
      <c r="LQA58"/>
      <c r="LQB58"/>
      <c r="LQC58"/>
      <c r="LQD58"/>
      <c r="LQE58"/>
      <c r="LQF58"/>
      <c r="LQG58"/>
      <c r="LQH58"/>
      <c r="LQI58"/>
      <c r="LQJ58"/>
      <c r="LQK58"/>
      <c r="LQL58"/>
      <c r="LQM58"/>
      <c r="LQN58"/>
      <c r="LQO58"/>
      <c r="LQP58"/>
      <c r="LQQ58"/>
      <c r="LQR58"/>
      <c r="LQS58"/>
      <c r="LQT58"/>
      <c r="LQU58"/>
      <c r="LQV58"/>
      <c r="LQW58"/>
      <c r="LQX58"/>
      <c r="LQY58"/>
      <c r="LQZ58"/>
      <c r="LRA58"/>
      <c r="LRB58"/>
      <c r="LRC58"/>
      <c r="LRD58"/>
      <c r="LRE58"/>
      <c r="LRF58"/>
      <c r="LRG58"/>
      <c r="LRH58"/>
      <c r="LRI58"/>
      <c r="LRJ58"/>
      <c r="LRK58"/>
      <c r="LRL58"/>
      <c r="LRM58"/>
      <c r="LRN58"/>
      <c r="LRO58"/>
      <c r="LRP58"/>
      <c r="LRQ58"/>
      <c r="LRR58"/>
      <c r="LRS58"/>
      <c r="LRT58"/>
      <c r="LRU58"/>
      <c r="LRV58"/>
      <c r="LRW58"/>
      <c r="LRX58"/>
      <c r="LRY58"/>
      <c r="LRZ58"/>
      <c r="LSA58"/>
      <c r="LSB58"/>
      <c r="LSC58"/>
      <c r="LSD58"/>
      <c r="LSE58"/>
      <c r="LSF58"/>
      <c r="LSG58"/>
      <c r="LSH58"/>
      <c r="LSI58"/>
      <c r="LSJ58"/>
      <c r="LSK58"/>
      <c r="LSL58"/>
      <c r="LSM58"/>
      <c r="LSN58"/>
      <c r="LSO58"/>
      <c r="LSP58"/>
      <c r="LSQ58"/>
      <c r="LSR58"/>
      <c r="LSS58"/>
      <c r="LST58"/>
      <c r="LSU58"/>
      <c r="LSV58"/>
      <c r="LSW58"/>
      <c r="LSX58"/>
      <c r="LSY58"/>
      <c r="LSZ58"/>
      <c r="LTA58"/>
      <c r="LTB58"/>
      <c r="LTC58"/>
      <c r="LTD58"/>
      <c r="LTE58"/>
      <c r="LTF58"/>
      <c r="LTG58"/>
      <c r="LTH58"/>
      <c r="LTI58"/>
      <c r="LTJ58"/>
      <c r="LTK58"/>
      <c r="LTL58"/>
      <c r="LTM58"/>
      <c r="LTN58"/>
      <c r="LTO58"/>
      <c r="LTP58"/>
      <c r="LTQ58"/>
      <c r="LTR58"/>
      <c r="LTS58"/>
      <c r="LTT58"/>
      <c r="LTU58"/>
      <c r="LTV58"/>
      <c r="LTW58"/>
      <c r="LTX58"/>
      <c r="LTY58"/>
      <c r="LTZ58"/>
      <c r="LUA58"/>
      <c r="LUB58"/>
      <c r="LUC58"/>
      <c r="LUD58"/>
      <c r="LUE58"/>
      <c r="LUF58"/>
      <c r="LUG58"/>
      <c r="LUH58"/>
      <c r="LUI58"/>
      <c r="LUJ58"/>
      <c r="LUK58"/>
      <c r="LUL58"/>
      <c r="LUM58"/>
      <c r="LUN58"/>
      <c r="LUO58"/>
      <c r="LUP58"/>
      <c r="LUQ58"/>
      <c r="LUR58"/>
      <c r="LUS58"/>
      <c r="LUT58"/>
      <c r="LUU58"/>
      <c r="LUV58"/>
      <c r="LUW58"/>
      <c r="LUX58"/>
      <c r="LUY58"/>
      <c r="LUZ58"/>
      <c r="LVA58"/>
      <c r="LVB58"/>
      <c r="LVC58"/>
      <c r="LVD58"/>
      <c r="LVE58"/>
      <c r="LVF58"/>
      <c r="LVG58"/>
      <c r="LVH58"/>
      <c r="LVI58"/>
      <c r="LVJ58"/>
      <c r="LVK58"/>
      <c r="LVL58"/>
      <c r="LVM58"/>
      <c r="LVN58"/>
      <c r="LVO58"/>
      <c r="LVP58"/>
      <c r="LVQ58"/>
      <c r="LVR58"/>
      <c r="LVS58"/>
      <c r="LVT58"/>
      <c r="LVU58"/>
      <c r="LVV58"/>
      <c r="LVW58"/>
      <c r="LVX58"/>
      <c r="LVY58"/>
      <c r="LVZ58"/>
      <c r="LWA58"/>
      <c r="LWB58"/>
      <c r="LWC58"/>
      <c r="LWD58"/>
      <c r="LWE58"/>
      <c r="LWF58"/>
      <c r="LWG58"/>
      <c r="LWH58"/>
      <c r="LWI58"/>
      <c r="LWJ58"/>
      <c r="LWK58"/>
      <c r="LWL58"/>
      <c r="LWM58"/>
      <c r="LWN58"/>
      <c r="LWO58"/>
      <c r="LWP58"/>
      <c r="LWQ58"/>
      <c r="LWR58"/>
      <c r="LWS58"/>
      <c r="LWT58"/>
      <c r="LWU58"/>
      <c r="LWV58"/>
      <c r="LWW58"/>
      <c r="LWX58"/>
      <c r="LWY58"/>
      <c r="LWZ58"/>
      <c r="LXA58"/>
      <c r="LXB58"/>
      <c r="LXC58"/>
      <c r="LXD58"/>
      <c r="LXE58"/>
      <c r="LXF58"/>
      <c r="LXG58"/>
      <c r="LXH58"/>
      <c r="LXI58"/>
      <c r="LXJ58"/>
      <c r="LXK58"/>
      <c r="LXL58"/>
      <c r="LXM58"/>
      <c r="LXN58"/>
      <c r="LXO58"/>
      <c r="LXP58"/>
      <c r="LXQ58"/>
      <c r="LXR58"/>
      <c r="LXS58"/>
      <c r="LXT58"/>
      <c r="LXU58"/>
      <c r="LXV58"/>
      <c r="LXW58"/>
      <c r="LXX58"/>
      <c r="LXY58"/>
      <c r="LXZ58"/>
      <c r="LYA58"/>
      <c r="LYB58"/>
      <c r="LYC58"/>
      <c r="LYD58"/>
      <c r="LYE58"/>
      <c r="LYF58"/>
      <c r="LYG58"/>
      <c r="LYH58"/>
      <c r="LYI58"/>
      <c r="LYJ58"/>
      <c r="LYK58"/>
      <c r="LYL58"/>
      <c r="LYM58"/>
      <c r="LYN58"/>
      <c r="LYO58"/>
      <c r="LYP58"/>
      <c r="LYQ58"/>
      <c r="LYR58"/>
      <c r="LYS58"/>
      <c r="LYT58"/>
      <c r="LYU58"/>
      <c r="LYV58"/>
      <c r="LYW58"/>
      <c r="LYX58"/>
      <c r="LYY58"/>
      <c r="LYZ58"/>
      <c r="LZA58"/>
      <c r="LZB58"/>
      <c r="LZC58"/>
      <c r="LZD58"/>
      <c r="LZE58"/>
      <c r="LZF58"/>
      <c r="LZG58"/>
      <c r="LZH58"/>
      <c r="LZI58"/>
      <c r="LZJ58"/>
      <c r="LZK58"/>
      <c r="LZL58"/>
      <c r="LZM58"/>
      <c r="LZN58"/>
      <c r="LZO58"/>
      <c r="LZP58"/>
      <c r="LZQ58"/>
      <c r="LZR58"/>
      <c r="LZS58"/>
      <c r="LZT58"/>
      <c r="LZU58"/>
      <c r="LZV58"/>
      <c r="LZW58"/>
      <c r="LZX58"/>
      <c r="LZY58"/>
      <c r="LZZ58"/>
      <c r="MAA58"/>
      <c r="MAB58"/>
      <c r="MAC58"/>
      <c r="MAD58"/>
      <c r="MAE58"/>
      <c r="MAF58"/>
      <c r="MAG58"/>
      <c r="MAH58"/>
      <c r="MAI58"/>
      <c r="MAJ58"/>
      <c r="MAK58"/>
      <c r="MAL58"/>
      <c r="MAM58"/>
      <c r="MAN58"/>
      <c r="MAO58"/>
      <c r="MAP58"/>
      <c r="MAQ58"/>
      <c r="MAR58"/>
      <c r="MAS58"/>
      <c r="MAT58"/>
      <c r="MAU58"/>
      <c r="MAV58"/>
      <c r="MAW58"/>
      <c r="MAX58"/>
      <c r="MAY58"/>
      <c r="MAZ58"/>
      <c r="MBA58"/>
      <c r="MBB58"/>
      <c r="MBC58"/>
      <c r="MBD58"/>
      <c r="MBE58"/>
      <c r="MBF58"/>
      <c r="MBG58"/>
      <c r="MBH58"/>
      <c r="MBI58"/>
      <c r="MBJ58"/>
      <c r="MBK58"/>
      <c r="MBL58"/>
      <c r="MBM58"/>
      <c r="MBN58"/>
      <c r="MBO58"/>
      <c r="MBP58"/>
      <c r="MBQ58"/>
      <c r="MBR58"/>
      <c r="MBS58"/>
      <c r="MBT58"/>
      <c r="MBU58"/>
      <c r="MBV58"/>
      <c r="MBW58"/>
      <c r="MBX58"/>
      <c r="MBY58"/>
      <c r="MBZ58"/>
      <c r="MCA58"/>
      <c r="MCB58"/>
      <c r="MCC58"/>
      <c r="MCD58"/>
      <c r="MCE58"/>
      <c r="MCF58"/>
      <c r="MCG58"/>
      <c r="MCH58"/>
      <c r="MCI58"/>
      <c r="MCJ58"/>
      <c r="MCK58"/>
      <c r="MCL58"/>
      <c r="MCM58"/>
      <c r="MCN58"/>
      <c r="MCO58"/>
      <c r="MCP58"/>
      <c r="MCQ58"/>
      <c r="MCR58"/>
      <c r="MCS58"/>
      <c r="MCT58"/>
      <c r="MCU58"/>
      <c r="MCV58"/>
      <c r="MCW58"/>
      <c r="MCX58"/>
      <c r="MCY58"/>
      <c r="MCZ58"/>
      <c r="MDA58"/>
      <c r="MDB58"/>
      <c r="MDC58"/>
      <c r="MDD58"/>
      <c r="MDE58"/>
      <c r="MDF58"/>
      <c r="MDG58"/>
      <c r="MDH58"/>
      <c r="MDI58"/>
      <c r="MDJ58"/>
      <c r="MDK58"/>
      <c r="MDL58"/>
      <c r="MDM58"/>
      <c r="MDN58"/>
      <c r="MDO58"/>
      <c r="MDP58"/>
      <c r="MDQ58"/>
      <c r="MDR58"/>
      <c r="MDS58"/>
      <c r="MDT58"/>
      <c r="MDU58"/>
      <c r="MDV58"/>
      <c r="MDW58"/>
      <c r="MDX58"/>
      <c r="MDY58"/>
      <c r="MDZ58"/>
      <c r="MEA58"/>
      <c r="MEB58"/>
      <c r="MEC58"/>
      <c r="MED58"/>
      <c r="MEE58"/>
      <c r="MEF58"/>
      <c r="MEG58"/>
      <c r="MEH58"/>
      <c r="MEI58"/>
      <c r="MEJ58"/>
      <c r="MEK58"/>
      <c r="MEL58"/>
      <c r="MEM58"/>
      <c r="MEN58"/>
      <c r="MEO58"/>
      <c r="MEP58"/>
      <c r="MEQ58"/>
      <c r="MER58"/>
      <c r="MES58"/>
      <c r="MET58"/>
      <c r="MEU58"/>
      <c r="MEV58"/>
      <c r="MEW58"/>
      <c r="MEX58"/>
      <c r="MEY58"/>
      <c r="MEZ58"/>
      <c r="MFA58"/>
      <c r="MFB58"/>
      <c r="MFC58"/>
      <c r="MFD58"/>
      <c r="MFE58"/>
      <c r="MFF58"/>
      <c r="MFG58"/>
      <c r="MFH58"/>
      <c r="MFI58"/>
      <c r="MFJ58"/>
      <c r="MFK58"/>
      <c r="MFL58"/>
      <c r="MFM58"/>
      <c r="MFN58"/>
      <c r="MFO58"/>
      <c r="MFP58"/>
      <c r="MFQ58"/>
      <c r="MFR58"/>
      <c r="MFS58"/>
      <c r="MFT58"/>
      <c r="MFU58"/>
      <c r="MFV58"/>
      <c r="MFW58"/>
      <c r="MFX58"/>
      <c r="MFY58"/>
      <c r="MFZ58"/>
      <c r="MGA58"/>
      <c r="MGB58"/>
      <c r="MGC58"/>
      <c r="MGD58"/>
      <c r="MGE58"/>
      <c r="MGF58"/>
      <c r="MGG58"/>
      <c r="MGH58"/>
      <c r="MGI58"/>
      <c r="MGJ58"/>
      <c r="MGK58"/>
      <c r="MGL58"/>
      <c r="MGM58"/>
      <c r="MGN58"/>
      <c r="MGO58"/>
      <c r="MGP58"/>
      <c r="MGQ58"/>
      <c r="MGR58"/>
      <c r="MGS58"/>
      <c r="MGT58"/>
      <c r="MGU58"/>
      <c r="MGV58"/>
      <c r="MGW58"/>
      <c r="MGX58"/>
      <c r="MGY58"/>
      <c r="MGZ58"/>
      <c r="MHA58"/>
      <c r="MHB58"/>
      <c r="MHC58"/>
      <c r="MHD58"/>
      <c r="MHE58"/>
      <c r="MHF58"/>
      <c r="MHG58"/>
      <c r="MHH58"/>
      <c r="MHI58"/>
      <c r="MHJ58"/>
      <c r="MHK58"/>
      <c r="MHL58"/>
      <c r="MHM58"/>
      <c r="MHN58"/>
      <c r="MHO58"/>
      <c r="MHP58"/>
      <c r="MHQ58"/>
      <c r="MHR58"/>
      <c r="MHS58"/>
      <c r="MHT58"/>
      <c r="MHU58"/>
      <c r="MHV58"/>
      <c r="MHW58"/>
      <c r="MHX58"/>
      <c r="MHY58"/>
      <c r="MHZ58"/>
      <c r="MIA58"/>
      <c r="MIB58"/>
      <c r="MIC58"/>
      <c r="MID58"/>
      <c r="MIE58"/>
      <c r="MIF58"/>
      <c r="MIG58"/>
      <c r="MIH58"/>
      <c r="MII58"/>
      <c r="MIJ58"/>
      <c r="MIK58"/>
      <c r="MIL58"/>
      <c r="MIM58"/>
      <c r="MIN58"/>
      <c r="MIO58"/>
      <c r="MIP58"/>
      <c r="MIQ58"/>
      <c r="MIR58"/>
      <c r="MIS58"/>
      <c r="MIT58"/>
      <c r="MIU58"/>
      <c r="MIV58"/>
      <c r="MIW58"/>
      <c r="MIX58"/>
      <c r="MIY58"/>
      <c r="MIZ58"/>
      <c r="MJA58"/>
      <c r="MJB58"/>
      <c r="MJC58"/>
      <c r="MJD58"/>
      <c r="MJE58"/>
      <c r="MJF58"/>
      <c r="MJG58"/>
      <c r="MJH58"/>
      <c r="MJI58"/>
      <c r="MJJ58"/>
      <c r="MJK58"/>
      <c r="MJL58"/>
      <c r="MJM58"/>
      <c r="MJN58"/>
      <c r="MJO58"/>
      <c r="MJP58"/>
      <c r="MJQ58"/>
      <c r="MJR58"/>
      <c r="MJS58"/>
      <c r="MJT58"/>
      <c r="MJU58"/>
      <c r="MJV58"/>
      <c r="MJW58"/>
      <c r="MJX58"/>
      <c r="MJY58"/>
      <c r="MJZ58"/>
      <c r="MKA58"/>
      <c r="MKB58"/>
      <c r="MKC58"/>
      <c r="MKD58"/>
      <c r="MKE58"/>
      <c r="MKF58"/>
      <c r="MKG58"/>
      <c r="MKH58"/>
      <c r="MKI58"/>
      <c r="MKJ58"/>
      <c r="MKK58"/>
      <c r="MKL58"/>
      <c r="MKM58"/>
      <c r="MKN58"/>
      <c r="MKO58"/>
      <c r="MKP58"/>
      <c r="MKQ58"/>
      <c r="MKR58"/>
      <c r="MKS58"/>
      <c r="MKT58"/>
      <c r="MKU58"/>
      <c r="MKV58"/>
      <c r="MKW58"/>
      <c r="MKX58"/>
      <c r="MKY58"/>
      <c r="MKZ58"/>
      <c r="MLA58"/>
      <c r="MLB58"/>
      <c r="MLC58"/>
      <c r="MLD58"/>
      <c r="MLE58"/>
      <c r="MLF58"/>
      <c r="MLG58"/>
      <c r="MLH58"/>
      <c r="MLI58"/>
      <c r="MLJ58"/>
      <c r="MLK58"/>
      <c r="MLL58"/>
      <c r="MLM58"/>
      <c r="MLN58"/>
      <c r="MLO58"/>
      <c r="MLP58"/>
      <c r="MLQ58"/>
      <c r="MLR58"/>
      <c r="MLS58"/>
      <c r="MLT58"/>
      <c r="MLU58"/>
      <c r="MLV58"/>
      <c r="MLW58"/>
      <c r="MLX58"/>
      <c r="MLY58"/>
      <c r="MLZ58"/>
      <c r="MMA58"/>
      <c r="MMB58"/>
      <c r="MMC58"/>
      <c r="MMD58"/>
      <c r="MME58"/>
      <c r="MMF58"/>
      <c r="MMG58"/>
      <c r="MMH58"/>
      <c r="MMI58"/>
      <c r="MMJ58"/>
      <c r="MMK58"/>
      <c r="MML58"/>
      <c r="MMM58"/>
      <c r="MMN58"/>
      <c r="MMO58"/>
      <c r="MMP58"/>
      <c r="MMQ58"/>
      <c r="MMR58"/>
      <c r="MMS58"/>
      <c r="MMT58"/>
      <c r="MMU58"/>
      <c r="MMV58"/>
      <c r="MMW58"/>
      <c r="MMX58"/>
      <c r="MMY58"/>
      <c r="MMZ58"/>
      <c r="MNA58"/>
      <c r="MNB58"/>
      <c r="MNC58"/>
      <c r="MND58"/>
      <c r="MNE58"/>
      <c r="MNF58"/>
      <c r="MNG58"/>
      <c r="MNH58"/>
      <c r="MNI58"/>
      <c r="MNJ58"/>
      <c r="MNK58"/>
      <c r="MNL58"/>
      <c r="MNM58"/>
      <c r="MNN58"/>
      <c r="MNO58"/>
      <c r="MNP58"/>
      <c r="MNQ58"/>
      <c r="MNR58"/>
      <c r="MNS58"/>
      <c r="MNT58"/>
      <c r="MNU58"/>
      <c r="MNV58"/>
      <c r="MNW58"/>
      <c r="MNX58"/>
      <c r="MNY58"/>
      <c r="MNZ58"/>
      <c r="MOA58"/>
      <c r="MOB58"/>
      <c r="MOC58"/>
      <c r="MOD58"/>
      <c r="MOE58"/>
      <c r="MOF58"/>
      <c r="MOG58"/>
      <c r="MOH58"/>
      <c r="MOI58"/>
      <c r="MOJ58"/>
      <c r="MOK58"/>
      <c r="MOL58"/>
      <c r="MOM58"/>
      <c r="MON58"/>
      <c r="MOO58"/>
      <c r="MOP58"/>
      <c r="MOQ58"/>
      <c r="MOR58"/>
      <c r="MOS58"/>
      <c r="MOT58"/>
      <c r="MOU58"/>
      <c r="MOV58"/>
      <c r="MOW58"/>
      <c r="MOX58"/>
      <c r="MOY58"/>
      <c r="MOZ58"/>
      <c r="MPA58"/>
      <c r="MPB58"/>
      <c r="MPC58"/>
      <c r="MPD58"/>
      <c r="MPE58"/>
      <c r="MPF58"/>
      <c r="MPG58"/>
      <c r="MPH58"/>
      <c r="MPI58"/>
      <c r="MPJ58"/>
      <c r="MPK58"/>
      <c r="MPL58"/>
      <c r="MPM58"/>
      <c r="MPN58"/>
      <c r="MPO58"/>
      <c r="MPP58"/>
      <c r="MPQ58"/>
      <c r="MPR58"/>
      <c r="MPS58"/>
      <c r="MPT58"/>
      <c r="MPU58"/>
      <c r="MPV58"/>
      <c r="MPW58"/>
      <c r="MPX58"/>
      <c r="MPY58"/>
      <c r="MPZ58"/>
      <c r="MQA58"/>
      <c r="MQB58"/>
      <c r="MQC58"/>
      <c r="MQD58"/>
      <c r="MQE58"/>
      <c r="MQF58"/>
      <c r="MQG58"/>
      <c r="MQH58"/>
      <c r="MQI58"/>
      <c r="MQJ58"/>
      <c r="MQK58"/>
      <c r="MQL58"/>
      <c r="MQM58"/>
      <c r="MQN58"/>
      <c r="MQO58"/>
      <c r="MQP58"/>
      <c r="MQQ58"/>
      <c r="MQR58"/>
      <c r="MQS58"/>
      <c r="MQT58"/>
      <c r="MQU58"/>
      <c r="MQV58"/>
      <c r="MQW58"/>
      <c r="MQX58"/>
      <c r="MQY58"/>
      <c r="MQZ58"/>
      <c r="MRA58"/>
      <c r="MRB58"/>
      <c r="MRC58"/>
      <c r="MRD58"/>
      <c r="MRE58"/>
      <c r="MRF58"/>
      <c r="MRG58"/>
      <c r="MRH58"/>
      <c r="MRI58"/>
      <c r="MRJ58"/>
      <c r="MRK58"/>
      <c r="MRL58"/>
      <c r="MRM58"/>
      <c r="MRN58"/>
      <c r="MRO58"/>
      <c r="MRP58"/>
      <c r="MRQ58"/>
      <c r="MRR58"/>
      <c r="MRS58"/>
      <c r="MRT58"/>
      <c r="MRU58"/>
      <c r="MRV58"/>
      <c r="MRW58"/>
      <c r="MRX58"/>
      <c r="MRY58"/>
      <c r="MRZ58"/>
      <c r="MSA58"/>
      <c r="MSB58"/>
      <c r="MSC58"/>
      <c r="MSD58"/>
      <c r="MSE58"/>
      <c r="MSF58"/>
      <c r="MSG58"/>
      <c r="MSH58"/>
      <c r="MSI58"/>
      <c r="MSJ58"/>
      <c r="MSK58"/>
      <c r="MSL58"/>
      <c r="MSM58"/>
      <c r="MSN58"/>
      <c r="MSO58"/>
      <c r="MSP58"/>
      <c r="MSQ58"/>
      <c r="MSR58"/>
      <c r="MSS58"/>
      <c r="MST58"/>
      <c r="MSU58"/>
      <c r="MSV58"/>
      <c r="MSW58"/>
      <c r="MSX58"/>
      <c r="MSY58"/>
      <c r="MSZ58"/>
      <c r="MTA58"/>
      <c r="MTB58"/>
      <c r="MTC58"/>
      <c r="MTD58"/>
      <c r="MTE58"/>
      <c r="MTF58"/>
      <c r="MTG58"/>
      <c r="MTH58"/>
      <c r="MTI58"/>
      <c r="MTJ58"/>
      <c r="MTK58"/>
      <c r="MTL58"/>
      <c r="MTM58"/>
      <c r="MTN58"/>
      <c r="MTO58"/>
      <c r="MTP58"/>
      <c r="MTQ58"/>
      <c r="MTR58"/>
      <c r="MTS58"/>
      <c r="MTT58"/>
      <c r="MTU58"/>
      <c r="MTV58"/>
      <c r="MTW58"/>
      <c r="MTX58"/>
      <c r="MTY58"/>
      <c r="MTZ58"/>
      <c r="MUA58"/>
      <c r="MUB58"/>
      <c r="MUC58"/>
      <c r="MUD58"/>
      <c r="MUE58"/>
      <c r="MUF58"/>
      <c r="MUG58"/>
      <c r="MUH58"/>
      <c r="MUI58"/>
      <c r="MUJ58"/>
      <c r="MUK58"/>
      <c r="MUL58"/>
      <c r="MUM58"/>
      <c r="MUN58"/>
      <c r="MUO58"/>
      <c r="MUP58"/>
      <c r="MUQ58"/>
      <c r="MUR58"/>
      <c r="MUS58"/>
      <c r="MUT58"/>
      <c r="MUU58"/>
      <c r="MUV58"/>
      <c r="MUW58"/>
      <c r="MUX58"/>
      <c r="MUY58"/>
      <c r="MUZ58"/>
      <c r="MVA58"/>
      <c r="MVB58"/>
      <c r="MVC58"/>
      <c r="MVD58"/>
      <c r="MVE58"/>
      <c r="MVF58"/>
      <c r="MVG58"/>
      <c r="MVH58"/>
      <c r="MVI58"/>
      <c r="MVJ58"/>
      <c r="MVK58"/>
      <c r="MVL58"/>
      <c r="MVM58"/>
      <c r="MVN58"/>
      <c r="MVO58"/>
      <c r="MVP58"/>
      <c r="MVQ58"/>
      <c r="MVR58"/>
      <c r="MVS58"/>
      <c r="MVT58"/>
      <c r="MVU58"/>
      <c r="MVV58"/>
      <c r="MVW58"/>
      <c r="MVX58"/>
      <c r="MVY58"/>
      <c r="MVZ58"/>
      <c r="MWA58"/>
      <c r="MWB58"/>
      <c r="MWC58"/>
      <c r="MWD58"/>
      <c r="MWE58"/>
      <c r="MWF58"/>
      <c r="MWG58"/>
      <c r="MWH58"/>
      <c r="MWI58"/>
      <c r="MWJ58"/>
      <c r="MWK58"/>
      <c r="MWL58"/>
      <c r="MWM58"/>
      <c r="MWN58"/>
      <c r="MWO58"/>
      <c r="MWP58"/>
      <c r="MWQ58"/>
      <c r="MWR58"/>
      <c r="MWS58"/>
      <c r="MWT58"/>
      <c r="MWU58"/>
      <c r="MWV58"/>
      <c r="MWW58"/>
      <c r="MWX58"/>
      <c r="MWY58"/>
      <c r="MWZ58"/>
      <c r="MXA58"/>
      <c r="MXB58"/>
      <c r="MXC58"/>
      <c r="MXD58"/>
      <c r="MXE58"/>
      <c r="MXF58"/>
      <c r="MXG58"/>
      <c r="MXH58"/>
      <c r="MXI58"/>
      <c r="MXJ58"/>
      <c r="MXK58"/>
      <c r="MXL58"/>
      <c r="MXM58"/>
      <c r="MXN58"/>
      <c r="MXO58"/>
      <c r="MXP58"/>
      <c r="MXQ58"/>
      <c r="MXR58"/>
      <c r="MXS58"/>
      <c r="MXT58"/>
      <c r="MXU58"/>
      <c r="MXV58"/>
      <c r="MXW58"/>
      <c r="MXX58"/>
      <c r="MXY58"/>
      <c r="MXZ58"/>
      <c r="MYA58"/>
      <c r="MYB58"/>
      <c r="MYC58"/>
      <c r="MYD58"/>
      <c r="MYE58"/>
      <c r="MYF58"/>
      <c r="MYG58"/>
      <c r="MYH58"/>
      <c r="MYI58"/>
      <c r="MYJ58"/>
      <c r="MYK58"/>
      <c r="MYL58"/>
      <c r="MYM58"/>
      <c r="MYN58"/>
      <c r="MYO58"/>
      <c r="MYP58"/>
      <c r="MYQ58"/>
      <c r="MYR58"/>
      <c r="MYS58"/>
      <c r="MYT58"/>
      <c r="MYU58"/>
      <c r="MYV58"/>
      <c r="MYW58"/>
      <c r="MYX58"/>
      <c r="MYY58"/>
      <c r="MYZ58"/>
      <c r="MZA58"/>
      <c r="MZB58"/>
      <c r="MZC58"/>
      <c r="MZD58"/>
      <c r="MZE58"/>
      <c r="MZF58"/>
      <c r="MZG58"/>
      <c r="MZH58"/>
      <c r="MZI58"/>
      <c r="MZJ58"/>
      <c r="MZK58"/>
      <c r="MZL58"/>
      <c r="MZM58"/>
      <c r="MZN58"/>
      <c r="MZO58"/>
      <c r="MZP58"/>
      <c r="MZQ58"/>
      <c r="MZR58"/>
      <c r="MZS58"/>
      <c r="MZT58"/>
      <c r="MZU58"/>
      <c r="MZV58"/>
      <c r="MZW58"/>
      <c r="MZX58"/>
      <c r="MZY58"/>
      <c r="MZZ58"/>
      <c r="NAA58"/>
      <c r="NAB58"/>
      <c r="NAC58"/>
      <c r="NAD58"/>
      <c r="NAE58"/>
      <c r="NAF58"/>
      <c r="NAG58"/>
      <c r="NAH58"/>
      <c r="NAI58"/>
      <c r="NAJ58"/>
      <c r="NAK58"/>
      <c r="NAL58"/>
      <c r="NAM58"/>
      <c r="NAN58"/>
      <c r="NAO58"/>
      <c r="NAP58"/>
      <c r="NAQ58"/>
      <c r="NAR58"/>
      <c r="NAS58"/>
      <c r="NAT58"/>
      <c r="NAU58"/>
      <c r="NAV58"/>
      <c r="NAW58"/>
      <c r="NAX58"/>
      <c r="NAY58"/>
      <c r="NAZ58"/>
      <c r="NBA58"/>
      <c r="NBB58"/>
      <c r="NBC58"/>
      <c r="NBD58"/>
      <c r="NBE58"/>
      <c r="NBF58"/>
      <c r="NBG58"/>
      <c r="NBH58"/>
      <c r="NBI58"/>
      <c r="NBJ58"/>
      <c r="NBK58"/>
      <c r="NBL58"/>
      <c r="NBM58"/>
      <c r="NBN58"/>
      <c r="NBO58"/>
      <c r="NBP58"/>
      <c r="NBQ58"/>
      <c r="NBR58"/>
      <c r="NBS58"/>
      <c r="NBT58"/>
      <c r="NBU58"/>
      <c r="NBV58"/>
      <c r="NBW58"/>
      <c r="NBX58"/>
      <c r="NBY58"/>
      <c r="NBZ58"/>
      <c r="NCA58"/>
      <c r="NCB58"/>
      <c r="NCC58"/>
      <c r="NCD58"/>
      <c r="NCE58"/>
      <c r="NCF58"/>
      <c r="NCG58"/>
      <c r="NCH58"/>
      <c r="NCI58"/>
      <c r="NCJ58"/>
      <c r="NCK58"/>
      <c r="NCL58"/>
      <c r="NCM58"/>
      <c r="NCN58"/>
      <c r="NCO58"/>
      <c r="NCP58"/>
      <c r="NCQ58"/>
      <c r="NCR58"/>
      <c r="NCS58"/>
      <c r="NCT58"/>
      <c r="NCU58"/>
      <c r="NCV58"/>
      <c r="NCW58"/>
      <c r="NCX58"/>
      <c r="NCY58"/>
      <c r="NCZ58"/>
      <c r="NDA58"/>
      <c r="NDB58"/>
      <c r="NDC58"/>
      <c r="NDD58"/>
      <c r="NDE58"/>
      <c r="NDF58"/>
      <c r="NDG58"/>
      <c r="NDH58"/>
      <c r="NDI58"/>
      <c r="NDJ58"/>
      <c r="NDK58"/>
      <c r="NDL58"/>
      <c r="NDM58"/>
      <c r="NDN58"/>
      <c r="NDO58"/>
      <c r="NDP58"/>
      <c r="NDQ58"/>
      <c r="NDR58"/>
      <c r="NDS58"/>
      <c r="NDT58"/>
      <c r="NDU58"/>
      <c r="NDV58"/>
      <c r="NDW58"/>
      <c r="NDX58"/>
      <c r="NDY58"/>
      <c r="NDZ58"/>
      <c r="NEA58"/>
      <c r="NEB58"/>
      <c r="NEC58"/>
      <c r="NED58"/>
      <c r="NEE58"/>
      <c r="NEF58"/>
      <c r="NEG58"/>
      <c r="NEH58"/>
      <c r="NEI58"/>
      <c r="NEJ58"/>
      <c r="NEK58"/>
      <c r="NEL58"/>
      <c r="NEM58"/>
      <c r="NEN58"/>
      <c r="NEO58"/>
      <c r="NEP58"/>
      <c r="NEQ58"/>
      <c r="NER58"/>
      <c r="NES58"/>
      <c r="NET58"/>
      <c r="NEU58"/>
      <c r="NEV58"/>
      <c r="NEW58"/>
      <c r="NEX58"/>
      <c r="NEY58"/>
      <c r="NEZ58"/>
      <c r="NFA58"/>
      <c r="NFB58"/>
      <c r="NFC58"/>
      <c r="NFD58"/>
      <c r="NFE58"/>
      <c r="NFF58"/>
      <c r="NFG58"/>
      <c r="NFH58"/>
      <c r="NFI58"/>
      <c r="NFJ58"/>
      <c r="NFK58"/>
      <c r="NFL58"/>
      <c r="NFM58"/>
      <c r="NFN58"/>
      <c r="NFO58"/>
      <c r="NFP58"/>
      <c r="NFQ58"/>
      <c r="NFR58"/>
      <c r="NFS58"/>
      <c r="NFT58"/>
      <c r="NFU58"/>
      <c r="NFV58"/>
      <c r="NFW58"/>
      <c r="NFX58"/>
      <c r="NFY58"/>
      <c r="NFZ58"/>
      <c r="NGA58"/>
      <c r="NGB58"/>
      <c r="NGC58"/>
      <c r="NGD58"/>
      <c r="NGE58"/>
      <c r="NGF58"/>
      <c r="NGG58"/>
      <c r="NGH58"/>
      <c r="NGI58"/>
      <c r="NGJ58"/>
      <c r="NGK58"/>
      <c r="NGL58"/>
      <c r="NGM58"/>
      <c r="NGN58"/>
      <c r="NGO58"/>
      <c r="NGP58"/>
      <c r="NGQ58"/>
      <c r="NGR58"/>
      <c r="NGS58"/>
      <c r="NGT58"/>
      <c r="NGU58"/>
      <c r="NGV58"/>
      <c r="NGW58"/>
      <c r="NGX58"/>
      <c r="NGY58"/>
      <c r="NGZ58"/>
      <c r="NHA58"/>
      <c r="NHB58"/>
      <c r="NHC58"/>
      <c r="NHD58"/>
      <c r="NHE58"/>
      <c r="NHF58"/>
      <c r="NHG58"/>
      <c r="NHH58"/>
      <c r="NHI58"/>
      <c r="NHJ58"/>
      <c r="NHK58"/>
      <c r="NHL58"/>
      <c r="NHM58"/>
      <c r="NHN58"/>
      <c r="NHO58"/>
      <c r="NHP58"/>
      <c r="NHQ58"/>
      <c r="NHR58"/>
      <c r="NHS58"/>
      <c r="NHT58"/>
      <c r="NHU58"/>
      <c r="NHV58"/>
      <c r="NHW58"/>
      <c r="NHX58"/>
      <c r="NHY58"/>
      <c r="NHZ58"/>
      <c r="NIA58"/>
      <c r="NIB58"/>
      <c r="NIC58"/>
      <c r="NID58"/>
      <c r="NIE58"/>
      <c r="NIF58"/>
      <c r="NIG58"/>
      <c r="NIH58"/>
      <c r="NII58"/>
      <c r="NIJ58"/>
      <c r="NIK58"/>
      <c r="NIL58"/>
      <c r="NIM58"/>
      <c r="NIN58"/>
      <c r="NIO58"/>
      <c r="NIP58"/>
      <c r="NIQ58"/>
      <c r="NIR58"/>
      <c r="NIS58"/>
      <c r="NIT58"/>
      <c r="NIU58"/>
      <c r="NIV58"/>
      <c r="NIW58"/>
      <c r="NIX58"/>
      <c r="NIY58"/>
      <c r="NIZ58"/>
      <c r="NJA58"/>
      <c r="NJB58"/>
      <c r="NJC58"/>
      <c r="NJD58"/>
      <c r="NJE58"/>
      <c r="NJF58"/>
      <c r="NJG58"/>
      <c r="NJH58"/>
      <c r="NJI58"/>
      <c r="NJJ58"/>
      <c r="NJK58"/>
      <c r="NJL58"/>
      <c r="NJM58"/>
      <c r="NJN58"/>
      <c r="NJO58"/>
      <c r="NJP58"/>
      <c r="NJQ58"/>
      <c r="NJR58"/>
      <c r="NJS58"/>
      <c r="NJT58"/>
      <c r="NJU58"/>
      <c r="NJV58"/>
      <c r="NJW58"/>
      <c r="NJX58"/>
      <c r="NJY58"/>
      <c r="NJZ58"/>
      <c r="NKA58"/>
      <c r="NKB58"/>
      <c r="NKC58"/>
      <c r="NKD58"/>
      <c r="NKE58"/>
      <c r="NKF58"/>
      <c r="NKG58"/>
      <c r="NKH58"/>
      <c r="NKI58"/>
      <c r="NKJ58"/>
      <c r="NKK58"/>
      <c r="NKL58"/>
      <c r="NKM58"/>
      <c r="NKN58"/>
      <c r="NKO58"/>
      <c r="NKP58"/>
      <c r="NKQ58"/>
      <c r="NKR58"/>
      <c r="NKS58"/>
      <c r="NKT58"/>
      <c r="NKU58"/>
      <c r="NKV58"/>
      <c r="NKW58"/>
      <c r="NKX58"/>
      <c r="NKY58"/>
      <c r="NKZ58"/>
      <c r="NLA58"/>
      <c r="NLB58"/>
      <c r="NLC58"/>
      <c r="NLD58"/>
      <c r="NLE58"/>
      <c r="NLF58"/>
      <c r="NLG58"/>
      <c r="NLH58"/>
      <c r="NLI58"/>
      <c r="NLJ58"/>
      <c r="NLK58"/>
      <c r="NLL58"/>
      <c r="NLM58"/>
      <c r="NLN58"/>
      <c r="NLO58"/>
      <c r="NLP58"/>
      <c r="NLQ58"/>
      <c r="NLR58"/>
      <c r="NLS58"/>
      <c r="NLT58"/>
      <c r="NLU58"/>
      <c r="NLV58"/>
      <c r="NLW58"/>
      <c r="NLX58"/>
      <c r="NLY58"/>
      <c r="NLZ58"/>
      <c r="NMA58"/>
      <c r="NMB58"/>
      <c r="NMC58"/>
      <c r="NMD58"/>
      <c r="NME58"/>
      <c r="NMF58"/>
      <c r="NMG58"/>
      <c r="NMH58"/>
      <c r="NMI58"/>
      <c r="NMJ58"/>
      <c r="NMK58"/>
      <c r="NML58"/>
      <c r="NMM58"/>
      <c r="NMN58"/>
      <c r="NMO58"/>
      <c r="NMP58"/>
      <c r="NMQ58"/>
      <c r="NMR58"/>
      <c r="NMS58"/>
      <c r="NMT58"/>
      <c r="NMU58"/>
      <c r="NMV58"/>
      <c r="NMW58"/>
      <c r="NMX58"/>
      <c r="NMY58"/>
      <c r="NMZ58"/>
      <c r="NNA58"/>
      <c r="NNB58"/>
      <c r="NNC58"/>
      <c r="NND58"/>
      <c r="NNE58"/>
      <c r="NNF58"/>
      <c r="NNG58"/>
      <c r="NNH58"/>
      <c r="NNI58"/>
      <c r="NNJ58"/>
      <c r="NNK58"/>
      <c r="NNL58"/>
      <c r="NNM58"/>
      <c r="NNN58"/>
      <c r="NNO58"/>
      <c r="NNP58"/>
      <c r="NNQ58"/>
      <c r="NNR58"/>
      <c r="NNS58"/>
      <c r="NNT58"/>
      <c r="NNU58"/>
      <c r="NNV58"/>
      <c r="NNW58"/>
      <c r="NNX58"/>
      <c r="NNY58"/>
      <c r="NNZ58"/>
      <c r="NOA58"/>
      <c r="NOB58"/>
      <c r="NOC58"/>
      <c r="NOD58"/>
      <c r="NOE58"/>
      <c r="NOF58"/>
      <c r="NOG58"/>
      <c r="NOH58"/>
      <c r="NOI58"/>
      <c r="NOJ58"/>
      <c r="NOK58"/>
      <c r="NOL58"/>
      <c r="NOM58"/>
      <c r="NON58"/>
      <c r="NOO58"/>
      <c r="NOP58"/>
      <c r="NOQ58"/>
      <c r="NOR58"/>
      <c r="NOS58"/>
      <c r="NOT58"/>
      <c r="NOU58"/>
      <c r="NOV58"/>
      <c r="NOW58"/>
      <c r="NOX58"/>
      <c r="NOY58"/>
      <c r="NOZ58"/>
      <c r="NPA58"/>
      <c r="NPB58"/>
      <c r="NPC58"/>
      <c r="NPD58"/>
      <c r="NPE58"/>
      <c r="NPF58"/>
      <c r="NPG58"/>
      <c r="NPH58"/>
      <c r="NPI58"/>
      <c r="NPJ58"/>
      <c r="NPK58"/>
      <c r="NPL58"/>
      <c r="NPM58"/>
      <c r="NPN58"/>
      <c r="NPO58"/>
      <c r="NPP58"/>
      <c r="NPQ58"/>
      <c r="NPR58"/>
      <c r="NPS58"/>
      <c r="NPT58"/>
      <c r="NPU58"/>
      <c r="NPV58"/>
      <c r="NPW58"/>
      <c r="NPX58"/>
      <c r="NPY58"/>
      <c r="NPZ58"/>
      <c r="NQA58"/>
      <c r="NQB58"/>
      <c r="NQC58"/>
      <c r="NQD58"/>
      <c r="NQE58"/>
      <c r="NQF58"/>
      <c r="NQG58"/>
      <c r="NQH58"/>
      <c r="NQI58"/>
      <c r="NQJ58"/>
      <c r="NQK58"/>
      <c r="NQL58"/>
      <c r="NQM58"/>
      <c r="NQN58"/>
      <c r="NQO58"/>
      <c r="NQP58"/>
      <c r="NQQ58"/>
      <c r="NQR58"/>
      <c r="NQS58"/>
      <c r="NQT58"/>
      <c r="NQU58"/>
      <c r="NQV58"/>
      <c r="NQW58"/>
      <c r="NQX58"/>
      <c r="NQY58"/>
      <c r="NQZ58"/>
      <c r="NRA58"/>
      <c r="NRB58"/>
      <c r="NRC58"/>
      <c r="NRD58"/>
      <c r="NRE58"/>
      <c r="NRF58"/>
      <c r="NRG58"/>
      <c r="NRH58"/>
      <c r="NRI58"/>
      <c r="NRJ58"/>
      <c r="NRK58"/>
      <c r="NRL58"/>
      <c r="NRM58"/>
      <c r="NRN58"/>
      <c r="NRO58"/>
      <c r="NRP58"/>
      <c r="NRQ58"/>
      <c r="NRR58"/>
      <c r="NRS58"/>
      <c r="NRT58"/>
      <c r="NRU58"/>
      <c r="NRV58"/>
      <c r="NRW58"/>
      <c r="NRX58"/>
      <c r="NRY58"/>
      <c r="NRZ58"/>
      <c r="NSA58"/>
      <c r="NSB58"/>
      <c r="NSC58"/>
      <c r="NSD58"/>
      <c r="NSE58"/>
      <c r="NSF58"/>
      <c r="NSG58"/>
      <c r="NSH58"/>
      <c r="NSI58"/>
      <c r="NSJ58"/>
      <c r="NSK58"/>
      <c r="NSL58"/>
      <c r="NSM58"/>
      <c r="NSN58"/>
      <c r="NSO58"/>
      <c r="NSP58"/>
      <c r="NSQ58"/>
      <c r="NSR58"/>
      <c r="NSS58"/>
      <c r="NST58"/>
      <c r="NSU58"/>
      <c r="NSV58"/>
      <c r="NSW58"/>
      <c r="NSX58"/>
      <c r="NSY58"/>
      <c r="NSZ58"/>
      <c r="NTA58"/>
      <c r="NTB58"/>
      <c r="NTC58"/>
      <c r="NTD58"/>
      <c r="NTE58"/>
      <c r="NTF58"/>
      <c r="NTG58"/>
      <c r="NTH58"/>
      <c r="NTI58"/>
      <c r="NTJ58"/>
      <c r="NTK58"/>
      <c r="NTL58"/>
      <c r="NTM58"/>
      <c r="NTN58"/>
      <c r="NTO58"/>
      <c r="NTP58"/>
      <c r="NTQ58"/>
      <c r="NTR58"/>
      <c r="NTS58"/>
      <c r="NTT58"/>
      <c r="NTU58"/>
      <c r="NTV58"/>
      <c r="NTW58"/>
      <c r="NTX58"/>
      <c r="NTY58"/>
      <c r="NTZ58"/>
      <c r="NUA58"/>
      <c r="NUB58"/>
      <c r="NUC58"/>
      <c r="NUD58"/>
      <c r="NUE58"/>
      <c r="NUF58"/>
      <c r="NUG58"/>
      <c r="NUH58"/>
      <c r="NUI58"/>
      <c r="NUJ58"/>
      <c r="NUK58"/>
      <c r="NUL58"/>
      <c r="NUM58"/>
      <c r="NUN58"/>
      <c r="NUO58"/>
      <c r="NUP58"/>
      <c r="NUQ58"/>
      <c r="NUR58"/>
      <c r="NUS58"/>
      <c r="NUT58"/>
      <c r="NUU58"/>
      <c r="NUV58"/>
      <c r="NUW58"/>
      <c r="NUX58"/>
      <c r="NUY58"/>
      <c r="NUZ58"/>
      <c r="NVA58"/>
      <c r="NVB58"/>
      <c r="NVC58"/>
      <c r="NVD58"/>
      <c r="NVE58"/>
      <c r="NVF58"/>
      <c r="NVG58"/>
      <c r="NVH58"/>
      <c r="NVI58"/>
      <c r="NVJ58"/>
      <c r="NVK58"/>
      <c r="NVL58"/>
      <c r="NVM58"/>
      <c r="NVN58"/>
      <c r="NVO58"/>
      <c r="NVP58"/>
      <c r="NVQ58"/>
      <c r="NVR58"/>
      <c r="NVS58"/>
      <c r="NVT58"/>
      <c r="NVU58"/>
      <c r="NVV58"/>
      <c r="NVW58"/>
      <c r="NVX58"/>
      <c r="NVY58"/>
      <c r="NVZ58"/>
      <c r="NWA58"/>
      <c r="NWB58"/>
      <c r="NWC58"/>
      <c r="NWD58"/>
      <c r="NWE58"/>
      <c r="NWF58"/>
      <c r="NWG58"/>
      <c r="NWH58"/>
      <c r="NWI58"/>
      <c r="NWJ58"/>
      <c r="NWK58"/>
      <c r="NWL58"/>
      <c r="NWM58"/>
      <c r="NWN58"/>
      <c r="NWO58"/>
      <c r="NWP58"/>
      <c r="NWQ58"/>
      <c r="NWR58"/>
      <c r="NWS58"/>
      <c r="NWT58"/>
      <c r="NWU58"/>
      <c r="NWV58"/>
      <c r="NWW58"/>
      <c r="NWX58"/>
      <c r="NWY58"/>
      <c r="NWZ58"/>
      <c r="NXA58"/>
      <c r="NXB58"/>
      <c r="NXC58"/>
      <c r="NXD58"/>
      <c r="NXE58"/>
      <c r="NXF58"/>
      <c r="NXG58"/>
      <c r="NXH58"/>
      <c r="NXI58"/>
      <c r="NXJ58"/>
      <c r="NXK58"/>
      <c r="NXL58"/>
      <c r="NXM58"/>
      <c r="NXN58"/>
      <c r="NXO58"/>
      <c r="NXP58"/>
      <c r="NXQ58"/>
      <c r="NXR58"/>
      <c r="NXS58"/>
      <c r="NXT58"/>
      <c r="NXU58"/>
      <c r="NXV58"/>
      <c r="NXW58"/>
      <c r="NXX58"/>
      <c r="NXY58"/>
      <c r="NXZ58"/>
      <c r="NYA58"/>
      <c r="NYB58"/>
      <c r="NYC58"/>
      <c r="NYD58"/>
      <c r="NYE58"/>
      <c r="NYF58"/>
      <c r="NYG58"/>
      <c r="NYH58"/>
      <c r="NYI58"/>
      <c r="NYJ58"/>
      <c r="NYK58"/>
      <c r="NYL58"/>
      <c r="NYM58"/>
      <c r="NYN58"/>
      <c r="NYO58"/>
      <c r="NYP58"/>
      <c r="NYQ58"/>
      <c r="NYR58"/>
      <c r="NYS58"/>
      <c r="NYT58"/>
      <c r="NYU58"/>
      <c r="NYV58"/>
      <c r="NYW58"/>
      <c r="NYX58"/>
      <c r="NYY58"/>
      <c r="NYZ58"/>
      <c r="NZA58"/>
      <c r="NZB58"/>
      <c r="NZC58"/>
      <c r="NZD58"/>
      <c r="NZE58"/>
      <c r="NZF58"/>
      <c r="NZG58"/>
      <c r="NZH58"/>
      <c r="NZI58"/>
      <c r="NZJ58"/>
      <c r="NZK58"/>
      <c r="NZL58"/>
      <c r="NZM58"/>
      <c r="NZN58"/>
      <c r="NZO58"/>
      <c r="NZP58"/>
      <c r="NZQ58"/>
      <c r="NZR58"/>
      <c r="NZS58"/>
      <c r="NZT58"/>
      <c r="NZU58"/>
      <c r="NZV58"/>
      <c r="NZW58"/>
      <c r="NZX58"/>
      <c r="NZY58"/>
      <c r="NZZ58"/>
      <c r="OAA58"/>
      <c r="OAB58"/>
      <c r="OAC58"/>
      <c r="OAD58"/>
      <c r="OAE58"/>
      <c r="OAF58"/>
      <c r="OAG58"/>
      <c r="OAH58"/>
      <c r="OAI58"/>
      <c r="OAJ58"/>
      <c r="OAK58"/>
      <c r="OAL58"/>
      <c r="OAM58"/>
      <c r="OAN58"/>
      <c r="OAO58"/>
      <c r="OAP58"/>
      <c r="OAQ58"/>
      <c r="OAR58"/>
      <c r="OAS58"/>
      <c r="OAT58"/>
      <c r="OAU58"/>
      <c r="OAV58"/>
      <c r="OAW58"/>
      <c r="OAX58"/>
      <c r="OAY58"/>
      <c r="OAZ58"/>
      <c r="OBA58"/>
      <c r="OBB58"/>
      <c r="OBC58"/>
      <c r="OBD58"/>
      <c r="OBE58"/>
      <c r="OBF58"/>
      <c r="OBG58"/>
      <c r="OBH58"/>
      <c r="OBI58"/>
      <c r="OBJ58"/>
      <c r="OBK58"/>
      <c r="OBL58"/>
      <c r="OBM58"/>
      <c r="OBN58"/>
      <c r="OBO58"/>
      <c r="OBP58"/>
      <c r="OBQ58"/>
      <c r="OBR58"/>
      <c r="OBS58"/>
      <c r="OBT58"/>
      <c r="OBU58"/>
      <c r="OBV58"/>
      <c r="OBW58"/>
      <c r="OBX58"/>
      <c r="OBY58"/>
      <c r="OBZ58"/>
      <c r="OCA58"/>
      <c r="OCB58"/>
      <c r="OCC58"/>
      <c r="OCD58"/>
      <c r="OCE58"/>
      <c r="OCF58"/>
      <c r="OCG58"/>
      <c r="OCH58"/>
      <c r="OCI58"/>
      <c r="OCJ58"/>
      <c r="OCK58"/>
      <c r="OCL58"/>
      <c r="OCM58"/>
      <c r="OCN58"/>
      <c r="OCO58"/>
      <c r="OCP58"/>
      <c r="OCQ58"/>
      <c r="OCR58"/>
      <c r="OCS58"/>
      <c r="OCT58"/>
      <c r="OCU58"/>
      <c r="OCV58"/>
      <c r="OCW58"/>
      <c r="OCX58"/>
      <c r="OCY58"/>
      <c r="OCZ58"/>
      <c r="ODA58"/>
      <c r="ODB58"/>
      <c r="ODC58"/>
      <c r="ODD58"/>
      <c r="ODE58"/>
      <c r="ODF58"/>
      <c r="ODG58"/>
      <c r="ODH58"/>
      <c r="ODI58"/>
      <c r="ODJ58"/>
      <c r="ODK58"/>
      <c r="ODL58"/>
      <c r="ODM58"/>
      <c r="ODN58"/>
      <c r="ODO58"/>
      <c r="ODP58"/>
      <c r="ODQ58"/>
      <c r="ODR58"/>
      <c r="ODS58"/>
      <c r="ODT58"/>
      <c r="ODU58"/>
      <c r="ODV58"/>
      <c r="ODW58"/>
      <c r="ODX58"/>
      <c r="ODY58"/>
      <c r="ODZ58"/>
      <c r="OEA58"/>
      <c r="OEB58"/>
      <c r="OEC58"/>
      <c r="OED58"/>
      <c r="OEE58"/>
      <c r="OEF58"/>
      <c r="OEG58"/>
      <c r="OEH58"/>
      <c r="OEI58"/>
      <c r="OEJ58"/>
      <c r="OEK58"/>
      <c r="OEL58"/>
      <c r="OEM58"/>
      <c r="OEN58"/>
      <c r="OEO58"/>
      <c r="OEP58"/>
      <c r="OEQ58"/>
      <c r="OER58"/>
      <c r="OES58"/>
      <c r="OET58"/>
      <c r="OEU58"/>
      <c r="OEV58"/>
      <c r="OEW58"/>
      <c r="OEX58"/>
      <c r="OEY58"/>
      <c r="OEZ58"/>
      <c r="OFA58"/>
      <c r="OFB58"/>
      <c r="OFC58"/>
      <c r="OFD58"/>
      <c r="OFE58"/>
      <c r="OFF58"/>
      <c r="OFG58"/>
      <c r="OFH58"/>
      <c r="OFI58"/>
      <c r="OFJ58"/>
      <c r="OFK58"/>
      <c r="OFL58"/>
      <c r="OFM58"/>
      <c r="OFN58"/>
      <c r="OFO58"/>
      <c r="OFP58"/>
      <c r="OFQ58"/>
      <c r="OFR58"/>
      <c r="OFS58"/>
      <c r="OFT58"/>
      <c r="OFU58"/>
      <c r="OFV58"/>
      <c r="OFW58"/>
      <c r="OFX58"/>
      <c r="OFY58"/>
      <c r="OFZ58"/>
      <c r="OGA58"/>
      <c r="OGB58"/>
      <c r="OGC58"/>
      <c r="OGD58"/>
      <c r="OGE58"/>
      <c r="OGF58"/>
      <c r="OGG58"/>
      <c r="OGH58"/>
      <c r="OGI58"/>
      <c r="OGJ58"/>
      <c r="OGK58"/>
      <c r="OGL58"/>
      <c r="OGM58"/>
      <c r="OGN58"/>
      <c r="OGO58"/>
      <c r="OGP58"/>
      <c r="OGQ58"/>
      <c r="OGR58"/>
      <c r="OGS58"/>
      <c r="OGT58"/>
      <c r="OGU58"/>
      <c r="OGV58"/>
      <c r="OGW58"/>
      <c r="OGX58"/>
      <c r="OGY58"/>
      <c r="OGZ58"/>
      <c r="OHA58"/>
      <c r="OHB58"/>
      <c r="OHC58"/>
      <c r="OHD58"/>
      <c r="OHE58"/>
      <c r="OHF58"/>
      <c r="OHG58"/>
      <c r="OHH58"/>
      <c r="OHI58"/>
      <c r="OHJ58"/>
      <c r="OHK58"/>
      <c r="OHL58"/>
      <c r="OHM58"/>
      <c r="OHN58"/>
      <c r="OHO58"/>
      <c r="OHP58"/>
      <c r="OHQ58"/>
      <c r="OHR58"/>
      <c r="OHS58"/>
      <c r="OHT58"/>
      <c r="OHU58"/>
      <c r="OHV58"/>
      <c r="OHW58"/>
      <c r="OHX58"/>
      <c r="OHY58"/>
      <c r="OHZ58"/>
      <c r="OIA58"/>
      <c r="OIB58"/>
      <c r="OIC58"/>
      <c r="OID58"/>
      <c r="OIE58"/>
      <c r="OIF58"/>
      <c r="OIG58"/>
      <c r="OIH58"/>
      <c r="OII58"/>
      <c r="OIJ58"/>
      <c r="OIK58"/>
      <c r="OIL58"/>
      <c r="OIM58"/>
      <c r="OIN58"/>
      <c r="OIO58"/>
      <c r="OIP58"/>
      <c r="OIQ58"/>
      <c r="OIR58"/>
      <c r="OIS58"/>
      <c r="OIT58"/>
      <c r="OIU58"/>
      <c r="OIV58"/>
      <c r="OIW58"/>
      <c r="OIX58"/>
      <c r="OIY58"/>
      <c r="OIZ58"/>
      <c r="OJA58"/>
      <c r="OJB58"/>
      <c r="OJC58"/>
      <c r="OJD58"/>
      <c r="OJE58"/>
      <c r="OJF58"/>
      <c r="OJG58"/>
      <c r="OJH58"/>
      <c r="OJI58"/>
      <c r="OJJ58"/>
      <c r="OJK58"/>
      <c r="OJL58"/>
      <c r="OJM58"/>
      <c r="OJN58"/>
      <c r="OJO58"/>
      <c r="OJP58"/>
      <c r="OJQ58"/>
      <c r="OJR58"/>
      <c r="OJS58"/>
      <c r="OJT58"/>
      <c r="OJU58"/>
      <c r="OJV58"/>
      <c r="OJW58"/>
      <c r="OJX58"/>
      <c r="OJY58"/>
      <c r="OJZ58"/>
      <c r="OKA58"/>
      <c r="OKB58"/>
      <c r="OKC58"/>
      <c r="OKD58"/>
      <c r="OKE58"/>
      <c r="OKF58"/>
      <c r="OKG58"/>
      <c r="OKH58"/>
      <c r="OKI58"/>
      <c r="OKJ58"/>
      <c r="OKK58"/>
      <c r="OKL58"/>
      <c r="OKM58"/>
      <c r="OKN58"/>
      <c r="OKO58"/>
      <c r="OKP58"/>
      <c r="OKQ58"/>
      <c r="OKR58"/>
      <c r="OKS58"/>
      <c r="OKT58"/>
      <c r="OKU58"/>
      <c r="OKV58"/>
      <c r="OKW58"/>
      <c r="OKX58"/>
      <c r="OKY58"/>
      <c r="OKZ58"/>
      <c r="OLA58"/>
      <c r="OLB58"/>
      <c r="OLC58"/>
      <c r="OLD58"/>
      <c r="OLE58"/>
      <c r="OLF58"/>
      <c r="OLG58"/>
      <c r="OLH58"/>
      <c r="OLI58"/>
      <c r="OLJ58"/>
      <c r="OLK58"/>
      <c r="OLL58"/>
      <c r="OLM58"/>
      <c r="OLN58"/>
      <c r="OLO58"/>
      <c r="OLP58"/>
      <c r="OLQ58"/>
      <c r="OLR58"/>
      <c r="OLS58"/>
      <c r="OLT58"/>
      <c r="OLU58"/>
      <c r="OLV58"/>
      <c r="OLW58"/>
      <c r="OLX58"/>
      <c r="OLY58"/>
      <c r="OLZ58"/>
      <c r="OMA58"/>
      <c r="OMB58"/>
      <c r="OMC58"/>
      <c r="OMD58"/>
      <c r="OME58"/>
      <c r="OMF58"/>
      <c r="OMG58"/>
      <c r="OMH58"/>
      <c r="OMI58"/>
      <c r="OMJ58"/>
      <c r="OMK58"/>
      <c r="OML58"/>
      <c r="OMM58"/>
      <c r="OMN58"/>
      <c r="OMO58"/>
      <c r="OMP58"/>
      <c r="OMQ58"/>
      <c r="OMR58"/>
      <c r="OMS58"/>
      <c r="OMT58"/>
      <c r="OMU58"/>
      <c r="OMV58"/>
      <c r="OMW58"/>
      <c r="OMX58"/>
      <c r="OMY58"/>
      <c r="OMZ58"/>
      <c r="ONA58"/>
      <c r="ONB58"/>
      <c r="ONC58"/>
      <c r="OND58"/>
      <c r="ONE58"/>
      <c r="ONF58"/>
      <c r="ONG58"/>
      <c r="ONH58"/>
      <c r="ONI58"/>
      <c r="ONJ58"/>
      <c r="ONK58"/>
      <c r="ONL58"/>
      <c r="ONM58"/>
      <c r="ONN58"/>
      <c r="ONO58"/>
      <c r="ONP58"/>
      <c r="ONQ58"/>
      <c r="ONR58"/>
      <c r="ONS58"/>
      <c r="ONT58"/>
      <c r="ONU58"/>
      <c r="ONV58"/>
      <c r="ONW58"/>
      <c r="ONX58"/>
      <c r="ONY58"/>
      <c r="ONZ58"/>
      <c r="OOA58"/>
      <c r="OOB58"/>
      <c r="OOC58"/>
      <c r="OOD58"/>
      <c r="OOE58"/>
      <c r="OOF58"/>
      <c r="OOG58"/>
      <c r="OOH58"/>
      <c r="OOI58"/>
      <c r="OOJ58"/>
      <c r="OOK58"/>
      <c r="OOL58"/>
      <c r="OOM58"/>
      <c r="OON58"/>
      <c r="OOO58"/>
      <c r="OOP58"/>
      <c r="OOQ58"/>
      <c r="OOR58"/>
      <c r="OOS58"/>
      <c r="OOT58"/>
      <c r="OOU58"/>
      <c r="OOV58"/>
      <c r="OOW58"/>
      <c r="OOX58"/>
      <c r="OOY58"/>
      <c r="OOZ58"/>
      <c r="OPA58"/>
      <c r="OPB58"/>
      <c r="OPC58"/>
      <c r="OPD58"/>
      <c r="OPE58"/>
      <c r="OPF58"/>
      <c r="OPG58"/>
      <c r="OPH58"/>
      <c r="OPI58"/>
      <c r="OPJ58"/>
      <c r="OPK58"/>
      <c r="OPL58"/>
      <c r="OPM58"/>
      <c r="OPN58"/>
      <c r="OPO58"/>
      <c r="OPP58"/>
      <c r="OPQ58"/>
      <c r="OPR58"/>
      <c r="OPS58"/>
      <c r="OPT58"/>
      <c r="OPU58"/>
      <c r="OPV58"/>
      <c r="OPW58"/>
      <c r="OPX58"/>
      <c r="OPY58"/>
      <c r="OPZ58"/>
      <c r="OQA58"/>
      <c r="OQB58"/>
      <c r="OQC58"/>
      <c r="OQD58"/>
      <c r="OQE58"/>
      <c r="OQF58"/>
      <c r="OQG58"/>
      <c r="OQH58"/>
      <c r="OQI58"/>
      <c r="OQJ58"/>
      <c r="OQK58"/>
      <c r="OQL58"/>
      <c r="OQM58"/>
      <c r="OQN58"/>
      <c r="OQO58"/>
      <c r="OQP58"/>
      <c r="OQQ58"/>
      <c r="OQR58"/>
      <c r="OQS58"/>
      <c r="OQT58"/>
      <c r="OQU58"/>
      <c r="OQV58"/>
      <c r="OQW58"/>
      <c r="OQX58"/>
      <c r="OQY58"/>
      <c r="OQZ58"/>
      <c r="ORA58"/>
      <c r="ORB58"/>
      <c r="ORC58"/>
      <c r="ORD58"/>
      <c r="ORE58"/>
      <c r="ORF58"/>
      <c r="ORG58"/>
      <c r="ORH58"/>
      <c r="ORI58"/>
      <c r="ORJ58"/>
      <c r="ORK58"/>
      <c r="ORL58"/>
      <c r="ORM58"/>
      <c r="ORN58"/>
      <c r="ORO58"/>
      <c r="ORP58"/>
      <c r="ORQ58"/>
      <c r="ORR58"/>
      <c r="ORS58"/>
      <c r="ORT58"/>
      <c r="ORU58"/>
      <c r="ORV58"/>
      <c r="ORW58"/>
      <c r="ORX58"/>
      <c r="ORY58"/>
      <c r="ORZ58"/>
      <c r="OSA58"/>
      <c r="OSB58"/>
      <c r="OSC58"/>
      <c r="OSD58"/>
      <c r="OSE58"/>
      <c r="OSF58"/>
      <c r="OSG58"/>
      <c r="OSH58"/>
      <c r="OSI58"/>
      <c r="OSJ58"/>
      <c r="OSK58"/>
      <c r="OSL58"/>
      <c r="OSM58"/>
      <c r="OSN58"/>
      <c r="OSO58"/>
      <c r="OSP58"/>
      <c r="OSQ58"/>
      <c r="OSR58"/>
      <c r="OSS58"/>
      <c r="OST58"/>
      <c r="OSU58"/>
      <c r="OSV58"/>
      <c r="OSW58"/>
      <c r="OSX58"/>
      <c r="OSY58"/>
      <c r="OSZ58"/>
      <c r="OTA58"/>
      <c r="OTB58"/>
      <c r="OTC58"/>
      <c r="OTD58"/>
      <c r="OTE58"/>
      <c r="OTF58"/>
      <c r="OTG58"/>
      <c r="OTH58"/>
      <c r="OTI58"/>
      <c r="OTJ58"/>
      <c r="OTK58"/>
      <c r="OTL58"/>
      <c r="OTM58"/>
      <c r="OTN58"/>
      <c r="OTO58"/>
      <c r="OTP58"/>
      <c r="OTQ58"/>
      <c r="OTR58"/>
      <c r="OTS58"/>
      <c r="OTT58"/>
      <c r="OTU58"/>
      <c r="OTV58"/>
      <c r="OTW58"/>
      <c r="OTX58"/>
      <c r="OTY58"/>
      <c r="OTZ58"/>
      <c r="OUA58"/>
      <c r="OUB58"/>
      <c r="OUC58"/>
      <c r="OUD58"/>
      <c r="OUE58"/>
      <c r="OUF58"/>
      <c r="OUG58"/>
      <c r="OUH58"/>
      <c r="OUI58"/>
      <c r="OUJ58"/>
      <c r="OUK58"/>
      <c r="OUL58"/>
      <c r="OUM58"/>
      <c r="OUN58"/>
      <c r="OUO58"/>
      <c r="OUP58"/>
      <c r="OUQ58"/>
      <c r="OUR58"/>
      <c r="OUS58"/>
      <c r="OUT58"/>
      <c r="OUU58"/>
      <c r="OUV58"/>
      <c r="OUW58"/>
      <c r="OUX58"/>
      <c r="OUY58"/>
      <c r="OUZ58"/>
      <c r="OVA58"/>
      <c r="OVB58"/>
      <c r="OVC58"/>
      <c r="OVD58"/>
      <c r="OVE58"/>
      <c r="OVF58"/>
      <c r="OVG58"/>
      <c r="OVH58"/>
      <c r="OVI58"/>
      <c r="OVJ58"/>
      <c r="OVK58"/>
      <c r="OVL58"/>
      <c r="OVM58"/>
      <c r="OVN58"/>
      <c r="OVO58"/>
      <c r="OVP58"/>
      <c r="OVQ58"/>
      <c r="OVR58"/>
      <c r="OVS58"/>
      <c r="OVT58"/>
      <c r="OVU58"/>
      <c r="OVV58"/>
      <c r="OVW58"/>
      <c r="OVX58"/>
      <c r="OVY58"/>
      <c r="OVZ58"/>
      <c r="OWA58"/>
      <c r="OWB58"/>
      <c r="OWC58"/>
      <c r="OWD58"/>
      <c r="OWE58"/>
      <c r="OWF58"/>
      <c r="OWG58"/>
      <c r="OWH58"/>
      <c r="OWI58"/>
      <c r="OWJ58"/>
      <c r="OWK58"/>
      <c r="OWL58"/>
      <c r="OWM58"/>
      <c r="OWN58"/>
      <c r="OWO58"/>
      <c r="OWP58"/>
      <c r="OWQ58"/>
      <c r="OWR58"/>
      <c r="OWS58"/>
      <c r="OWT58"/>
      <c r="OWU58"/>
      <c r="OWV58"/>
      <c r="OWW58"/>
      <c r="OWX58"/>
      <c r="OWY58"/>
      <c r="OWZ58"/>
      <c r="OXA58"/>
      <c r="OXB58"/>
      <c r="OXC58"/>
      <c r="OXD58"/>
      <c r="OXE58"/>
      <c r="OXF58"/>
      <c r="OXG58"/>
      <c r="OXH58"/>
      <c r="OXI58"/>
      <c r="OXJ58"/>
      <c r="OXK58"/>
      <c r="OXL58"/>
      <c r="OXM58"/>
      <c r="OXN58"/>
      <c r="OXO58"/>
      <c r="OXP58"/>
      <c r="OXQ58"/>
      <c r="OXR58"/>
      <c r="OXS58"/>
      <c r="OXT58"/>
      <c r="OXU58"/>
      <c r="OXV58"/>
      <c r="OXW58"/>
      <c r="OXX58"/>
      <c r="OXY58"/>
      <c r="OXZ58"/>
      <c r="OYA58"/>
      <c r="OYB58"/>
      <c r="OYC58"/>
      <c r="OYD58"/>
      <c r="OYE58"/>
      <c r="OYF58"/>
      <c r="OYG58"/>
      <c r="OYH58"/>
      <c r="OYI58"/>
      <c r="OYJ58"/>
      <c r="OYK58"/>
      <c r="OYL58"/>
      <c r="OYM58"/>
      <c r="OYN58"/>
      <c r="OYO58"/>
      <c r="OYP58"/>
      <c r="OYQ58"/>
      <c r="OYR58"/>
      <c r="OYS58"/>
      <c r="OYT58"/>
      <c r="OYU58"/>
      <c r="OYV58"/>
      <c r="OYW58"/>
      <c r="OYX58"/>
      <c r="OYY58"/>
      <c r="OYZ58"/>
      <c r="OZA58"/>
      <c r="OZB58"/>
      <c r="OZC58"/>
      <c r="OZD58"/>
      <c r="OZE58"/>
      <c r="OZF58"/>
      <c r="OZG58"/>
      <c r="OZH58"/>
      <c r="OZI58"/>
      <c r="OZJ58"/>
      <c r="OZK58"/>
      <c r="OZL58"/>
      <c r="OZM58"/>
      <c r="OZN58"/>
      <c r="OZO58"/>
      <c r="OZP58"/>
      <c r="OZQ58"/>
      <c r="OZR58"/>
      <c r="OZS58"/>
      <c r="OZT58"/>
      <c r="OZU58"/>
      <c r="OZV58"/>
      <c r="OZW58"/>
      <c r="OZX58"/>
      <c r="OZY58"/>
      <c r="OZZ58"/>
      <c r="PAA58"/>
      <c r="PAB58"/>
      <c r="PAC58"/>
      <c r="PAD58"/>
      <c r="PAE58"/>
      <c r="PAF58"/>
      <c r="PAG58"/>
      <c r="PAH58"/>
      <c r="PAI58"/>
      <c r="PAJ58"/>
      <c r="PAK58"/>
      <c r="PAL58"/>
      <c r="PAM58"/>
      <c r="PAN58"/>
      <c r="PAO58"/>
      <c r="PAP58"/>
      <c r="PAQ58"/>
      <c r="PAR58"/>
      <c r="PAS58"/>
      <c r="PAT58"/>
      <c r="PAU58"/>
      <c r="PAV58"/>
      <c r="PAW58"/>
      <c r="PAX58"/>
      <c r="PAY58"/>
      <c r="PAZ58"/>
      <c r="PBA58"/>
      <c r="PBB58"/>
      <c r="PBC58"/>
      <c r="PBD58"/>
      <c r="PBE58"/>
      <c r="PBF58"/>
      <c r="PBG58"/>
      <c r="PBH58"/>
      <c r="PBI58"/>
      <c r="PBJ58"/>
      <c r="PBK58"/>
      <c r="PBL58"/>
      <c r="PBM58"/>
      <c r="PBN58"/>
      <c r="PBO58"/>
      <c r="PBP58"/>
      <c r="PBQ58"/>
      <c r="PBR58"/>
      <c r="PBS58"/>
      <c r="PBT58"/>
      <c r="PBU58"/>
      <c r="PBV58"/>
      <c r="PBW58"/>
      <c r="PBX58"/>
      <c r="PBY58"/>
      <c r="PBZ58"/>
      <c r="PCA58"/>
      <c r="PCB58"/>
      <c r="PCC58"/>
      <c r="PCD58"/>
      <c r="PCE58"/>
      <c r="PCF58"/>
      <c r="PCG58"/>
      <c r="PCH58"/>
      <c r="PCI58"/>
      <c r="PCJ58"/>
      <c r="PCK58"/>
      <c r="PCL58"/>
      <c r="PCM58"/>
      <c r="PCN58"/>
      <c r="PCO58"/>
      <c r="PCP58"/>
      <c r="PCQ58"/>
      <c r="PCR58"/>
      <c r="PCS58"/>
      <c r="PCT58"/>
      <c r="PCU58"/>
      <c r="PCV58"/>
      <c r="PCW58"/>
      <c r="PCX58"/>
      <c r="PCY58"/>
      <c r="PCZ58"/>
      <c r="PDA58"/>
      <c r="PDB58"/>
      <c r="PDC58"/>
      <c r="PDD58"/>
      <c r="PDE58"/>
      <c r="PDF58"/>
      <c r="PDG58"/>
      <c r="PDH58"/>
      <c r="PDI58"/>
      <c r="PDJ58"/>
      <c r="PDK58"/>
      <c r="PDL58"/>
      <c r="PDM58"/>
      <c r="PDN58"/>
      <c r="PDO58"/>
      <c r="PDP58"/>
      <c r="PDQ58"/>
      <c r="PDR58"/>
      <c r="PDS58"/>
      <c r="PDT58"/>
      <c r="PDU58"/>
      <c r="PDV58"/>
      <c r="PDW58"/>
      <c r="PDX58"/>
      <c r="PDY58"/>
      <c r="PDZ58"/>
      <c r="PEA58"/>
      <c r="PEB58"/>
      <c r="PEC58"/>
      <c r="PED58"/>
      <c r="PEE58"/>
      <c r="PEF58"/>
      <c r="PEG58"/>
      <c r="PEH58"/>
      <c r="PEI58"/>
      <c r="PEJ58"/>
      <c r="PEK58"/>
      <c r="PEL58"/>
      <c r="PEM58"/>
      <c r="PEN58"/>
      <c r="PEO58"/>
      <c r="PEP58"/>
      <c r="PEQ58"/>
      <c r="PER58"/>
      <c r="PES58"/>
      <c r="PET58"/>
      <c r="PEU58"/>
      <c r="PEV58"/>
      <c r="PEW58"/>
      <c r="PEX58"/>
      <c r="PEY58"/>
      <c r="PEZ58"/>
      <c r="PFA58"/>
      <c r="PFB58"/>
      <c r="PFC58"/>
      <c r="PFD58"/>
      <c r="PFE58"/>
      <c r="PFF58"/>
      <c r="PFG58"/>
      <c r="PFH58"/>
      <c r="PFI58"/>
      <c r="PFJ58"/>
      <c r="PFK58"/>
      <c r="PFL58"/>
      <c r="PFM58"/>
      <c r="PFN58"/>
      <c r="PFO58"/>
      <c r="PFP58"/>
      <c r="PFQ58"/>
      <c r="PFR58"/>
      <c r="PFS58"/>
      <c r="PFT58"/>
      <c r="PFU58"/>
      <c r="PFV58"/>
      <c r="PFW58"/>
      <c r="PFX58"/>
      <c r="PFY58"/>
      <c r="PFZ58"/>
      <c r="PGA58"/>
      <c r="PGB58"/>
      <c r="PGC58"/>
      <c r="PGD58"/>
      <c r="PGE58"/>
      <c r="PGF58"/>
      <c r="PGG58"/>
      <c r="PGH58"/>
      <c r="PGI58"/>
      <c r="PGJ58"/>
      <c r="PGK58"/>
      <c r="PGL58"/>
      <c r="PGM58"/>
      <c r="PGN58"/>
      <c r="PGO58"/>
      <c r="PGP58"/>
      <c r="PGQ58"/>
      <c r="PGR58"/>
      <c r="PGS58"/>
      <c r="PGT58"/>
      <c r="PGU58"/>
      <c r="PGV58"/>
      <c r="PGW58"/>
      <c r="PGX58"/>
      <c r="PGY58"/>
      <c r="PGZ58"/>
      <c r="PHA58"/>
      <c r="PHB58"/>
      <c r="PHC58"/>
      <c r="PHD58"/>
      <c r="PHE58"/>
      <c r="PHF58"/>
      <c r="PHG58"/>
      <c r="PHH58"/>
      <c r="PHI58"/>
      <c r="PHJ58"/>
      <c r="PHK58"/>
      <c r="PHL58"/>
      <c r="PHM58"/>
      <c r="PHN58"/>
      <c r="PHO58"/>
      <c r="PHP58"/>
      <c r="PHQ58"/>
      <c r="PHR58"/>
      <c r="PHS58"/>
      <c r="PHT58"/>
      <c r="PHU58"/>
      <c r="PHV58"/>
      <c r="PHW58"/>
      <c r="PHX58"/>
      <c r="PHY58"/>
      <c r="PHZ58"/>
      <c r="PIA58"/>
      <c r="PIB58"/>
      <c r="PIC58"/>
      <c r="PID58"/>
      <c r="PIE58"/>
      <c r="PIF58"/>
      <c r="PIG58"/>
      <c r="PIH58"/>
      <c r="PII58"/>
      <c r="PIJ58"/>
      <c r="PIK58"/>
      <c r="PIL58"/>
      <c r="PIM58"/>
      <c r="PIN58"/>
      <c r="PIO58"/>
      <c r="PIP58"/>
      <c r="PIQ58"/>
      <c r="PIR58"/>
      <c r="PIS58"/>
      <c r="PIT58"/>
      <c r="PIU58"/>
      <c r="PIV58"/>
      <c r="PIW58"/>
      <c r="PIX58"/>
      <c r="PIY58"/>
      <c r="PIZ58"/>
      <c r="PJA58"/>
      <c r="PJB58"/>
      <c r="PJC58"/>
      <c r="PJD58"/>
      <c r="PJE58"/>
      <c r="PJF58"/>
      <c r="PJG58"/>
      <c r="PJH58"/>
      <c r="PJI58"/>
      <c r="PJJ58"/>
      <c r="PJK58"/>
      <c r="PJL58"/>
      <c r="PJM58"/>
      <c r="PJN58"/>
      <c r="PJO58"/>
      <c r="PJP58"/>
      <c r="PJQ58"/>
      <c r="PJR58"/>
      <c r="PJS58"/>
      <c r="PJT58"/>
      <c r="PJU58"/>
      <c r="PJV58"/>
      <c r="PJW58"/>
      <c r="PJX58"/>
      <c r="PJY58"/>
      <c r="PJZ58"/>
      <c r="PKA58"/>
      <c r="PKB58"/>
      <c r="PKC58"/>
      <c r="PKD58"/>
      <c r="PKE58"/>
      <c r="PKF58"/>
      <c r="PKG58"/>
      <c r="PKH58"/>
      <c r="PKI58"/>
      <c r="PKJ58"/>
      <c r="PKK58"/>
      <c r="PKL58"/>
      <c r="PKM58"/>
      <c r="PKN58"/>
      <c r="PKO58"/>
      <c r="PKP58"/>
      <c r="PKQ58"/>
      <c r="PKR58"/>
      <c r="PKS58"/>
      <c r="PKT58"/>
      <c r="PKU58"/>
      <c r="PKV58"/>
      <c r="PKW58"/>
      <c r="PKX58"/>
      <c r="PKY58"/>
      <c r="PKZ58"/>
      <c r="PLA58"/>
      <c r="PLB58"/>
      <c r="PLC58"/>
      <c r="PLD58"/>
      <c r="PLE58"/>
      <c r="PLF58"/>
      <c r="PLG58"/>
      <c r="PLH58"/>
      <c r="PLI58"/>
      <c r="PLJ58"/>
      <c r="PLK58"/>
      <c r="PLL58"/>
      <c r="PLM58"/>
      <c r="PLN58"/>
      <c r="PLO58"/>
      <c r="PLP58"/>
      <c r="PLQ58"/>
      <c r="PLR58"/>
      <c r="PLS58"/>
      <c r="PLT58"/>
      <c r="PLU58"/>
      <c r="PLV58"/>
      <c r="PLW58"/>
      <c r="PLX58"/>
      <c r="PLY58"/>
      <c r="PLZ58"/>
      <c r="PMA58"/>
      <c r="PMB58"/>
      <c r="PMC58"/>
      <c r="PMD58"/>
      <c r="PME58"/>
      <c r="PMF58"/>
      <c r="PMG58"/>
      <c r="PMH58"/>
      <c r="PMI58"/>
      <c r="PMJ58"/>
      <c r="PMK58"/>
      <c r="PML58"/>
      <c r="PMM58"/>
      <c r="PMN58"/>
      <c r="PMO58"/>
      <c r="PMP58"/>
      <c r="PMQ58"/>
      <c r="PMR58"/>
      <c r="PMS58"/>
      <c r="PMT58"/>
      <c r="PMU58"/>
      <c r="PMV58"/>
      <c r="PMW58"/>
      <c r="PMX58"/>
      <c r="PMY58"/>
      <c r="PMZ58"/>
      <c r="PNA58"/>
      <c r="PNB58"/>
      <c r="PNC58"/>
      <c r="PND58"/>
      <c r="PNE58"/>
      <c r="PNF58"/>
      <c r="PNG58"/>
      <c r="PNH58"/>
      <c r="PNI58"/>
      <c r="PNJ58"/>
      <c r="PNK58"/>
      <c r="PNL58"/>
      <c r="PNM58"/>
      <c r="PNN58"/>
      <c r="PNO58"/>
      <c r="PNP58"/>
      <c r="PNQ58"/>
      <c r="PNR58"/>
      <c r="PNS58"/>
      <c r="PNT58"/>
      <c r="PNU58"/>
      <c r="PNV58"/>
      <c r="PNW58"/>
      <c r="PNX58"/>
      <c r="PNY58"/>
      <c r="PNZ58"/>
      <c r="POA58"/>
      <c r="POB58"/>
      <c r="POC58"/>
      <c r="POD58"/>
      <c r="POE58"/>
      <c r="POF58"/>
      <c r="POG58"/>
      <c r="POH58"/>
      <c r="POI58"/>
      <c r="POJ58"/>
      <c r="POK58"/>
      <c r="POL58"/>
      <c r="POM58"/>
      <c r="PON58"/>
      <c r="POO58"/>
      <c r="POP58"/>
      <c r="POQ58"/>
      <c r="POR58"/>
      <c r="POS58"/>
      <c r="POT58"/>
      <c r="POU58"/>
      <c r="POV58"/>
      <c r="POW58"/>
      <c r="POX58"/>
      <c r="POY58"/>
      <c r="POZ58"/>
      <c r="PPA58"/>
      <c r="PPB58"/>
      <c r="PPC58"/>
      <c r="PPD58"/>
      <c r="PPE58"/>
      <c r="PPF58"/>
      <c r="PPG58"/>
      <c r="PPH58"/>
      <c r="PPI58"/>
      <c r="PPJ58"/>
      <c r="PPK58"/>
      <c r="PPL58"/>
      <c r="PPM58"/>
      <c r="PPN58"/>
      <c r="PPO58"/>
      <c r="PPP58"/>
      <c r="PPQ58"/>
      <c r="PPR58"/>
      <c r="PPS58"/>
      <c r="PPT58"/>
      <c r="PPU58"/>
      <c r="PPV58"/>
      <c r="PPW58"/>
      <c r="PPX58"/>
      <c r="PPY58"/>
      <c r="PPZ58"/>
      <c r="PQA58"/>
      <c r="PQB58"/>
      <c r="PQC58"/>
      <c r="PQD58"/>
      <c r="PQE58"/>
      <c r="PQF58"/>
      <c r="PQG58"/>
      <c r="PQH58"/>
      <c r="PQI58"/>
      <c r="PQJ58"/>
      <c r="PQK58"/>
      <c r="PQL58"/>
      <c r="PQM58"/>
      <c r="PQN58"/>
      <c r="PQO58"/>
      <c r="PQP58"/>
      <c r="PQQ58"/>
      <c r="PQR58"/>
      <c r="PQS58"/>
      <c r="PQT58"/>
      <c r="PQU58"/>
      <c r="PQV58"/>
      <c r="PQW58"/>
      <c r="PQX58"/>
      <c r="PQY58"/>
      <c r="PQZ58"/>
      <c r="PRA58"/>
      <c r="PRB58"/>
      <c r="PRC58"/>
      <c r="PRD58"/>
      <c r="PRE58"/>
      <c r="PRF58"/>
      <c r="PRG58"/>
      <c r="PRH58"/>
      <c r="PRI58"/>
      <c r="PRJ58"/>
      <c r="PRK58"/>
      <c r="PRL58"/>
      <c r="PRM58"/>
      <c r="PRN58"/>
      <c r="PRO58"/>
      <c r="PRP58"/>
      <c r="PRQ58"/>
      <c r="PRR58"/>
      <c r="PRS58"/>
      <c r="PRT58"/>
      <c r="PRU58"/>
      <c r="PRV58"/>
      <c r="PRW58"/>
      <c r="PRX58"/>
      <c r="PRY58"/>
      <c r="PRZ58"/>
      <c r="PSA58"/>
      <c r="PSB58"/>
      <c r="PSC58"/>
      <c r="PSD58"/>
      <c r="PSE58"/>
      <c r="PSF58"/>
      <c r="PSG58"/>
      <c r="PSH58"/>
      <c r="PSI58"/>
      <c r="PSJ58"/>
      <c r="PSK58"/>
      <c r="PSL58"/>
      <c r="PSM58"/>
      <c r="PSN58"/>
      <c r="PSO58"/>
      <c r="PSP58"/>
      <c r="PSQ58"/>
      <c r="PSR58"/>
      <c r="PSS58"/>
      <c r="PST58"/>
      <c r="PSU58"/>
      <c r="PSV58"/>
      <c r="PSW58"/>
      <c r="PSX58"/>
      <c r="PSY58"/>
      <c r="PSZ58"/>
      <c r="PTA58"/>
      <c r="PTB58"/>
      <c r="PTC58"/>
      <c r="PTD58"/>
      <c r="PTE58"/>
      <c r="PTF58"/>
      <c r="PTG58"/>
      <c r="PTH58"/>
      <c r="PTI58"/>
      <c r="PTJ58"/>
      <c r="PTK58"/>
      <c r="PTL58"/>
      <c r="PTM58"/>
      <c r="PTN58"/>
      <c r="PTO58"/>
      <c r="PTP58"/>
      <c r="PTQ58"/>
      <c r="PTR58"/>
      <c r="PTS58"/>
      <c r="PTT58"/>
      <c r="PTU58"/>
      <c r="PTV58"/>
      <c r="PTW58"/>
      <c r="PTX58"/>
      <c r="PTY58"/>
      <c r="PTZ58"/>
      <c r="PUA58"/>
      <c r="PUB58"/>
      <c r="PUC58"/>
      <c r="PUD58"/>
      <c r="PUE58"/>
      <c r="PUF58"/>
      <c r="PUG58"/>
      <c r="PUH58"/>
      <c r="PUI58"/>
      <c r="PUJ58"/>
      <c r="PUK58"/>
      <c r="PUL58"/>
      <c r="PUM58"/>
      <c r="PUN58"/>
      <c r="PUO58"/>
      <c r="PUP58"/>
      <c r="PUQ58"/>
      <c r="PUR58"/>
      <c r="PUS58"/>
      <c r="PUT58"/>
      <c r="PUU58"/>
      <c r="PUV58"/>
      <c r="PUW58"/>
      <c r="PUX58"/>
      <c r="PUY58"/>
      <c r="PUZ58"/>
      <c r="PVA58"/>
      <c r="PVB58"/>
      <c r="PVC58"/>
      <c r="PVD58"/>
      <c r="PVE58"/>
      <c r="PVF58"/>
      <c r="PVG58"/>
      <c r="PVH58"/>
      <c r="PVI58"/>
      <c r="PVJ58"/>
      <c r="PVK58"/>
      <c r="PVL58"/>
      <c r="PVM58"/>
      <c r="PVN58"/>
      <c r="PVO58"/>
      <c r="PVP58"/>
      <c r="PVQ58"/>
      <c r="PVR58"/>
      <c r="PVS58"/>
      <c r="PVT58"/>
      <c r="PVU58"/>
      <c r="PVV58"/>
      <c r="PVW58"/>
      <c r="PVX58"/>
      <c r="PVY58"/>
      <c r="PVZ58"/>
      <c r="PWA58"/>
      <c r="PWB58"/>
      <c r="PWC58"/>
      <c r="PWD58"/>
      <c r="PWE58"/>
      <c r="PWF58"/>
      <c r="PWG58"/>
      <c r="PWH58"/>
      <c r="PWI58"/>
      <c r="PWJ58"/>
      <c r="PWK58"/>
      <c r="PWL58"/>
      <c r="PWM58"/>
      <c r="PWN58"/>
      <c r="PWO58"/>
      <c r="PWP58"/>
      <c r="PWQ58"/>
      <c r="PWR58"/>
      <c r="PWS58"/>
      <c r="PWT58"/>
      <c r="PWU58"/>
      <c r="PWV58"/>
      <c r="PWW58"/>
      <c r="PWX58"/>
      <c r="PWY58"/>
      <c r="PWZ58"/>
      <c r="PXA58"/>
      <c r="PXB58"/>
      <c r="PXC58"/>
      <c r="PXD58"/>
      <c r="PXE58"/>
      <c r="PXF58"/>
      <c r="PXG58"/>
      <c r="PXH58"/>
      <c r="PXI58"/>
      <c r="PXJ58"/>
      <c r="PXK58"/>
      <c r="PXL58"/>
      <c r="PXM58"/>
      <c r="PXN58"/>
      <c r="PXO58"/>
      <c r="PXP58"/>
      <c r="PXQ58"/>
      <c r="PXR58"/>
      <c r="PXS58"/>
      <c r="PXT58"/>
      <c r="PXU58"/>
      <c r="PXV58"/>
      <c r="PXW58"/>
      <c r="PXX58"/>
      <c r="PXY58"/>
      <c r="PXZ58"/>
      <c r="PYA58"/>
      <c r="PYB58"/>
      <c r="PYC58"/>
      <c r="PYD58"/>
      <c r="PYE58"/>
      <c r="PYF58"/>
      <c r="PYG58"/>
      <c r="PYH58"/>
      <c r="PYI58"/>
      <c r="PYJ58"/>
      <c r="PYK58"/>
      <c r="PYL58"/>
      <c r="PYM58"/>
      <c r="PYN58"/>
      <c r="PYO58"/>
      <c r="PYP58"/>
      <c r="PYQ58"/>
      <c r="PYR58"/>
      <c r="PYS58"/>
      <c r="PYT58"/>
      <c r="PYU58"/>
      <c r="PYV58"/>
      <c r="PYW58"/>
      <c r="PYX58"/>
      <c r="PYY58"/>
      <c r="PYZ58"/>
      <c r="PZA58"/>
      <c r="PZB58"/>
      <c r="PZC58"/>
      <c r="PZD58"/>
      <c r="PZE58"/>
      <c r="PZF58"/>
      <c r="PZG58"/>
      <c r="PZH58"/>
      <c r="PZI58"/>
      <c r="PZJ58"/>
      <c r="PZK58"/>
      <c r="PZL58"/>
      <c r="PZM58"/>
      <c r="PZN58"/>
      <c r="PZO58"/>
      <c r="PZP58"/>
      <c r="PZQ58"/>
      <c r="PZR58"/>
      <c r="PZS58"/>
      <c r="PZT58"/>
      <c r="PZU58"/>
      <c r="PZV58"/>
      <c r="PZW58"/>
      <c r="PZX58"/>
      <c r="PZY58"/>
      <c r="PZZ58"/>
      <c r="QAA58"/>
      <c r="QAB58"/>
      <c r="QAC58"/>
      <c r="QAD58"/>
      <c r="QAE58"/>
      <c r="QAF58"/>
      <c r="QAG58"/>
      <c r="QAH58"/>
      <c r="QAI58"/>
      <c r="QAJ58"/>
      <c r="QAK58"/>
      <c r="QAL58"/>
      <c r="QAM58"/>
      <c r="QAN58"/>
      <c r="QAO58"/>
      <c r="QAP58"/>
      <c r="QAQ58"/>
      <c r="QAR58"/>
      <c r="QAS58"/>
      <c r="QAT58"/>
      <c r="QAU58"/>
      <c r="QAV58"/>
      <c r="QAW58"/>
      <c r="QAX58"/>
      <c r="QAY58"/>
      <c r="QAZ58"/>
      <c r="QBA58"/>
      <c r="QBB58"/>
      <c r="QBC58"/>
      <c r="QBD58"/>
      <c r="QBE58"/>
      <c r="QBF58"/>
      <c r="QBG58"/>
      <c r="QBH58"/>
      <c r="QBI58"/>
      <c r="QBJ58"/>
      <c r="QBK58"/>
      <c r="QBL58"/>
      <c r="QBM58"/>
      <c r="QBN58"/>
      <c r="QBO58"/>
      <c r="QBP58"/>
      <c r="QBQ58"/>
      <c r="QBR58"/>
      <c r="QBS58"/>
      <c r="QBT58"/>
      <c r="QBU58"/>
      <c r="QBV58"/>
      <c r="QBW58"/>
      <c r="QBX58"/>
      <c r="QBY58"/>
      <c r="QBZ58"/>
      <c r="QCA58"/>
      <c r="QCB58"/>
      <c r="QCC58"/>
      <c r="QCD58"/>
      <c r="QCE58"/>
      <c r="QCF58"/>
      <c r="QCG58"/>
      <c r="QCH58"/>
      <c r="QCI58"/>
      <c r="QCJ58"/>
      <c r="QCK58"/>
      <c r="QCL58"/>
      <c r="QCM58"/>
      <c r="QCN58"/>
      <c r="QCO58"/>
      <c r="QCP58"/>
      <c r="QCQ58"/>
      <c r="QCR58"/>
      <c r="QCS58"/>
      <c r="QCT58"/>
      <c r="QCU58"/>
      <c r="QCV58"/>
      <c r="QCW58"/>
      <c r="QCX58"/>
      <c r="QCY58"/>
      <c r="QCZ58"/>
      <c r="QDA58"/>
      <c r="QDB58"/>
      <c r="QDC58"/>
      <c r="QDD58"/>
      <c r="QDE58"/>
      <c r="QDF58"/>
      <c r="QDG58"/>
      <c r="QDH58"/>
      <c r="QDI58"/>
      <c r="QDJ58"/>
      <c r="QDK58"/>
      <c r="QDL58"/>
      <c r="QDM58"/>
      <c r="QDN58"/>
      <c r="QDO58"/>
      <c r="QDP58"/>
      <c r="QDQ58"/>
      <c r="QDR58"/>
      <c r="QDS58"/>
      <c r="QDT58"/>
      <c r="QDU58"/>
      <c r="QDV58"/>
      <c r="QDW58"/>
      <c r="QDX58"/>
      <c r="QDY58"/>
      <c r="QDZ58"/>
      <c r="QEA58"/>
      <c r="QEB58"/>
      <c r="QEC58"/>
      <c r="QED58"/>
      <c r="QEE58"/>
      <c r="QEF58"/>
      <c r="QEG58"/>
      <c r="QEH58"/>
      <c r="QEI58"/>
      <c r="QEJ58"/>
      <c r="QEK58"/>
      <c r="QEL58"/>
      <c r="QEM58"/>
      <c r="QEN58"/>
      <c r="QEO58"/>
      <c r="QEP58"/>
      <c r="QEQ58"/>
      <c r="QER58"/>
      <c r="QES58"/>
      <c r="QET58"/>
      <c r="QEU58"/>
      <c r="QEV58"/>
      <c r="QEW58"/>
      <c r="QEX58"/>
      <c r="QEY58"/>
      <c r="QEZ58"/>
      <c r="QFA58"/>
      <c r="QFB58"/>
      <c r="QFC58"/>
      <c r="QFD58"/>
      <c r="QFE58"/>
      <c r="QFF58"/>
      <c r="QFG58"/>
      <c r="QFH58"/>
      <c r="QFI58"/>
      <c r="QFJ58"/>
      <c r="QFK58"/>
      <c r="QFL58"/>
      <c r="QFM58"/>
      <c r="QFN58"/>
      <c r="QFO58"/>
      <c r="QFP58"/>
      <c r="QFQ58"/>
      <c r="QFR58"/>
      <c r="QFS58"/>
      <c r="QFT58"/>
      <c r="QFU58"/>
      <c r="QFV58"/>
      <c r="QFW58"/>
      <c r="QFX58"/>
      <c r="QFY58"/>
      <c r="QFZ58"/>
      <c r="QGA58"/>
      <c r="QGB58"/>
      <c r="QGC58"/>
      <c r="QGD58"/>
      <c r="QGE58"/>
      <c r="QGF58"/>
      <c r="QGG58"/>
      <c r="QGH58"/>
      <c r="QGI58"/>
      <c r="QGJ58"/>
      <c r="QGK58"/>
      <c r="QGL58"/>
      <c r="QGM58"/>
      <c r="QGN58"/>
      <c r="QGO58"/>
      <c r="QGP58"/>
      <c r="QGQ58"/>
      <c r="QGR58"/>
      <c r="QGS58"/>
      <c r="QGT58"/>
      <c r="QGU58"/>
      <c r="QGV58"/>
      <c r="QGW58"/>
      <c r="QGX58"/>
      <c r="QGY58"/>
      <c r="QGZ58"/>
      <c r="QHA58"/>
      <c r="QHB58"/>
      <c r="QHC58"/>
      <c r="QHD58"/>
      <c r="QHE58"/>
      <c r="QHF58"/>
      <c r="QHG58"/>
      <c r="QHH58"/>
      <c r="QHI58"/>
      <c r="QHJ58"/>
      <c r="QHK58"/>
      <c r="QHL58"/>
      <c r="QHM58"/>
      <c r="QHN58"/>
      <c r="QHO58"/>
      <c r="QHP58"/>
      <c r="QHQ58"/>
      <c r="QHR58"/>
      <c r="QHS58"/>
      <c r="QHT58"/>
      <c r="QHU58"/>
      <c r="QHV58"/>
      <c r="QHW58"/>
      <c r="QHX58"/>
      <c r="QHY58"/>
      <c r="QHZ58"/>
      <c r="QIA58"/>
      <c r="QIB58"/>
      <c r="QIC58"/>
      <c r="QID58"/>
      <c r="QIE58"/>
      <c r="QIF58"/>
      <c r="QIG58"/>
      <c r="QIH58"/>
      <c r="QII58"/>
      <c r="QIJ58"/>
      <c r="QIK58"/>
      <c r="QIL58"/>
      <c r="QIM58"/>
      <c r="QIN58"/>
      <c r="QIO58"/>
      <c r="QIP58"/>
      <c r="QIQ58"/>
      <c r="QIR58"/>
      <c r="QIS58"/>
      <c r="QIT58"/>
      <c r="QIU58"/>
      <c r="QIV58"/>
      <c r="QIW58"/>
      <c r="QIX58"/>
      <c r="QIY58"/>
      <c r="QIZ58"/>
      <c r="QJA58"/>
      <c r="QJB58"/>
      <c r="QJC58"/>
      <c r="QJD58"/>
      <c r="QJE58"/>
      <c r="QJF58"/>
      <c r="QJG58"/>
      <c r="QJH58"/>
      <c r="QJI58"/>
      <c r="QJJ58"/>
      <c r="QJK58"/>
      <c r="QJL58"/>
      <c r="QJM58"/>
      <c r="QJN58"/>
      <c r="QJO58"/>
      <c r="QJP58"/>
      <c r="QJQ58"/>
      <c r="QJR58"/>
      <c r="QJS58"/>
      <c r="QJT58"/>
      <c r="QJU58"/>
      <c r="QJV58"/>
      <c r="QJW58"/>
      <c r="QJX58"/>
      <c r="QJY58"/>
      <c r="QJZ58"/>
      <c r="QKA58"/>
      <c r="QKB58"/>
      <c r="QKC58"/>
      <c r="QKD58"/>
      <c r="QKE58"/>
      <c r="QKF58"/>
      <c r="QKG58"/>
      <c r="QKH58"/>
      <c r="QKI58"/>
      <c r="QKJ58"/>
      <c r="QKK58"/>
      <c r="QKL58"/>
      <c r="QKM58"/>
      <c r="QKN58"/>
      <c r="QKO58"/>
      <c r="QKP58"/>
      <c r="QKQ58"/>
      <c r="QKR58"/>
      <c r="QKS58"/>
      <c r="QKT58"/>
      <c r="QKU58"/>
      <c r="QKV58"/>
      <c r="QKW58"/>
      <c r="QKX58"/>
      <c r="QKY58"/>
      <c r="QKZ58"/>
      <c r="QLA58"/>
      <c r="QLB58"/>
      <c r="QLC58"/>
      <c r="QLD58"/>
      <c r="QLE58"/>
      <c r="QLF58"/>
      <c r="QLG58"/>
      <c r="QLH58"/>
      <c r="QLI58"/>
      <c r="QLJ58"/>
      <c r="QLK58"/>
      <c r="QLL58"/>
      <c r="QLM58"/>
      <c r="QLN58"/>
      <c r="QLO58"/>
      <c r="QLP58"/>
      <c r="QLQ58"/>
      <c r="QLR58"/>
      <c r="QLS58"/>
      <c r="QLT58"/>
      <c r="QLU58"/>
      <c r="QLV58"/>
      <c r="QLW58"/>
      <c r="QLX58"/>
      <c r="QLY58"/>
      <c r="QLZ58"/>
      <c r="QMA58"/>
      <c r="QMB58"/>
      <c r="QMC58"/>
      <c r="QMD58"/>
      <c r="QME58"/>
      <c r="QMF58"/>
      <c r="QMG58"/>
      <c r="QMH58"/>
      <c r="QMI58"/>
      <c r="QMJ58"/>
      <c r="QMK58"/>
      <c r="QML58"/>
      <c r="QMM58"/>
      <c r="QMN58"/>
      <c r="QMO58"/>
      <c r="QMP58"/>
      <c r="QMQ58"/>
      <c r="QMR58"/>
      <c r="QMS58"/>
      <c r="QMT58"/>
      <c r="QMU58"/>
      <c r="QMV58"/>
      <c r="QMW58"/>
      <c r="QMX58"/>
      <c r="QMY58"/>
      <c r="QMZ58"/>
      <c r="QNA58"/>
      <c r="QNB58"/>
      <c r="QNC58"/>
      <c r="QND58"/>
      <c r="QNE58"/>
      <c r="QNF58"/>
      <c r="QNG58"/>
      <c r="QNH58"/>
      <c r="QNI58"/>
      <c r="QNJ58"/>
      <c r="QNK58"/>
      <c r="QNL58"/>
      <c r="QNM58"/>
      <c r="QNN58"/>
      <c r="QNO58"/>
      <c r="QNP58"/>
      <c r="QNQ58"/>
      <c r="QNR58"/>
      <c r="QNS58"/>
      <c r="QNT58"/>
      <c r="QNU58"/>
      <c r="QNV58"/>
      <c r="QNW58"/>
      <c r="QNX58"/>
      <c r="QNY58"/>
      <c r="QNZ58"/>
      <c r="QOA58"/>
      <c r="QOB58"/>
      <c r="QOC58"/>
      <c r="QOD58"/>
      <c r="QOE58"/>
      <c r="QOF58"/>
      <c r="QOG58"/>
      <c r="QOH58"/>
      <c r="QOI58"/>
      <c r="QOJ58"/>
      <c r="QOK58"/>
      <c r="QOL58"/>
      <c r="QOM58"/>
      <c r="QON58"/>
      <c r="QOO58"/>
      <c r="QOP58"/>
      <c r="QOQ58"/>
      <c r="QOR58"/>
      <c r="QOS58"/>
      <c r="QOT58"/>
      <c r="QOU58"/>
      <c r="QOV58"/>
      <c r="QOW58"/>
      <c r="QOX58"/>
      <c r="QOY58"/>
      <c r="QOZ58"/>
      <c r="QPA58"/>
      <c r="QPB58"/>
      <c r="QPC58"/>
      <c r="QPD58"/>
      <c r="QPE58"/>
      <c r="QPF58"/>
      <c r="QPG58"/>
      <c r="QPH58"/>
      <c r="QPI58"/>
      <c r="QPJ58"/>
      <c r="QPK58"/>
      <c r="QPL58"/>
      <c r="QPM58"/>
      <c r="QPN58"/>
      <c r="QPO58"/>
      <c r="QPP58"/>
      <c r="QPQ58"/>
      <c r="QPR58"/>
      <c r="QPS58"/>
      <c r="QPT58"/>
      <c r="QPU58"/>
      <c r="QPV58"/>
      <c r="QPW58"/>
      <c r="QPX58"/>
      <c r="QPY58"/>
      <c r="QPZ58"/>
      <c r="QQA58"/>
      <c r="QQB58"/>
      <c r="QQC58"/>
      <c r="QQD58"/>
      <c r="QQE58"/>
      <c r="QQF58"/>
      <c r="QQG58"/>
      <c r="QQH58"/>
      <c r="QQI58"/>
      <c r="QQJ58"/>
      <c r="QQK58"/>
      <c r="QQL58"/>
      <c r="QQM58"/>
      <c r="QQN58"/>
      <c r="QQO58"/>
      <c r="QQP58"/>
      <c r="QQQ58"/>
      <c r="QQR58"/>
      <c r="QQS58"/>
      <c r="QQT58"/>
      <c r="QQU58"/>
      <c r="QQV58"/>
      <c r="QQW58"/>
      <c r="QQX58"/>
      <c r="QQY58"/>
      <c r="QQZ58"/>
      <c r="QRA58"/>
      <c r="QRB58"/>
      <c r="QRC58"/>
      <c r="QRD58"/>
      <c r="QRE58"/>
      <c r="QRF58"/>
      <c r="QRG58"/>
      <c r="QRH58"/>
      <c r="QRI58"/>
      <c r="QRJ58"/>
      <c r="QRK58"/>
      <c r="QRL58"/>
      <c r="QRM58"/>
      <c r="QRN58"/>
      <c r="QRO58"/>
      <c r="QRP58"/>
      <c r="QRQ58"/>
      <c r="QRR58"/>
      <c r="QRS58"/>
      <c r="QRT58"/>
      <c r="QRU58"/>
      <c r="QRV58"/>
      <c r="QRW58"/>
      <c r="QRX58"/>
      <c r="QRY58"/>
      <c r="QRZ58"/>
      <c r="QSA58"/>
      <c r="QSB58"/>
      <c r="QSC58"/>
      <c r="QSD58"/>
      <c r="QSE58"/>
      <c r="QSF58"/>
      <c r="QSG58"/>
      <c r="QSH58"/>
      <c r="QSI58"/>
      <c r="QSJ58"/>
      <c r="QSK58"/>
      <c r="QSL58"/>
      <c r="QSM58"/>
      <c r="QSN58"/>
      <c r="QSO58"/>
      <c r="QSP58"/>
      <c r="QSQ58"/>
      <c r="QSR58"/>
      <c r="QSS58"/>
      <c r="QST58"/>
      <c r="QSU58"/>
      <c r="QSV58"/>
      <c r="QSW58"/>
      <c r="QSX58"/>
      <c r="QSY58"/>
      <c r="QSZ58"/>
      <c r="QTA58"/>
      <c r="QTB58"/>
      <c r="QTC58"/>
      <c r="QTD58"/>
      <c r="QTE58"/>
      <c r="QTF58"/>
      <c r="QTG58"/>
      <c r="QTH58"/>
      <c r="QTI58"/>
      <c r="QTJ58"/>
      <c r="QTK58"/>
      <c r="QTL58"/>
      <c r="QTM58"/>
      <c r="QTN58"/>
      <c r="QTO58"/>
      <c r="QTP58"/>
      <c r="QTQ58"/>
      <c r="QTR58"/>
      <c r="QTS58"/>
      <c r="QTT58"/>
      <c r="QTU58"/>
      <c r="QTV58"/>
      <c r="QTW58"/>
      <c r="QTX58"/>
      <c r="QTY58"/>
      <c r="QTZ58"/>
      <c r="QUA58"/>
      <c r="QUB58"/>
      <c r="QUC58"/>
      <c r="QUD58"/>
      <c r="QUE58"/>
      <c r="QUF58"/>
      <c r="QUG58"/>
      <c r="QUH58"/>
      <c r="QUI58"/>
      <c r="QUJ58"/>
      <c r="QUK58"/>
      <c r="QUL58"/>
      <c r="QUM58"/>
      <c r="QUN58"/>
      <c r="QUO58"/>
      <c r="QUP58"/>
      <c r="QUQ58"/>
      <c r="QUR58"/>
      <c r="QUS58"/>
      <c r="QUT58"/>
      <c r="QUU58"/>
      <c r="QUV58"/>
      <c r="QUW58"/>
      <c r="QUX58"/>
      <c r="QUY58"/>
      <c r="QUZ58"/>
      <c r="QVA58"/>
      <c r="QVB58"/>
      <c r="QVC58"/>
      <c r="QVD58"/>
      <c r="QVE58"/>
      <c r="QVF58"/>
      <c r="QVG58"/>
      <c r="QVH58"/>
      <c r="QVI58"/>
      <c r="QVJ58"/>
      <c r="QVK58"/>
      <c r="QVL58"/>
      <c r="QVM58"/>
      <c r="QVN58"/>
      <c r="QVO58"/>
      <c r="QVP58"/>
      <c r="QVQ58"/>
      <c r="QVR58"/>
      <c r="QVS58"/>
      <c r="QVT58"/>
      <c r="QVU58"/>
      <c r="QVV58"/>
      <c r="QVW58"/>
      <c r="QVX58"/>
      <c r="QVY58"/>
      <c r="QVZ58"/>
      <c r="QWA58"/>
      <c r="QWB58"/>
      <c r="QWC58"/>
      <c r="QWD58"/>
      <c r="QWE58"/>
      <c r="QWF58"/>
      <c r="QWG58"/>
      <c r="QWH58"/>
      <c r="QWI58"/>
      <c r="QWJ58"/>
      <c r="QWK58"/>
      <c r="QWL58"/>
      <c r="QWM58"/>
      <c r="QWN58"/>
      <c r="QWO58"/>
      <c r="QWP58"/>
      <c r="QWQ58"/>
      <c r="QWR58"/>
      <c r="QWS58"/>
      <c r="QWT58"/>
      <c r="QWU58"/>
      <c r="QWV58"/>
      <c r="QWW58"/>
      <c r="QWX58"/>
      <c r="QWY58"/>
      <c r="QWZ58"/>
      <c r="QXA58"/>
      <c r="QXB58"/>
      <c r="QXC58"/>
      <c r="QXD58"/>
      <c r="QXE58"/>
      <c r="QXF58"/>
      <c r="QXG58"/>
      <c r="QXH58"/>
      <c r="QXI58"/>
      <c r="QXJ58"/>
      <c r="QXK58"/>
      <c r="QXL58"/>
      <c r="QXM58"/>
      <c r="QXN58"/>
      <c r="QXO58"/>
      <c r="QXP58"/>
      <c r="QXQ58"/>
      <c r="QXR58"/>
      <c r="QXS58"/>
      <c r="QXT58"/>
      <c r="QXU58"/>
      <c r="QXV58"/>
      <c r="QXW58"/>
      <c r="QXX58"/>
      <c r="QXY58"/>
      <c r="QXZ58"/>
      <c r="QYA58"/>
      <c r="QYB58"/>
      <c r="QYC58"/>
      <c r="QYD58"/>
      <c r="QYE58"/>
      <c r="QYF58"/>
      <c r="QYG58"/>
      <c r="QYH58"/>
      <c r="QYI58"/>
      <c r="QYJ58"/>
      <c r="QYK58"/>
      <c r="QYL58"/>
      <c r="QYM58"/>
      <c r="QYN58"/>
      <c r="QYO58"/>
      <c r="QYP58"/>
      <c r="QYQ58"/>
      <c r="QYR58"/>
      <c r="QYS58"/>
      <c r="QYT58"/>
      <c r="QYU58"/>
      <c r="QYV58"/>
      <c r="QYW58"/>
      <c r="QYX58"/>
      <c r="QYY58"/>
      <c r="QYZ58"/>
      <c r="QZA58"/>
      <c r="QZB58"/>
      <c r="QZC58"/>
      <c r="QZD58"/>
      <c r="QZE58"/>
      <c r="QZF58"/>
      <c r="QZG58"/>
      <c r="QZH58"/>
      <c r="QZI58"/>
      <c r="QZJ58"/>
      <c r="QZK58"/>
      <c r="QZL58"/>
      <c r="QZM58"/>
      <c r="QZN58"/>
      <c r="QZO58"/>
      <c r="QZP58"/>
      <c r="QZQ58"/>
      <c r="QZR58"/>
      <c r="QZS58"/>
      <c r="QZT58"/>
      <c r="QZU58"/>
      <c r="QZV58"/>
      <c r="QZW58"/>
      <c r="QZX58"/>
      <c r="QZY58"/>
      <c r="QZZ58"/>
      <c r="RAA58"/>
      <c r="RAB58"/>
      <c r="RAC58"/>
      <c r="RAD58"/>
      <c r="RAE58"/>
      <c r="RAF58"/>
      <c r="RAG58"/>
      <c r="RAH58"/>
      <c r="RAI58"/>
      <c r="RAJ58"/>
      <c r="RAK58"/>
      <c r="RAL58"/>
      <c r="RAM58"/>
      <c r="RAN58"/>
      <c r="RAO58"/>
      <c r="RAP58"/>
      <c r="RAQ58"/>
      <c r="RAR58"/>
      <c r="RAS58"/>
      <c r="RAT58"/>
      <c r="RAU58"/>
      <c r="RAV58"/>
      <c r="RAW58"/>
      <c r="RAX58"/>
      <c r="RAY58"/>
      <c r="RAZ58"/>
      <c r="RBA58"/>
      <c r="RBB58"/>
      <c r="RBC58"/>
      <c r="RBD58"/>
      <c r="RBE58"/>
      <c r="RBF58"/>
      <c r="RBG58"/>
      <c r="RBH58"/>
      <c r="RBI58"/>
      <c r="RBJ58"/>
      <c r="RBK58"/>
      <c r="RBL58"/>
      <c r="RBM58"/>
      <c r="RBN58"/>
      <c r="RBO58"/>
      <c r="RBP58"/>
      <c r="RBQ58"/>
      <c r="RBR58"/>
      <c r="RBS58"/>
      <c r="RBT58"/>
      <c r="RBU58"/>
      <c r="RBV58"/>
      <c r="RBW58"/>
      <c r="RBX58"/>
      <c r="RBY58"/>
      <c r="RBZ58"/>
      <c r="RCA58"/>
      <c r="RCB58"/>
      <c r="RCC58"/>
      <c r="RCD58"/>
      <c r="RCE58"/>
      <c r="RCF58"/>
      <c r="RCG58"/>
      <c r="RCH58"/>
      <c r="RCI58"/>
      <c r="RCJ58"/>
      <c r="RCK58"/>
      <c r="RCL58"/>
      <c r="RCM58"/>
      <c r="RCN58"/>
      <c r="RCO58"/>
      <c r="RCP58"/>
      <c r="RCQ58"/>
      <c r="RCR58"/>
      <c r="RCS58"/>
      <c r="RCT58"/>
      <c r="RCU58"/>
      <c r="RCV58"/>
      <c r="RCW58"/>
      <c r="RCX58"/>
      <c r="RCY58"/>
      <c r="RCZ58"/>
      <c r="RDA58"/>
      <c r="RDB58"/>
      <c r="RDC58"/>
      <c r="RDD58"/>
      <c r="RDE58"/>
      <c r="RDF58"/>
      <c r="RDG58"/>
      <c r="RDH58"/>
      <c r="RDI58"/>
      <c r="RDJ58"/>
      <c r="RDK58"/>
      <c r="RDL58"/>
      <c r="RDM58"/>
      <c r="RDN58"/>
      <c r="RDO58"/>
      <c r="RDP58"/>
      <c r="RDQ58"/>
      <c r="RDR58"/>
      <c r="RDS58"/>
      <c r="RDT58"/>
      <c r="RDU58"/>
      <c r="RDV58"/>
      <c r="RDW58"/>
      <c r="RDX58"/>
      <c r="RDY58"/>
      <c r="RDZ58"/>
      <c r="REA58"/>
      <c r="REB58"/>
      <c r="REC58"/>
      <c r="RED58"/>
      <c r="REE58"/>
      <c r="REF58"/>
      <c r="REG58"/>
      <c r="REH58"/>
      <c r="REI58"/>
      <c r="REJ58"/>
      <c r="REK58"/>
      <c r="REL58"/>
      <c r="REM58"/>
      <c r="REN58"/>
      <c r="REO58"/>
      <c r="REP58"/>
      <c r="REQ58"/>
      <c r="RER58"/>
      <c r="RES58"/>
      <c r="RET58"/>
      <c r="REU58"/>
      <c r="REV58"/>
      <c r="REW58"/>
      <c r="REX58"/>
      <c r="REY58"/>
      <c r="REZ58"/>
      <c r="RFA58"/>
      <c r="RFB58"/>
      <c r="RFC58"/>
      <c r="RFD58"/>
      <c r="RFE58"/>
      <c r="RFF58"/>
      <c r="RFG58"/>
      <c r="RFH58"/>
      <c r="RFI58"/>
      <c r="RFJ58"/>
      <c r="RFK58"/>
      <c r="RFL58"/>
      <c r="RFM58"/>
      <c r="RFN58"/>
      <c r="RFO58"/>
      <c r="RFP58"/>
      <c r="RFQ58"/>
      <c r="RFR58"/>
      <c r="RFS58"/>
      <c r="RFT58"/>
      <c r="RFU58"/>
      <c r="RFV58"/>
      <c r="RFW58"/>
      <c r="RFX58"/>
      <c r="RFY58"/>
      <c r="RFZ58"/>
      <c r="RGA58"/>
      <c r="RGB58"/>
      <c r="RGC58"/>
      <c r="RGD58"/>
      <c r="RGE58"/>
      <c r="RGF58"/>
      <c r="RGG58"/>
      <c r="RGH58"/>
      <c r="RGI58"/>
      <c r="RGJ58"/>
      <c r="RGK58"/>
      <c r="RGL58"/>
      <c r="RGM58"/>
      <c r="RGN58"/>
      <c r="RGO58"/>
      <c r="RGP58"/>
      <c r="RGQ58"/>
      <c r="RGR58"/>
      <c r="RGS58"/>
      <c r="RGT58"/>
      <c r="RGU58"/>
      <c r="RGV58"/>
      <c r="RGW58"/>
      <c r="RGX58"/>
      <c r="RGY58"/>
      <c r="RGZ58"/>
      <c r="RHA58"/>
      <c r="RHB58"/>
      <c r="RHC58"/>
      <c r="RHD58"/>
      <c r="RHE58"/>
      <c r="RHF58"/>
      <c r="RHG58"/>
      <c r="RHH58"/>
      <c r="RHI58"/>
      <c r="RHJ58"/>
      <c r="RHK58"/>
      <c r="RHL58"/>
      <c r="RHM58"/>
      <c r="RHN58"/>
      <c r="RHO58"/>
      <c r="RHP58"/>
      <c r="RHQ58"/>
      <c r="RHR58"/>
      <c r="RHS58"/>
      <c r="RHT58"/>
      <c r="RHU58"/>
      <c r="RHV58"/>
      <c r="RHW58"/>
      <c r="RHX58"/>
      <c r="RHY58"/>
      <c r="RHZ58"/>
      <c r="RIA58"/>
      <c r="RIB58"/>
      <c r="RIC58"/>
      <c r="RID58"/>
      <c r="RIE58"/>
      <c r="RIF58"/>
      <c r="RIG58"/>
      <c r="RIH58"/>
      <c r="RII58"/>
      <c r="RIJ58"/>
      <c r="RIK58"/>
      <c r="RIL58"/>
      <c r="RIM58"/>
      <c r="RIN58"/>
      <c r="RIO58"/>
      <c r="RIP58"/>
      <c r="RIQ58"/>
      <c r="RIR58"/>
      <c r="RIS58"/>
      <c r="RIT58"/>
      <c r="RIU58"/>
      <c r="RIV58"/>
      <c r="RIW58"/>
      <c r="RIX58"/>
      <c r="RIY58"/>
      <c r="RIZ58"/>
      <c r="RJA58"/>
      <c r="RJB58"/>
      <c r="RJC58"/>
      <c r="RJD58"/>
      <c r="RJE58"/>
      <c r="RJF58"/>
      <c r="RJG58"/>
      <c r="RJH58"/>
      <c r="RJI58"/>
      <c r="RJJ58"/>
      <c r="RJK58"/>
      <c r="RJL58"/>
      <c r="RJM58"/>
      <c r="RJN58"/>
      <c r="RJO58"/>
      <c r="RJP58"/>
      <c r="RJQ58"/>
      <c r="RJR58"/>
      <c r="RJS58"/>
      <c r="RJT58"/>
      <c r="RJU58"/>
      <c r="RJV58"/>
      <c r="RJW58"/>
      <c r="RJX58"/>
      <c r="RJY58"/>
      <c r="RJZ58"/>
      <c r="RKA58"/>
      <c r="RKB58"/>
      <c r="RKC58"/>
      <c r="RKD58"/>
      <c r="RKE58"/>
      <c r="RKF58"/>
      <c r="RKG58"/>
      <c r="RKH58"/>
      <c r="RKI58"/>
      <c r="RKJ58"/>
      <c r="RKK58"/>
      <c r="RKL58"/>
      <c r="RKM58"/>
      <c r="RKN58"/>
      <c r="RKO58"/>
      <c r="RKP58"/>
      <c r="RKQ58"/>
      <c r="RKR58"/>
      <c r="RKS58"/>
      <c r="RKT58"/>
      <c r="RKU58"/>
      <c r="RKV58"/>
      <c r="RKW58"/>
      <c r="RKX58"/>
      <c r="RKY58"/>
      <c r="RKZ58"/>
      <c r="RLA58"/>
      <c r="RLB58"/>
      <c r="RLC58"/>
      <c r="RLD58"/>
      <c r="RLE58"/>
      <c r="RLF58"/>
      <c r="RLG58"/>
      <c r="RLH58"/>
      <c r="RLI58"/>
      <c r="RLJ58"/>
      <c r="RLK58"/>
      <c r="RLL58"/>
      <c r="RLM58"/>
      <c r="RLN58"/>
      <c r="RLO58"/>
      <c r="RLP58"/>
      <c r="RLQ58"/>
      <c r="RLR58"/>
      <c r="RLS58"/>
      <c r="RLT58"/>
      <c r="RLU58"/>
      <c r="RLV58"/>
      <c r="RLW58"/>
      <c r="RLX58"/>
      <c r="RLY58"/>
      <c r="RLZ58"/>
      <c r="RMA58"/>
      <c r="RMB58"/>
      <c r="RMC58"/>
      <c r="RMD58"/>
      <c r="RME58"/>
      <c r="RMF58"/>
      <c r="RMG58"/>
      <c r="RMH58"/>
      <c r="RMI58"/>
      <c r="RMJ58"/>
      <c r="RMK58"/>
      <c r="RML58"/>
      <c r="RMM58"/>
      <c r="RMN58"/>
      <c r="RMO58"/>
      <c r="RMP58"/>
      <c r="RMQ58"/>
      <c r="RMR58"/>
      <c r="RMS58"/>
      <c r="RMT58"/>
      <c r="RMU58"/>
      <c r="RMV58"/>
      <c r="RMW58"/>
      <c r="RMX58"/>
      <c r="RMY58"/>
      <c r="RMZ58"/>
      <c r="RNA58"/>
      <c r="RNB58"/>
      <c r="RNC58"/>
      <c r="RND58"/>
      <c r="RNE58"/>
      <c r="RNF58"/>
      <c r="RNG58"/>
      <c r="RNH58"/>
      <c r="RNI58"/>
      <c r="RNJ58"/>
      <c r="RNK58"/>
      <c r="RNL58"/>
      <c r="RNM58"/>
      <c r="RNN58"/>
      <c r="RNO58"/>
      <c r="RNP58"/>
      <c r="RNQ58"/>
      <c r="RNR58"/>
      <c r="RNS58"/>
      <c r="RNT58"/>
      <c r="RNU58"/>
      <c r="RNV58"/>
      <c r="RNW58"/>
      <c r="RNX58"/>
      <c r="RNY58"/>
      <c r="RNZ58"/>
      <c r="ROA58"/>
      <c r="ROB58"/>
      <c r="ROC58"/>
      <c r="ROD58"/>
      <c r="ROE58"/>
      <c r="ROF58"/>
      <c r="ROG58"/>
      <c r="ROH58"/>
      <c r="ROI58"/>
      <c r="ROJ58"/>
      <c r="ROK58"/>
      <c r="ROL58"/>
      <c r="ROM58"/>
      <c r="RON58"/>
      <c r="ROO58"/>
      <c r="ROP58"/>
      <c r="ROQ58"/>
      <c r="ROR58"/>
      <c r="ROS58"/>
      <c r="ROT58"/>
      <c r="ROU58"/>
      <c r="ROV58"/>
      <c r="ROW58"/>
      <c r="ROX58"/>
      <c r="ROY58"/>
      <c r="ROZ58"/>
      <c r="RPA58"/>
      <c r="RPB58"/>
      <c r="RPC58"/>
      <c r="RPD58"/>
      <c r="RPE58"/>
      <c r="RPF58"/>
      <c r="RPG58"/>
      <c r="RPH58"/>
      <c r="RPI58"/>
      <c r="RPJ58"/>
      <c r="RPK58"/>
      <c r="RPL58"/>
      <c r="RPM58"/>
      <c r="RPN58"/>
      <c r="RPO58"/>
      <c r="RPP58"/>
      <c r="RPQ58"/>
      <c r="RPR58"/>
      <c r="RPS58"/>
      <c r="RPT58"/>
      <c r="RPU58"/>
      <c r="RPV58"/>
      <c r="RPW58"/>
      <c r="RPX58"/>
      <c r="RPY58"/>
      <c r="RPZ58"/>
      <c r="RQA58"/>
      <c r="RQB58"/>
      <c r="RQC58"/>
      <c r="RQD58"/>
      <c r="RQE58"/>
      <c r="RQF58"/>
      <c r="RQG58"/>
      <c r="RQH58"/>
      <c r="RQI58"/>
      <c r="RQJ58"/>
      <c r="RQK58"/>
      <c r="RQL58"/>
      <c r="RQM58"/>
      <c r="RQN58"/>
      <c r="RQO58"/>
      <c r="RQP58"/>
      <c r="RQQ58"/>
      <c r="RQR58"/>
      <c r="RQS58"/>
      <c r="RQT58"/>
      <c r="RQU58"/>
      <c r="RQV58"/>
      <c r="RQW58"/>
      <c r="RQX58"/>
      <c r="RQY58"/>
      <c r="RQZ58"/>
      <c r="RRA58"/>
      <c r="RRB58"/>
      <c r="RRC58"/>
      <c r="RRD58"/>
      <c r="RRE58"/>
      <c r="RRF58"/>
      <c r="RRG58"/>
      <c r="RRH58"/>
      <c r="RRI58"/>
      <c r="RRJ58"/>
      <c r="RRK58"/>
      <c r="RRL58"/>
      <c r="RRM58"/>
      <c r="RRN58"/>
      <c r="RRO58"/>
      <c r="RRP58"/>
      <c r="RRQ58"/>
      <c r="RRR58"/>
      <c r="RRS58"/>
      <c r="RRT58"/>
      <c r="RRU58"/>
      <c r="RRV58"/>
      <c r="RRW58"/>
      <c r="RRX58"/>
      <c r="RRY58"/>
      <c r="RRZ58"/>
      <c r="RSA58"/>
      <c r="RSB58"/>
      <c r="RSC58"/>
      <c r="RSD58"/>
      <c r="RSE58"/>
      <c r="RSF58"/>
      <c r="RSG58"/>
      <c r="RSH58"/>
      <c r="RSI58"/>
      <c r="RSJ58"/>
      <c r="RSK58"/>
      <c r="RSL58"/>
      <c r="RSM58"/>
      <c r="RSN58"/>
      <c r="RSO58"/>
      <c r="RSP58"/>
      <c r="RSQ58"/>
      <c r="RSR58"/>
      <c r="RSS58"/>
      <c r="RST58"/>
      <c r="RSU58"/>
      <c r="RSV58"/>
      <c r="RSW58"/>
      <c r="RSX58"/>
      <c r="RSY58"/>
      <c r="RSZ58"/>
      <c r="RTA58"/>
      <c r="RTB58"/>
      <c r="RTC58"/>
      <c r="RTD58"/>
      <c r="RTE58"/>
      <c r="RTF58"/>
      <c r="RTG58"/>
      <c r="RTH58"/>
      <c r="RTI58"/>
      <c r="RTJ58"/>
      <c r="RTK58"/>
      <c r="RTL58"/>
      <c r="RTM58"/>
      <c r="RTN58"/>
      <c r="RTO58"/>
      <c r="RTP58"/>
      <c r="RTQ58"/>
      <c r="RTR58"/>
      <c r="RTS58"/>
      <c r="RTT58"/>
      <c r="RTU58"/>
      <c r="RTV58"/>
      <c r="RTW58"/>
      <c r="RTX58"/>
      <c r="RTY58"/>
      <c r="RTZ58"/>
      <c r="RUA58"/>
      <c r="RUB58"/>
      <c r="RUC58"/>
      <c r="RUD58"/>
      <c r="RUE58"/>
      <c r="RUF58"/>
      <c r="RUG58"/>
      <c r="RUH58"/>
      <c r="RUI58"/>
      <c r="RUJ58"/>
      <c r="RUK58"/>
      <c r="RUL58"/>
      <c r="RUM58"/>
      <c r="RUN58"/>
      <c r="RUO58"/>
      <c r="RUP58"/>
      <c r="RUQ58"/>
      <c r="RUR58"/>
      <c r="RUS58"/>
      <c r="RUT58"/>
      <c r="RUU58"/>
      <c r="RUV58"/>
      <c r="RUW58"/>
      <c r="RUX58"/>
      <c r="RUY58"/>
      <c r="RUZ58"/>
      <c r="RVA58"/>
      <c r="RVB58"/>
      <c r="RVC58"/>
      <c r="RVD58"/>
      <c r="RVE58"/>
      <c r="RVF58"/>
      <c r="RVG58"/>
      <c r="RVH58"/>
      <c r="RVI58"/>
      <c r="RVJ58"/>
      <c r="RVK58"/>
      <c r="RVL58"/>
      <c r="RVM58"/>
      <c r="RVN58"/>
      <c r="RVO58"/>
      <c r="RVP58"/>
      <c r="RVQ58"/>
      <c r="RVR58"/>
      <c r="RVS58"/>
      <c r="RVT58"/>
      <c r="RVU58"/>
      <c r="RVV58"/>
      <c r="RVW58"/>
      <c r="RVX58"/>
      <c r="RVY58"/>
      <c r="RVZ58"/>
      <c r="RWA58"/>
      <c r="RWB58"/>
      <c r="RWC58"/>
      <c r="RWD58"/>
      <c r="RWE58"/>
      <c r="RWF58"/>
      <c r="RWG58"/>
      <c r="RWH58"/>
      <c r="RWI58"/>
      <c r="RWJ58"/>
      <c r="RWK58"/>
      <c r="RWL58"/>
      <c r="RWM58"/>
      <c r="RWN58"/>
      <c r="RWO58"/>
      <c r="RWP58"/>
      <c r="RWQ58"/>
      <c r="RWR58"/>
      <c r="RWS58"/>
      <c r="RWT58"/>
      <c r="RWU58"/>
      <c r="RWV58"/>
      <c r="RWW58"/>
      <c r="RWX58"/>
      <c r="RWY58"/>
      <c r="RWZ58"/>
      <c r="RXA58"/>
      <c r="RXB58"/>
      <c r="RXC58"/>
      <c r="RXD58"/>
      <c r="RXE58"/>
      <c r="RXF58"/>
      <c r="RXG58"/>
      <c r="RXH58"/>
      <c r="RXI58"/>
      <c r="RXJ58"/>
      <c r="RXK58"/>
      <c r="RXL58"/>
      <c r="RXM58"/>
      <c r="RXN58"/>
      <c r="RXO58"/>
      <c r="RXP58"/>
      <c r="RXQ58"/>
      <c r="RXR58"/>
      <c r="RXS58"/>
      <c r="RXT58"/>
      <c r="RXU58"/>
      <c r="RXV58"/>
      <c r="RXW58"/>
      <c r="RXX58"/>
      <c r="RXY58"/>
      <c r="RXZ58"/>
      <c r="RYA58"/>
      <c r="RYB58"/>
      <c r="RYC58"/>
      <c r="RYD58"/>
      <c r="RYE58"/>
      <c r="RYF58"/>
      <c r="RYG58"/>
      <c r="RYH58"/>
      <c r="RYI58"/>
      <c r="RYJ58"/>
      <c r="RYK58"/>
      <c r="RYL58"/>
      <c r="RYM58"/>
      <c r="RYN58"/>
      <c r="RYO58"/>
      <c r="RYP58"/>
      <c r="RYQ58"/>
      <c r="RYR58"/>
      <c r="RYS58"/>
      <c r="RYT58"/>
      <c r="RYU58"/>
      <c r="RYV58"/>
      <c r="RYW58"/>
      <c r="RYX58"/>
      <c r="RYY58"/>
      <c r="RYZ58"/>
      <c r="RZA58"/>
      <c r="RZB58"/>
      <c r="RZC58"/>
      <c r="RZD58"/>
      <c r="RZE58"/>
      <c r="RZF58"/>
      <c r="RZG58"/>
      <c r="RZH58"/>
      <c r="RZI58"/>
      <c r="RZJ58"/>
      <c r="RZK58"/>
      <c r="RZL58"/>
      <c r="RZM58"/>
      <c r="RZN58"/>
      <c r="RZO58"/>
      <c r="RZP58"/>
      <c r="RZQ58"/>
      <c r="RZR58"/>
      <c r="RZS58"/>
      <c r="RZT58"/>
      <c r="RZU58"/>
      <c r="RZV58"/>
      <c r="RZW58"/>
      <c r="RZX58"/>
      <c r="RZY58"/>
      <c r="RZZ58"/>
      <c r="SAA58"/>
      <c r="SAB58"/>
      <c r="SAC58"/>
      <c r="SAD58"/>
      <c r="SAE58"/>
      <c r="SAF58"/>
      <c r="SAG58"/>
      <c r="SAH58"/>
      <c r="SAI58"/>
      <c r="SAJ58"/>
      <c r="SAK58"/>
      <c r="SAL58"/>
      <c r="SAM58"/>
      <c r="SAN58"/>
      <c r="SAO58"/>
      <c r="SAP58"/>
      <c r="SAQ58"/>
      <c r="SAR58"/>
      <c r="SAS58"/>
      <c r="SAT58"/>
      <c r="SAU58"/>
      <c r="SAV58"/>
      <c r="SAW58"/>
      <c r="SAX58"/>
      <c r="SAY58"/>
      <c r="SAZ58"/>
      <c r="SBA58"/>
      <c r="SBB58"/>
      <c r="SBC58"/>
      <c r="SBD58"/>
      <c r="SBE58"/>
      <c r="SBF58"/>
      <c r="SBG58"/>
      <c r="SBH58"/>
      <c r="SBI58"/>
      <c r="SBJ58"/>
      <c r="SBK58"/>
      <c r="SBL58"/>
      <c r="SBM58"/>
      <c r="SBN58"/>
      <c r="SBO58"/>
      <c r="SBP58"/>
      <c r="SBQ58"/>
      <c r="SBR58"/>
      <c r="SBS58"/>
      <c r="SBT58"/>
      <c r="SBU58"/>
      <c r="SBV58"/>
      <c r="SBW58"/>
      <c r="SBX58"/>
      <c r="SBY58"/>
      <c r="SBZ58"/>
      <c r="SCA58"/>
      <c r="SCB58"/>
      <c r="SCC58"/>
      <c r="SCD58"/>
      <c r="SCE58"/>
      <c r="SCF58"/>
      <c r="SCG58"/>
      <c r="SCH58"/>
      <c r="SCI58"/>
      <c r="SCJ58"/>
      <c r="SCK58"/>
      <c r="SCL58"/>
      <c r="SCM58"/>
      <c r="SCN58"/>
      <c r="SCO58"/>
      <c r="SCP58"/>
      <c r="SCQ58"/>
      <c r="SCR58"/>
      <c r="SCS58"/>
      <c r="SCT58"/>
      <c r="SCU58"/>
      <c r="SCV58"/>
      <c r="SCW58"/>
      <c r="SCX58"/>
      <c r="SCY58"/>
      <c r="SCZ58"/>
      <c r="SDA58"/>
      <c r="SDB58"/>
      <c r="SDC58"/>
      <c r="SDD58"/>
      <c r="SDE58"/>
      <c r="SDF58"/>
      <c r="SDG58"/>
      <c r="SDH58"/>
      <c r="SDI58"/>
      <c r="SDJ58"/>
      <c r="SDK58"/>
      <c r="SDL58"/>
      <c r="SDM58"/>
      <c r="SDN58"/>
      <c r="SDO58"/>
      <c r="SDP58"/>
      <c r="SDQ58"/>
      <c r="SDR58"/>
      <c r="SDS58"/>
      <c r="SDT58"/>
      <c r="SDU58"/>
      <c r="SDV58"/>
      <c r="SDW58"/>
      <c r="SDX58"/>
      <c r="SDY58"/>
      <c r="SDZ58"/>
      <c r="SEA58"/>
      <c r="SEB58"/>
      <c r="SEC58"/>
      <c r="SED58"/>
      <c r="SEE58"/>
      <c r="SEF58"/>
      <c r="SEG58"/>
      <c r="SEH58"/>
      <c r="SEI58"/>
      <c r="SEJ58"/>
      <c r="SEK58"/>
      <c r="SEL58"/>
      <c r="SEM58"/>
      <c r="SEN58"/>
      <c r="SEO58"/>
      <c r="SEP58"/>
      <c r="SEQ58"/>
      <c r="SER58"/>
      <c r="SES58"/>
      <c r="SET58"/>
      <c r="SEU58"/>
      <c r="SEV58"/>
      <c r="SEW58"/>
      <c r="SEX58"/>
      <c r="SEY58"/>
      <c r="SEZ58"/>
      <c r="SFA58"/>
      <c r="SFB58"/>
      <c r="SFC58"/>
      <c r="SFD58"/>
      <c r="SFE58"/>
      <c r="SFF58"/>
      <c r="SFG58"/>
      <c r="SFH58"/>
      <c r="SFI58"/>
      <c r="SFJ58"/>
      <c r="SFK58"/>
      <c r="SFL58"/>
      <c r="SFM58"/>
      <c r="SFN58"/>
      <c r="SFO58"/>
      <c r="SFP58"/>
      <c r="SFQ58"/>
      <c r="SFR58"/>
      <c r="SFS58"/>
      <c r="SFT58"/>
      <c r="SFU58"/>
      <c r="SFV58"/>
      <c r="SFW58"/>
      <c r="SFX58"/>
      <c r="SFY58"/>
      <c r="SFZ58"/>
      <c r="SGA58"/>
      <c r="SGB58"/>
      <c r="SGC58"/>
      <c r="SGD58"/>
      <c r="SGE58"/>
      <c r="SGF58"/>
      <c r="SGG58"/>
      <c r="SGH58"/>
      <c r="SGI58"/>
      <c r="SGJ58"/>
      <c r="SGK58"/>
      <c r="SGL58"/>
      <c r="SGM58"/>
      <c r="SGN58"/>
      <c r="SGO58"/>
      <c r="SGP58"/>
      <c r="SGQ58"/>
      <c r="SGR58"/>
      <c r="SGS58"/>
      <c r="SGT58"/>
      <c r="SGU58"/>
      <c r="SGV58"/>
      <c r="SGW58"/>
      <c r="SGX58"/>
      <c r="SGY58"/>
      <c r="SGZ58"/>
      <c r="SHA58"/>
      <c r="SHB58"/>
      <c r="SHC58"/>
      <c r="SHD58"/>
      <c r="SHE58"/>
      <c r="SHF58"/>
      <c r="SHG58"/>
      <c r="SHH58"/>
      <c r="SHI58"/>
      <c r="SHJ58"/>
      <c r="SHK58"/>
      <c r="SHL58"/>
      <c r="SHM58"/>
      <c r="SHN58"/>
      <c r="SHO58"/>
      <c r="SHP58"/>
      <c r="SHQ58"/>
      <c r="SHR58"/>
      <c r="SHS58"/>
      <c r="SHT58"/>
      <c r="SHU58"/>
      <c r="SHV58"/>
      <c r="SHW58"/>
      <c r="SHX58"/>
      <c r="SHY58"/>
      <c r="SHZ58"/>
      <c r="SIA58"/>
      <c r="SIB58"/>
      <c r="SIC58"/>
      <c r="SID58"/>
      <c r="SIE58"/>
      <c r="SIF58"/>
      <c r="SIG58"/>
      <c r="SIH58"/>
      <c r="SII58"/>
      <c r="SIJ58"/>
      <c r="SIK58"/>
      <c r="SIL58"/>
      <c r="SIM58"/>
      <c r="SIN58"/>
      <c r="SIO58"/>
      <c r="SIP58"/>
      <c r="SIQ58"/>
      <c r="SIR58"/>
      <c r="SIS58"/>
      <c r="SIT58"/>
      <c r="SIU58"/>
      <c r="SIV58"/>
      <c r="SIW58"/>
      <c r="SIX58"/>
      <c r="SIY58"/>
      <c r="SIZ58"/>
      <c r="SJA58"/>
      <c r="SJB58"/>
      <c r="SJC58"/>
      <c r="SJD58"/>
      <c r="SJE58"/>
      <c r="SJF58"/>
      <c r="SJG58"/>
      <c r="SJH58"/>
      <c r="SJI58"/>
      <c r="SJJ58"/>
      <c r="SJK58"/>
      <c r="SJL58"/>
      <c r="SJM58"/>
      <c r="SJN58"/>
      <c r="SJO58"/>
      <c r="SJP58"/>
      <c r="SJQ58"/>
      <c r="SJR58"/>
      <c r="SJS58"/>
      <c r="SJT58"/>
      <c r="SJU58"/>
      <c r="SJV58"/>
      <c r="SJW58"/>
      <c r="SJX58"/>
      <c r="SJY58"/>
      <c r="SJZ58"/>
      <c r="SKA58"/>
      <c r="SKB58"/>
      <c r="SKC58"/>
      <c r="SKD58"/>
      <c r="SKE58"/>
      <c r="SKF58"/>
      <c r="SKG58"/>
      <c r="SKH58"/>
      <c r="SKI58"/>
      <c r="SKJ58"/>
      <c r="SKK58"/>
      <c r="SKL58"/>
      <c r="SKM58"/>
      <c r="SKN58"/>
      <c r="SKO58"/>
      <c r="SKP58"/>
      <c r="SKQ58"/>
      <c r="SKR58"/>
      <c r="SKS58"/>
      <c r="SKT58"/>
      <c r="SKU58"/>
      <c r="SKV58"/>
      <c r="SKW58"/>
      <c r="SKX58"/>
      <c r="SKY58"/>
      <c r="SKZ58"/>
      <c r="SLA58"/>
      <c r="SLB58"/>
      <c r="SLC58"/>
      <c r="SLD58"/>
      <c r="SLE58"/>
      <c r="SLF58"/>
      <c r="SLG58"/>
      <c r="SLH58"/>
      <c r="SLI58"/>
      <c r="SLJ58"/>
      <c r="SLK58"/>
      <c r="SLL58"/>
      <c r="SLM58"/>
      <c r="SLN58"/>
      <c r="SLO58"/>
      <c r="SLP58"/>
      <c r="SLQ58"/>
      <c r="SLR58"/>
      <c r="SLS58"/>
      <c r="SLT58"/>
      <c r="SLU58"/>
      <c r="SLV58"/>
      <c r="SLW58"/>
      <c r="SLX58"/>
      <c r="SLY58"/>
      <c r="SLZ58"/>
      <c r="SMA58"/>
      <c r="SMB58"/>
      <c r="SMC58"/>
      <c r="SMD58"/>
      <c r="SME58"/>
      <c r="SMF58"/>
      <c r="SMG58"/>
      <c r="SMH58"/>
      <c r="SMI58"/>
      <c r="SMJ58"/>
      <c r="SMK58"/>
      <c r="SML58"/>
      <c r="SMM58"/>
      <c r="SMN58"/>
      <c r="SMO58"/>
      <c r="SMP58"/>
      <c r="SMQ58"/>
      <c r="SMR58"/>
      <c r="SMS58"/>
      <c r="SMT58"/>
      <c r="SMU58"/>
      <c r="SMV58"/>
      <c r="SMW58"/>
      <c r="SMX58"/>
      <c r="SMY58"/>
      <c r="SMZ58"/>
      <c r="SNA58"/>
      <c r="SNB58"/>
      <c r="SNC58"/>
      <c r="SND58"/>
      <c r="SNE58"/>
      <c r="SNF58"/>
      <c r="SNG58"/>
      <c r="SNH58"/>
      <c r="SNI58"/>
      <c r="SNJ58"/>
      <c r="SNK58"/>
      <c r="SNL58"/>
      <c r="SNM58"/>
      <c r="SNN58"/>
      <c r="SNO58"/>
      <c r="SNP58"/>
      <c r="SNQ58"/>
      <c r="SNR58"/>
      <c r="SNS58"/>
      <c r="SNT58"/>
      <c r="SNU58"/>
      <c r="SNV58"/>
      <c r="SNW58"/>
      <c r="SNX58"/>
      <c r="SNY58"/>
      <c r="SNZ58"/>
      <c r="SOA58"/>
      <c r="SOB58"/>
      <c r="SOC58"/>
      <c r="SOD58"/>
      <c r="SOE58"/>
      <c r="SOF58"/>
      <c r="SOG58"/>
      <c r="SOH58"/>
      <c r="SOI58"/>
      <c r="SOJ58"/>
      <c r="SOK58"/>
      <c r="SOL58"/>
      <c r="SOM58"/>
      <c r="SON58"/>
      <c r="SOO58"/>
      <c r="SOP58"/>
      <c r="SOQ58"/>
      <c r="SOR58"/>
      <c r="SOS58"/>
      <c r="SOT58"/>
      <c r="SOU58"/>
      <c r="SOV58"/>
      <c r="SOW58"/>
      <c r="SOX58"/>
      <c r="SOY58"/>
      <c r="SOZ58"/>
      <c r="SPA58"/>
      <c r="SPB58"/>
      <c r="SPC58"/>
      <c r="SPD58"/>
      <c r="SPE58"/>
      <c r="SPF58"/>
      <c r="SPG58"/>
      <c r="SPH58"/>
      <c r="SPI58"/>
      <c r="SPJ58"/>
      <c r="SPK58"/>
      <c r="SPL58"/>
      <c r="SPM58"/>
      <c r="SPN58"/>
      <c r="SPO58"/>
      <c r="SPP58"/>
      <c r="SPQ58"/>
      <c r="SPR58"/>
      <c r="SPS58"/>
      <c r="SPT58"/>
      <c r="SPU58"/>
      <c r="SPV58"/>
      <c r="SPW58"/>
      <c r="SPX58"/>
      <c r="SPY58"/>
      <c r="SPZ58"/>
      <c r="SQA58"/>
      <c r="SQB58"/>
      <c r="SQC58"/>
      <c r="SQD58"/>
      <c r="SQE58"/>
      <c r="SQF58"/>
      <c r="SQG58"/>
      <c r="SQH58"/>
      <c r="SQI58"/>
      <c r="SQJ58"/>
      <c r="SQK58"/>
      <c r="SQL58"/>
      <c r="SQM58"/>
      <c r="SQN58"/>
      <c r="SQO58"/>
      <c r="SQP58"/>
      <c r="SQQ58"/>
      <c r="SQR58"/>
      <c r="SQS58"/>
      <c r="SQT58"/>
      <c r="SQU58"/>
      <c r="SQV58"/>
      <c r="SQW58"/>
      <c r="SQX58"/>
      <c r="SQY58"/>
      <c r="SQZ58"/>
      <c r="SRA58"/>
      <c r="SRB58"/>
      <c r="SRC58"/>
      <c r="SRD58"/>
      <c r="SRE58"/>
      <c r="SRF58"/>
      <c r="SRG58"/>
      <c r="SRH58"/>
      <c r="SRI58"/>
      <c r="SRJ58"/>
      <c r="SRK58"/>
      <c r="SRL58"/>
      <c r="SRM58"/>
      <c r="SRN58"/>
      <c r="SRO58"/>
      <c r="SRP58"/>
      <c r="SRQ58"/>
      <c r="SRR58"/>
      <c r="SRS58"/>
      <c r="SRT58"/>
      <c r="SRU58"/>
      <c r="SRV58"/>
      <c r="SRW58"/>
      <c r="SRX58"/>
      <c r="SRY58"/>
      <c r="SRZ58"/>
      <c r="SSA58"/>
      <c r="SSB58"/>
      <c r="SSC58"/>
      <c r="SSD58"/>
      <c r="SSE58"/>
      <c r="SSF58"/>
      <c r="SSG58"/>
      <c r="SSH58"/>
      <c r="SSI58"/>
      <c r="SSJ58"/>
      <c r="SSK58"/>
      <c r="SSL58"/>
      <c r="SSM58"/>
      <c r="SSN58"/>
      <c r="SSO58"/>
      <c r="SSP58"/>
      <c r="SSQ58"/>
      <c r="SSR58"/>
      <c r="SSS58"/>
      <c r="SST58"/>
      <c r="SSU58"/>
      <c r="SSV58"/>
      <c r="SSW58"/>
      <c r="SSX58"/>
      <c r="SSY58"/>
      <c r="SSZ58"/>
      <c r="STA58"/>
      <c r="STB58"/>
      <c r="STC58"/>
      <c r="STD58"/>
      <c r="STE58"/>
      <c r="STF58"/>
      <c r="STG58"/>
      <c r="STH58"/>
      <c r="STI58"/>
      <c r="STJ58"/>
      <c r="STK58"/>
      <c r="STL58"/>
      <c r="STM58"/>
      <c r="STN58"/>
      <c r="STO58"/>
      <c r="STP58"/>
      <c r="STQ58"/>
      <c r="STR58"/>
      <c r="STS58"/>
      <c r="STT58"/>
      <c r="STU58"/>
      <c r="STV58"/>
      <c r="STW58"/>
      <c r="STX58"/>
      <c r="STY58"/>
      <c r="STZ58"/>
      <c r="SUA58"/>
      <c r="SUB58"/>
      <c r="SUC58"/>
      <c r="SUD58"/>
      <c r="SUE58"/>
      <c r="SUF58"/>
      <c r="SUG58"/>
      <c r="SUH58"/>
      <c r="SUI58"/>
      <c r="SUJ58"/>
      <c r="SUK58"/>
      <c r="SUL58"/>
      <c r="SUM58"/>
      <c r="SUN58"/>
      <c r="SUO58"/>
      <c r="SUP58"/>
      <c r="SUQ58"/>
      <c r="SUR58"/>
      <c r="SUS58"/>
      <c r="SUT58"/>
      <c r="SUU58"/>
      <c r="SUV58"/>
      <c r="SUW58"/>
      <c r="SUX58"/>
      <c r="SUY58"/>
      <c r="SUZ58"/>
      <c r="SVA58"/>
      <c r="SVB58"/>
      <c r="SVC58"/>
      <c r="SVD58"/>
      <c r="SVE58"/>
      <c r="SVF58"/>
      <c r="SVG58"/>
      <c r="SVH58"/>
      <c r="SVI58"/>
      <c r="SVJ58"/>
      <c r="SVK58"/>
      <c r="SVL58"/>
      <c r="SVM58"/>
      <c r="SVN58"/>
      <c r="SVO58"/>
      <c r="SVP58"/>
      <c r="SVQ58"/>
      <c r="SVR58"/>
      <c r="SVS58"/>
      <c r="SVT58"/>
      <c r="SVU58"/>
      <c r="SVV58"/>
      <c r="SVW58"/>
      <c r="SVX58"/>
      <c r="SVY58"/>
      <c r="SVZ58"/>
      <c r="SWA58"/>
      <c r="SWB58"/>
      <c r="SWC58"/>
      <c r="SWD58"/>
      <c r="SWE58"/>
      <c r="SWF58"/>
      <c r="SWG58"/>
      <c r="SWH58"/>
      <c r="SWI58"/>
      <c r="SWJ58"/>
      <c r="SWK58"/>
      <c r="SWL58"/>
      <c r="SWM58"/>
      <c r="SWN58"/>
      <c r="SWO58"/>
      <c r="SWP58"/>
      <c r="SWQ58"/>
      <c r="SWR58"/>
      <c r="SWS58"/>
      <c r="SWT58"/>
      <c r="SWU58"/>
      <c r="SWV58"/>
      <c r="SWW58"/>
      <c r="SWX58"/>
      <c r="SWY58"/>
      <c r="SWZ58"/>
      <c r="SXA58"/>
      <c r="SXB58"/>
      <c r="SXC58"/>
      <c r="SXD58"/>
      <c r="SXE58"/>
      <c r="SXF58"/>
      <c r="SXG58"/>
      <c r="SXH58"/>
      <c r="SXI58"/>
      <c r="SXJ58"/>
      <c r="SXK58"/>
      <c r="SXL58"/>
      <c r="SXM58"/>
      <c r="SXN58"/>
      <c r="SXO58"/>
      <c r="SXP58"/>
      <c r="SXQ58"/>
      <c r="SXR58"/>
      <c r="SXS58"/>
      <c r="SXT58"/>
      <c r="SXU58"/>
      <c r="SXV58"/>
      <c r="SXW58"/>
      <c r="SXX58"/>
      <c r="SXY58"/>
      <c r="SXZ58"/>
      <c r="SYA58"/>
      <c r="SYB58"/>
      <c r="SYC58"/>
      <c r="SYD58"/>
      <c r="SYE58"/>
      <c r="SYF58"/>
      <c r="SYG58"/>
      <c r="SYH58"/>
      <c r="SYI58"/>
      <c r="SYJ58"/>
      <c r="SYK58"/>
      <c r="SYL58"/>
      <c r="SYM58"/>
      <c r="SYN58"/>
      <c r="SYO58"/>
      <c r="SYP58"/>
      <c r="SYQ58"/>
      <c r="SYR58"/>
      <c r="SYS58"/>
      <c r="SYT58"/>
      <c r="SYU58"/>
      <c r="SYV58"/>
      <c r="SYW58"/>
      <c r="SYX58"/>
      <c r="SYY58"/>
      <c r="SYZ58"/>
      <c r="SZA58"/>
      <c r="SZB58"/>
      <c r="SZC58"/>
      <c r="SZD58"/>
      <c r="SZE58"/>
      <c r="SZF58"/>
      <c r="SZG58"/>
      <c r="SZH58"/>
      <c r="SZI58"/>
      <c r="SZJ58"/>
      <c r="SZK58"/>
      <c r="SZL58"/>
      <c r="SZM58"/>
      <c r="SZN58"/>
      <c r="SZO58"/>
      <c r="SZP58"/>
      <c r="SZQ58"/>
      <c r="SZR58"/>
      <c r="SZS58"/>
      <c r="SZT58"/>
      <c r="SZU58"/>
      <c r="SZV58"/>
      <c r="SZW58"/>
      <c r="SZX58"/>
      <c r="SZY58"/>
      <c r="SZZ58"/>
      <c r="TAA58"/>
      <c r="TAB58"/>
      <c r="TAC58"/>
      <c r="TAD58"/>
      <c r="TAE58"/>
      <c r="TAF58"/>
      <c r="TAG58"/>
      <c r="TAH58"/>
      <c r="TAI58"/>
      <c r="TAJ58"/>
      <c r="TAK58"/>
      <c r="TAL58"/>
      <c r="TAM58"/>
      <c r="TAN58"/>
      <c r="TAO58"/>
      <c r="TAP58"/>
      <c r="TAQ58"/>
      <c r="TAR58"/>
      <c r="TAS58"/>
      <c r="TAT58"/>
      <c r="TAU58"/>
      <c r="TAV58"/>
      <c r="TAW58"/>
      <c r="TAX58"/>
      <c r="TAY58"/>
      <c r="TAZ58"/>
      <c r="TBA58"/>
      <c r="TBB58"/>
      <c r="TBC58"/>
      <c r="TBD58"/>
      <c r="TBE58"/>
      <c r="TBF58"/>
      <c r="TBG58"/>
      <c r="TBH58"/>
      <c r="TBI58"/>
      <c r="TBJ58"/>
      <c r="TBK58"/>
      <c r="TBL58"/>
      <c r="TBM58"/>
      <c r="TBN58"/>
      <c r="TBO58"/>
      <c r="TBP58"/>
      <c r="TBQ58"/>
      <c r="TBR58"/>
      <c r="TBS58"/>
      <c r="TBT58"/>
      <c r="TBU58"/>
      <c r="TBV58"/>
      <c r="TBW58"/>
      <c r="TBX58"/>
      <c r="TBY58"/>
      <c r="TBZ58"/>
      <c r="TCA58"/>
      <c r="TCB58"/>
      <c r="TCC58"/>
      <c r="TCD58"/>
      <c r="TCE58"/>
      <c r="TCF58"/>
      <c r="TCG58"/>
      <c r="TCH58"/>
      <c r="TCI58"/>
      <c r="TCJ58"/>
      <c r="TCK58"/>
      <c r="TCL58"/>
      <c r="TCM58"/>
      <c r="TCN58"/>
      <c r="TCO58"/>
      <c r="TCP58"/>
      <c r="TCQ58"/>
      <c r="TCR58"/>
      <c r="TCS58"/>
      <c r="TCT58"/>
      <c r="TCU58"/>
      <c r="TCV58"/>
      <c r="TCW58"/>
      <c r="TCX58"/>
      <c r="TCY58"/>
      <c r="TCZ58"/>
      <c r="TDA58"/>
      <c r="TDB58"/>
      <c r="TDC58"/>
      <c r="TDD58"/>
      <c r="TDE58"/>
      <c r="TDF58"/>
      <c r="TDG58"/>
      <c r="TDH58"/>
      <c r="TDI58"/>
      <c r="TDJ58"/>
      <c r="TDK58"/>
      <c r="TDL58"/>
      <c r="TDM58"/>
      <c r="TDN58"/>
      <c r="TDO58"/>
      <c r="TDP58"/>
      <c r="TDQ58"/>
      <c r="TDR58"/>
      <c r="TDS58"/>
      <c r="TDT58"/>
      <c r="TDU58"/>
      <c r="TDV58"/>
      <c r="TDW58"/>
      <c r="TDX58"/>
      <c r="TDY58"/>
      <c r="TDZ58"/>
      <c r="TEA58"/>
      <c r="TEB58"/>
      <c r="TEC58"/>
      <c r="TED58"/>
      <c r="TEE58"/>
      <c r="TEF58"/>
      <c r="TEG58"/>
      <c r="TEH58"/>
      <c r="TEI58"/>
      <c r="TEJ58"/>
      <c r="TEK58"/>
      <c r="TEL58"/>
      <c r="TEM58"/>
      <c r="TEN58"/>
      <c r="TEO58"/>
      <c r="TEP58"/>
      <c r="TEQ58"/>
      <c r="TER58"/>
      <c r="TES58"/>
      <c r="TET58"/>
      <c r="TEU58"/>
      <c r="TEV58"/>
      <c r="TEW58"/>
      <c r="TEX58"/>
      <c r="TEY58"/>
      <c r="TEZ58"/>
      <c r="TFA58"/>
      <c r="TFB58"/>
      <c r="TFC58"/>
      <c r="TFD58"/>
      <c r="TFE58"/>
      <c r="TFF58"/>
      <c r="TFG58"/>
      <c r="TFH58"/>
      <c r="TFI58"/>
      <c r="TFJ58"/>
      <c r="TFK58"/>
      <c r="TFL58"/>
      <c r="TFM58"/>
      <c r="TFN58"/>
      <c r="TFO58"/>
      <c r="TFP58"/>
      <c r="TFQ58"/>
      <c r="TFR58"/>
      <c r="TFS58"/>
      <c r="TFT58"/>
      <c r="TFU58"/>
      <c r="TFV58"/>
      <c r="TFW58"/>
      <c r="TFX58"/>
      <c r="TFY58"/>
      <c r="TFZ58"/>
      <c r="TGA58"/>
      <c r="TGB58"/>
      <c r="TGC58"/>
      <c r="TGD58"/>
      <c r="TGE58"/>
      <c r="TGF58"/>
      <c r="TGG58"/>
      <c r="TGH58"/>
      <c r="TGI58"/>
      <c r="TGJ58"/>
      <c r="TGK58"/>
      <c r="TGL58"/>
      <c r="TGM58"/>
      <c r="TGN58"/>
      <c r="TGO58"/>
      <c r="TGP58"/>
      <c r="TGQ58"/>
      <c r="TGR58"/>
      <c r="TGS58"/>
      <c r="TGT58"/>
      <c r="TGU58"/>
      <c r="TGV58"/>
      <c r="TGW58"/>
      <c r="TGX58"/>
      <c r="TGY58"/>
      <c r="TGZ58"/>
      <c r="THA58"/>
      <c r="THB58"/>
      <c r="THC58"/>
      <c r="THD58"/>
      <c r="THE58"/>
      <c r="THF58"/>
      <c r="THG58"/>
      <c r="THH58"/>
      <c r="THI58"/>
      <c r="THJ58"/>
      <c r="THK58"/>
      <c r="THL58"/>
      <c r="THM58"/>
      <c r="THN58"/>
      <c r="THO58"/>
      <c r="THP58"/>
      <c r="THQ58"/>
      <c r="THR58"/>
      <c r="THS58"/>
      <c r="THT58"/>
      <c r="THU58"/>
      <c r="THV58"/>
      <c r="THW58"/>
      <c r="THX58"/>
      <c r="THY58"/>
      <c r="THZ58"/>
      <c r="TIA58"/>
      <c r="TIB58"/>
      <c r="TIC58"/>
      <c r="TID58"/>
      <c r="TIE58"/>
      <c r="TIF58"/>
      <c r="TIG58"/>
      <c r="TIH58"/>
      <c r="TII58"/>
      <c r="TIJ58"/>
      <c r="TIK58"/>
      <c r="TIL58"/>
      <c r="TIM58"/>
      <c r="TIN58"/>
      <c r="TIO58"/>
      <c r="TIP58"/>
      <c r="TIQ58"/>
      <c r="TIR58"/>
      <c r="TIS58"/>
      <c r="TIT58"/>
      <c r="TIU58"/>
      <c r="TIV58"/>
      <c r="TIW58"/>
      <c r="TIX58"/>
      <c r="TIY58"/>
      <c r="TIZ58"/>
      <c r="TJA58"/>
      <c r="TJB58"/>
      <c r="TJC58"/>
      <c r="TJD58"/>
      <c r="TJE58"/>
      <c r="TJF58"/>
      <c r="TJG58"/>
      <c r="TJH58"/>
      <c r="TJI58"/>
      <c r="TJJ58"/>
      <c r="TJK58"/>
      <c r="TJL58"/>
      <c r="TJM58"/>
      <c r="TJN58"/>
      <c r="TJO58"/>
      <c r="TJP58"/>
      <c r="TJQ58"/>
      <c r="TJR58"/>
      <c r="TJS58"/>
      <c r="TJT58"/>
      <c r="TJU58"/>
      <c r="TJV58"/>
      <c r="TJW58"/>
      <c r="TJX58"/>
      <c r="TJY58"/>
      <c r="TJZ58"/>
      <c r="TKA58"/>
      <c r="TKB58"/>
      <c r="TKC58"/>
      <c r="TKD58"/>
      <c r="TKE58"/>
      <c r="TKF58"/>
      <c r="TKG58"/>
      <c r="TKH58"/>
      <c r="TKI58"/>
      <c r="TKJ58"/>
      <c r="TKK58"/>
      <c r="TKL58"/>
      <c r="TKM58"/>
      <c r="TKN58"/>
      <c r="TKO58"/>
      <c r="TKP58"/>
      <c r="TKQ58"/>
      <c r="TKR58"/>
      <c r="TKS58"/>
      <c r="TKT58"/>
      <c r="TKU58"/>
      <c r="TKV58"/>
      <c r="TKW58"/>
      <c r="TKX58"/>
      <c r="TKY58"/>
      <c r="TKZ58"/>
      <c r="TLA58"/>
      <c r="TLB58"/>
      <c r="TLC58"/>
      <c r="TLD58"/>
      <c r="TLE58"/>
      <c r="TLF58"/>
      <c r="TLG58"/>
      <c r="TLH58"/>
      <c r="TLI58"/>
      <c r="TLJ58"/>
      <c r="TLK58"/>
      <c r="TLL58"/>
      <c r="TLM58"/>
      <c r="TLN58"/>
      <c r="TLO58"/>
      <c r="TLP58"/>
      <c r="TLQ58"/>
      <c r="TLR58"/>
      <c r="TLS58"/>
      <c r="TLT58"/>
      <c r="TLU58"/>
      <c r="TLV58"/>
      <c r="TLW58"/>
      <c r="TLX58"/>
      <c r="TLY58"/>
      <c r="TLZ58"/>
      <c r="TMA58"/>
      <c r="TMB58"/>
      <c r="TMC58"/>
      <c r="TMD58"/>
      <c r="TME58"/>
      <c r="TMF58"/>
      <c r="TMG58"/>
      <c r="TMH58"/>
      <c r="TMI58"/>
      <c r="TMJ58"/>
      <c r="TMK58"/>
      <c r="TML58"/>
      <c r="TMM58"/>
      <c r="TMN58"/>
      <c r="TMO58"/>
      <c r="TMP58"/>
      <c r="TMQ58"/>
      <c r="TMR58"/>
      <c r="TMS58"/>
      <c r="TMT58"/>
      <c r="TMU58"/>
      <c r="TMV58"/>
      <c r="TMW58"/>
      <c r="TMX58"/>
      <c r="TMY58"/>
      <c r="TMZ58"/>
      <c r="TNA58"/>
      <c r="TNB58"/>
      <c r="TNC58"/>
      <c r="TND58"/>
      <c r="TNE58"/>
      <c r="TNF58"/>
      <c r="TNG58"/>
      <c r="TNH58"/>
      <c r="TNI58"/>
      <c r="TNJ58"/>
      <c r="TNK58"/>
      <c r="TNL58"/>
      <c r="TNM58"/>
      <c r="TNN58"/>
      <c r="TNO58"/>
      <c r="TNP58"/>
      <c r="TNQ58"/>
      <c r="TNR58"/>
      <c r="TNS58"/>
      <c r="TNT58"/>
      <c r="TNU58"/>
      <c r="TNV58"/>
      <c r="TNW58"/>
      <c r="TNX58"/>
      <c r="TNY58"/>
      <c r="TNZ58"/>
      <c r="TOA58"/>
      <c r="TOB58"/>
      <c r="TOC58"/>
      <c r="TOD58"/>
      <c r="TOE58"/>
      <c r="TOF58"/>
      <c r="TOG58"/>
      <c r="TOH58"/>
      <c r="TOI58"/>
      <c r="TOJ58"/>
      <c r="TOK58"/>
      <c r="TOL58"/>
      <c r="TOM58"/>
      <c r="TON58"/>
      <c r="TOO58"/>
      <c r="TOP58"/>
      <c r="TOQ58"/>
      <c r="TOR58"/>
      <c r="TOS58"/>
      <c r="TOT58"/>
      <c r="TOU58"/>
      <c r="TOV58"/>
      <c r="TOW58"/>
      <c r="TOX58"/>
      <c r="TOY58"/>
      <c r="TOZ58"/>
      <c r="TPA58"/>
      <c r="TPB58"/>
      <c r="TPC58"/>
      <c r="TPD58"/>
      <c r="TPE58"/>
      <c r="TPF58"/>
      <c r="TPG58"/>
      <c r="TPH58"/>
      <c r="TPI58"/>
      <c r="TPJ58"/>
      <c r="TPK58"/>
      <c r="TPL58"/>
      <c r="TPM58"/>
      <c r="TPN58"/>
      <c r="TPO58"/>
      <c r="TPP58"/>
      <c r="TPQ58"/>
      <c r="TPR58"/>
      <c r="TPS58"/>
      <c r="TPT58"/>
      <c r="TPU58"/>
      <c r="TPV58"/>
      <c r="TPW58"/>
      <c r="TPX58"/>
      <c r="TPY58"/>
      <c r="TPZ58"/>
      <c r="TQA58"/>
      <c r="TQB58"/>
      <c r="TQC58"/>
      <c r="TQD58"/>
      <c r="TQE58"/>
      <c r="TQF58"/>
      <c r="TQG58"/>
      <c r="TQH58"/>
      <c r="TQI58"/>
      <c r="TQJ58"/>
      <c r="TQK58"/>
      <c r="TQL58"/>
      <c r="TQM58"/>
      <c r="TQN58"/>
      <c r="TQO58"/>
      <c r="TQP58"/>
      <c r="TQQ58"/>
      <c r="TQR58"/>
      <c r="TQS58"/>
      <c r="TQT58"/>
      <c r="TQU58"/>
      <c r="TQV58"/>
      <c r="TQW58"/>
      <c r="TQX58"/>
      <c r="TQY58"/>
      <c r="TQZ58"/>
      <c r="TRA58"/>
      <c r="TRB58"/>
      <c r="TRC58"/>
      <c r="TRD58"/>
      <c r="TRE58"/>
      <c r="TRF58"/>
      <c r="TRG58"/>
      <c r="TRH58"/>
      <c r="TRI58"/>
      <c r="TRJ58"/>
      <c r="TRK58"/>
      <c r="TRL58"/>
      <c r="TRM58"/>
      <c r="TRN58"/>
      <c r="TRO58"/>
      <c r="TRP58"/>
      <c r="TRQ58"/>
      <c r="TRR58"/>
      <c r="TRS58"/>
      <c r="TRT58"/>
      <c r="TRU58"/>
      <c r="TRV58"/>
      <c r="TRW58"/>
      <c r="TRX58"/>
      <c r="TRY58"/>
      <c r="TRZ58"/>
      <c r="TSA58"/>
      <c r="TSB58"/>
      <c r="TSC58"/>
      <c r="TSD58"/>
      <c r="TSE58"/>
      <c r="TSF58"/>
      <c r="TSG58"/>
      <c r="TSH58"/>
      <c r="TSI58"/>
      <c r="TSJ58"/>
      <c r="TSK58"/>
      <c r="TSL58"/>
      <c r="TSM58"/>
      <c r="TSN58"/>
      <c r="TSO58"/>
      <c r="TSP58"/>
      <c r="TSQ58"/>
      <c r="TSR58"/>
      <c r="TSS58"/>
      <c r="TST58"/>
      <c r="TSU58"/>
      <c r="TSV58"/>
      <c r="TSW58"/>
      <c r="TSX58"/>
      <c r="TSY58"/>
      <c r="TSZ58"/>
      <c r="TTA58"/>
      <c r="TTB58"/>
      <c r="TTC58"/>
      <c r="TTD58"/>
      <c r="TTE58"/>
      <c r="TTF58"/>
      <c r="TTG58"/>
      <c r="TTH58"/>
      <c r="TTI58"/>
      <c r="TTJ58"/>
      <c r="TTK58"/>
      <c r="TTL58"/>
      <c r="TTM58"/>
      <c r="TTN58"/>
      <c r="TTO58"/>
      <c r="TTP58"/>
      <c r="TTQ58"/>
      <c r="TTR58"/>
      <c r="TTS58"/>
      <c r="TTT58"/>
      <c r="TTU58"/>
      <c r="TTV58"/>
      <c r="TTW58"/>
      <c r="TTX58"/>
      <c r="TTY58"/>
      <c r="TTZ58"/>
      <c r="TUA58"/>
      <c r="TUB58"/>
      <c r="TUC58"/>
      <c r="TUD58"/>
      <c r="TUE58"/>
      <c r="TUF58"/>
      <c r="TUG58"/>
      <c r="TUH58"/>
      <c r="TUI58"/>
      <c r="TUJ58"/>
      <c r="TUK58"/>
      <c r="TUL58"/>
      <c r="TUM58"/>
      <c r="TUN58"/>
      <c r="TUO58"/>
      <c r="TUP58"/>
      <c r="TUQ58"/>
      <c r="TUR58"/>
      <c r="TUS58"/>
      <c r="TUT58"/>
      <c r="TUU58"/>
      <c r="TUV58"/>
      <c r="TUW58"/>
      <c r="TUX58"/>
      <c r="TUY58"/>
      <c r="TUZ58"/>
      <c r="TVA58"/>
      <c r="TVB58"/>
      <c r="TVC58"/>
      <c r="TVD58"/>
      <c r="TVE58"/>
      <c r="TVF58"/>
      <c r="TVG58"/>
      <c r="TVH58"/>
      <c r="TVI58"/>
      <c r="TVJ58"/>
      <c r="TVK58"/>
      <c r="TVL58"/>
      <c r="TVM58"/>
      <c r="TVN58"/>
      <c r="TVO58"/>
      <c r="TVP58"/>
      <c r="TVQ58"/>
      <c r="TVR58"/>
      <c r="TVS58"/>
      <c r="TVT58"/>
      <c r="TVU58"/>
      <c r="TVV58"/>
      <c r="TVW58"/>
      <c r="TVX58"/>
      <c r="TVY58"/>
      <c r="TVZ58"/>
      <c r="TWA58"/>
      <c r="TWB58"/>
      <c r="TWC58"/>
      <c r="TWD58"/>
      <c r="TWE58"/>
      <c r="TWF58"/>
      <c r="TWG58"/>
      <c r="TWH58"/>
      <c r="TWI58"/>
      <c r="TWJ58"/>
      <c r="TWK58"/>
      <c r="TWL58"/>
      <c r="TWM58"/>
      <c r="TWN58"/>
      <c r="TWO58"/>
      <c r="TWP58"/>
      <c r="TWQ58"/>
      <c r="TWR58"/>
      <c r="TWS58"/>
      <c r="TWT58"/>
      <c r="TWU58"/>
      <c r="TWV58"/>
      <c r="TWW58"/>
      <c r="TWX58"/>
      <c r="TWY58"/>
      <c r="TWZ58"/>
      <c r="TXA58"/>
      <c r="TXB58"/>
      <c r="TXC58"/>
      <c r="TXD58"/>
      <c r="TXE58"/>
      <c r="TXF58"/>
      <c r="TXG58"/>
      <c r="TXH58"/>
      <c r="TXI58"/>
      <c r="TXJ58"/>
      <c r="TXK58"/>
      <c r="TXL58"/>
      <c r="TXM58"/>
      <c r="TXN58"/>
      <c r="TXO58"/>
      <c r="TXP58"/>
      <c r="TXQ58"/>
      <c r="TXR58"/>
      <c r="TXS58"/>
      <c r="TXT58"/>
      <c r="TXU58"/>
      <c r="TXV58"/>
      <c r="TXW58"/>
      <c r="TXX58"/>
      <c r="TXY58"/>
      <c r="TXZ58"/>
      <c r="TYA58"/>
      <c r="TYB58"/>
      <c r="TYC58"/>
      <c r="TYD58"/>
      <c r="TYE58"/>
      <c r="TYF58"/>
      <c r="TYG58"/>
      <c r="TYH58"/>
      <c r="TYI58"/>
      <c r="TYJ58"/>
      <c r="TYK58"/>
      <c r="TYL58"/>
      <c r="TYM58"/>
      <c r="TYN58"/>
      <c r="TYO58"/>
      <c r="TYP58"/>
      <c r="TYQ58"/>
      <c r="TYR58"/>
      <c r="TYS58"/>
      <c r="TYT58"/>
      <c r="TYU58"/>
      <c r="TYV58"/>
      <c r="TYW58"/>
      <c r="TYX58"/>
      <c r="TYY58"/>
      <c r="TYZ58"/>
      <c r="TZA58"/>
      <c r="TZB58"/>
      <c r="TZC58"/>
      <c r="TZD58"/>
      <c r="TZE58"/>
      <c r="TZF58"/>
      <c r="TZG58"/>
      <c r="TZH58"/>
      <c r="TZI58"/>
      <c r="TZJ58"/>
      <c r="TZK58"/>
      <c r="TZL58"/>
      <c r="TZM58"/>
      <c r="TZN58"/>
      <c r="TZO58"/>
      <c r="TZP58"/>
      <c r="TZQ58"/>
      <c r="TZR58"/>
      <c r="TZS58"/>
      <c r="TZT58"/>
      <c r="TZU58"/>
      <c r="TZV58"/>
      <c r="TZW58"/>
      <c r="TZX58"/>
      <c r="TZY58"/>
      <c r="TZZ58"/>
      <c r="UAA58"/>
      <c r="UAB58"/>
      <c r="UAC58"/>
      <c r="UAD58"/>
      <c r="UAE58"/>
      <c r="UAF58"/>
      <c r="UAG58"/>
      <c r="UAH58"/>
      <c r="UAI58"/>
      <c r="UAJ58"/>
      <c r="UAK58"/>
      <c r="UAL58"/>
      <c r="UAM58"/>
      <c r="UAN58"/>
      <c r="UAO58"/>
      <c r="UAP58"/>
      <c r="UAQ58"/>
      <c r="UAR58"/>
      <c r="UAS58"/>
      <c r="UAT58"/>
      <c r="UAU58"/>
      <c r="UAV58"/>
      <c r="UAW58"/>
      <c r="UAX58"/>
      <c r="UAY58"/>
      <c r="UAZ58"/>
      <c r="UBA58"/>
      <c r="UBB58"/>
      <c r="UBC58"/>
      <c r="UBD58"/>
      <c r="UBE58"/>
      <c r="UBF58"/>
      <c r="UBG58"/>
      <c r="UBH58"/>
      <c r="UBI58"/>
      <c r="UBJ58"/>
      <c r="UBK58"/>
      <c r="UBL58"/>
      <c r="UBM58"/>
      <c r="UBN58"/>
      <c r="UBO58"/>
      <c r="UBP58"/>
      <c r="UBQ58"/>
      <c r="UBR58"/>
      <c r="UBS58"/>
      <c r="UBT58"/>
      <c r="UBU58"/>
      <c r="UBV58"/>
      <c r="UBW58"/>
      <c r="UBX58"/>
      <c r="UBY58"/>
      <c r="UBZ58"/>
      <c r="UCA58"/>
      <c r="UCB58"/>
      <c r="UCC58"/>
      <c r="UCD58"/>
      <c r="UCE58"/>
      <c r="UCF58"/>
      <c r="UCG58"/>
      <c r="UCH58"/>
      <c r="UCI58"/>
      <c r="UCJ58"/>
      <c r="UCK58"/>
      <c r="UCL58"/>
      <c r="UCM58"/>
      <c r="UCN58"/>
      <c r="UCO58"/>
      <c r="UCP58"/>
      <c r="UCQ58"/>
      <c r="UCR58"/>
      <c r="UCS58"/>
      <c r="UCT58"/>
      <c r="UCU58"/>
      <c r="UCV58"/>
      <c r="UCW58"/>
      <c r="UCX58"/>
      <c r="UCY58"/>
      <c r="UCZ58"/>
      <c r="UDA58"/>
      <c r="UDB58"/>
      <c r="UDC58"/>
      <c r="UDD58"/>
      <c r="UDE58"/>
      <c r="UDF58"/>
      <c r="UDG58"/>
      <c r="UDH58"/>
      <c r="UDI58"/>
      <c r="UDJ58"/>
      <c r="UDK58"/>
      <c r="UDL58"/>
      <c r="UDM58"/>
      <c r="UDN58"/>
      <c r="UDO58"/>
      <c r="UDP58"/>
      <c r="UDQ58"/>
      <c r="UDR58"/>
      <c r="UDS58"/>
      <c r="UDT58"/>
      <c r="UDU58"/>
      <c r="UDV58"/>
      <c r="UDW58"/>
      <c r="UDX58"/>
      <c r="UDY58"/>
      <c r="UDZ58"/>
      <c r="UEA58"/>
      <c r="UEB58"/>
      <c r="UEC58"/>
      <c r="UED58"/>
      <c r="UEE58"/>
      <c r="UEF58"/>
      <c r="UEG58"/>
      <c r="UEH58"/>
      <c r="UEI58"/>
      <c r="UEJ58"/>
      <c r="UEK58"/>
      <c r="UEL58"/>
      <c r="UEM58"/>
      <c r="UEN58"/>
      <c r="UEO58"/>
      <c r="UEP58"/>
      <c r="UEQ58"/>
      <c r="UER58"/>
      <c r="UES58"/>
      <c r="UET58"/>
      <c r="UEU58"/>
      <c r="UEV58"/>
      <c r="UEW58"/>
      <c r="UEX58"/>
      <c r="UEY58"/>
      <c r="UEZ58"/>
      <c r="UFA58"/>
      <c r="UFB58"/>
      <c r="UFC58"/>
      <c r="UFD58"/>
      <c r="UFE58"/>
      <c r="UFF58"/>
      <c r="UFG58"/>
      <c r="UFH58"/>
      <c r="UFI58"/>
      <c r="UFJ58"/>
      <c r="UFK58"/>
      <c r="UFL58"/>
      <c r="UFM58"/>
      <c r="UFN58"/>
      <c r="UFO58"/>
      <c r="UFP58"/>
      <c r="UFQ58"/>
      <c r="UFR58"/>
      <c r="UFS58"/>
      <c r="UFT58"/>
      <c r="UFU58"/>
      <c r="UFV58"/>
      <c r="UFW58"/>
      <c r="UFX58"/>
      <c r="UFY58"/>
      <c r="UFZ58"/>
      <c r="UGA58"/>
      <c r="UGB58"/>
      <c r="UGC58"/>
      <c r="UGD58"/>
      <c r="UGE58"/>
      <c r="UGF58"/>
      <c r="UGG58"/>
      <c r="UGH58"/>
      <c r="UGI58"/>
      <c r="UGJ58"/>
      <c r="UGK58"/>
      <c r="UGL58"/>
      <c r="UGM58"/>
      <c r="UGN58"/>
      <c r="UGO58"/>
      <c r="UGP58"/>
      <c r="UGQ58"/>
      <c r="UGR58"/>
      <c r="UGS58"/>
      <c r="UGT58"/>
      <c r="UGU58"/>
      <c r="UGV58"/>
      <c r="UGW58"/>
      <c r="UGX58"/>
      <c r="UGY58"/>
      <c r="UGZ58"/>
      <c r="UHA58"/>
      <c r="UHB58"/>
      <c r="UHC58"/>
      <c r="UHD58"/>
      <c r="UHE58"/>
      <c r="UHF58"/>
      <c r="UHG58"/>
      <c r="UHH58"/>
      <c r="UHI58"/>
      <c r="UHJ58"/>
      <c r="UHK58"/>
      <c r="UHL58"/>
      <c r="UHM58"/>
      <c r="UHN58"/>
      <c r="UHO58"/>
      <c r="UHP58"/>
      <c r="UHQ58"/>
      <c r="UHR58"/>
      <c r="UHS58"/>
      <c r="UHT58"/>
      <c r="UHU58"/>
      <c r="UHV58"/>
      <c r="UHW58"/>
      <c r="UHX58"/>
      <c r="UHY58"/>
      <c r="UHZ58"/>
      <c r="UIA58"/>
      <c r="UIB58"/>
      <c r="UIC58"/>
      <c r="UID58"/>
      <c r="UIE58"/>
      <c r="UIF58"/>
      <c r="UIG58"/>
      <c r="UIH58"/>
      <c r="UII58"/>
      <c r="UIJ58"/>
      <c r="UIK58"/>
      <c r="UIL58"/>
      <c r="UIM58"/>
      <c r="UIN58"/>
      <c r="UIO58"/>
      <c r="UIP58"/>
      <c r="UIQ58"/>
      <c r="UIR58"/>
      <c r="UIS58"/>
      <c r="UIT58"/>
      <c r="UIU58"/>
      <c r="UIV58"/>
      <c r="UIW58"/>
      <c r="UIX58"/>
      <c r="UIY58"/>
      <c r="UIZ58"/>
      <c r="UJA58"/>
      <c r="UJB58"/>
      <c r="UJC58"/>
      <c r="UJD58"/>
      <c r="UJE58"/>
      <c r="UJF58"/>
      <c r="UJG58"/>
      <c r="UJH58"/>
      <c r="UJI58"/>
      <c r="UJJ58"/>
      <c r="UJK58"/>
      <c r="UJL58"/>
      <c r="UJM58"/>
      <c r="UJN58"/>
      <c r="UJO58"/>
      <c r="UJP58"/>
      <c r="UJQ58"/>
      <c r="UJR58"/>
      <c r="UJS58"/>
      <c r="UJT58"/>
      <c r="UJU58"/>
      <c r="UJV58"/>
      <c r="UJW58"/>
      <c r="UJX58"/>
      <c r="UJY58"/>
      <c r="UJZ58"/>
      <c r="UKA58"/>
      <c r="UKB58"/>
      <c r="UKC58"/>
      <c r="UKD58"/>
      <c r="UKE58"/>
      <c r="UKF58"/>
      <c r="UKG58"/>
      <c r="UKH58"/>
      <c r="UKI58"/>
      <c r="UKJ58"/>
      <c r="UKK58"/>
      <c r="UKL58"/>
      <c r="UKM58"/>
      <c r="UKN58"/>
      <c r="UKO58"/>
      <c r="UKP58"/>
      <c r="UKQ58"/>
      <c r="UKR58"/>
      <c r="UKS58"/>
      <c r="UKT58"/>
      <c r="UKU58"/>
      <c r="UKV58"/>
      <c r="UKW58"/>
      <c r="UKX58"/>
      <c r="UKY58"/>
      <c r="UKZ58"/>
      <c r="ULA58"/>
      <c r="ULB58"/>
      <c r="ULC58"/>
      <c r="ULD58"/>
      <c r="ULE58"/>
      <c r="ULF58"/>
      <c r="ULG58"/>
      <c r="ULH58"/>
      <c r="ULI58"/>
      <c r="ULJ58"/>
      <c r="ULK58"/>
      <c r="ULL58"/>
      <c r="ULM58"/>
      <c r="ULN58"/>
      <c r="ULO58"/>
      <c r="ULP58"/>
      <c r="ULQ58"/>
      <c r="ULR58"/>
      <c r="ULS58"/>
      <c r="ULT58"/>
      <c r="ULU58"/>
      <c r="ULV58"/>
      <c r="ULW58"/>
      <c r="ULX58"/>
      <c r="ULY58"/>
      <c r="ULZ58"/>
      <c r="UMA58"/>
      <c r="UMB58"/>
      <c r="UMC58"/>
      <c r="UMD58"/>
      <c r="UME58"/>
      <c r="UMF58"/>
      <c r="UMG58"/>
      <c r="UMH58"/>
      <c r="UMI58"/>
      <c r="UMJ58"/>
      <c r="UMK58"/>
      <c r="UML58"/>
      <c r="UMM58"/>
      <c r="UMN58"/>
      <c r="UMO58"/>
      <c r="UMP58"/>
      <c r="UMQ58"/>
      <c r="UMR58"/>
      <c r="UMS58"/>
      <c r="UMT58"/>
      <c r="UMU58"/>
      <c r="UMV58"/>
      <c r="UMW58"/>
      <c r="UMX58"/>
      <c r="UMY58"/>
      <c r="UMZ58"/>
      <c r="UNA58"/>
      <c r="UNB58"/>
      <c r="UNC58"/>
      <c r="UND58"/>
      <c r="UNE58"/>
      <c r="UNF58"/>
      <c r="UNG58"/>
      <c r="UNH58"/>
      <c r="UNI58"/>
      <c r="UNJ58"/>
      <c r="UNK58"/>
      <c r="UNL58"/>
      <c r="UNM58"/>
      <c r="UNN58"/>
      <c r="UNO58"/>
      <c r="UNP58"/>
      <c r="UNQ58"/>
      <c r="UNR58"/>
      <c r="UNS58"/>
      <c r="UNT58"/>
      <c r="UNU58"/>
      <c r="UNV58"/>
      <c r="UNW58"/>
      <c r="UNX58"/>
      <c r="UNY58"/>
      <c r="UNZ58"/>
      <c r="UOA58"/>
      <c r="UOB58"/>
      <c r="UOC58"/>
      <c r="UOD58"/>
      <c r="UOE58"/>
      <c r="UOF58"/>
      <c r="UOG58"/>
      <c r="UOH58"/>
      <c r="UOI58"/>
      <c r="UOJ58"/>
      <c r="UOK58"/>
      <c r="UOL58"/>
      <c r="UOM58"/>
      <c r="UON58"/>
      <c r="UOO58"/>
      <c r="UOP58"/>
      <c r="UOQ58"/>
      <c r="UOR58"/>
      <c r="UOS58"/>
      <c r="UOT58"/>
      <c r="UOU58"/>
      <c r="UOV58"/>
      <c r="UOW58"/>
      <c r="UOX58"/>
      <c r="UOY58"/>
      <c r="UOZ58"/>
      <c r="UPA58"/>
      <c r="UPB58"/>
      <c r="UPC58"/>
      <c r="UPD58"/>
      <c r="UPE58"/>
      <c r="UPF58"/>
      <c r="UPG58"/>
      <c r="UPH58"/>
      <c r="UPI58"/>
      <c r="UPJ58"/>
      <c r="UPK58"/>
      <c r="UPL58"/>
      <c r="UPM58"/>
      <c r="UPN58"/>
      <c r="UPO58"/>
      <c r="UPP58"/>
      <c r="UPQ58"/>
      <c r="UPR58"/>
      <c r="UPS58"/>
      <c r="UPT58"/>
      <c r="UPU58"/>
      <c r="UPV58"/>
      <c r="UPW58"/>
      <c r="UPX58"/>
      <c r="UPY58"/>
      <c r="UPZ58"/>
      <c r="UQA58"/>
      <c r="UQB58"/>
      <c r="UQC58"/>
      <c r="UQD58"/>
      <c r="UQE58"/>
      <c r="UQF58"/>
      <c r="UQG58"/>
      <c r="UQH58"/>
      <c r="UQI58"/>
      <c r="UQJ58"/>
      <c r="UQK58"/>
      <c r="UQL58"/>
      <c r="UQM58"/>
      <c r="UQN58"/>
      <c r="UQO58"/>
      <c r="UQP58"/>
      <c r="UQQ58"/>
      <c r="UQR58"/>
      <c r="UQS58"/>
      <c r="UQT58"/>
      <c r="UQU58"/>
      <c r="UQV58"/>
      <c r="UQW58"/>
      <c r="UQX58"/>
      <c r="UQY58"/>
      <c r="UQZ58"/>
      <c r="URA58"/>
      <c r="URB58"/>
      <c r="URC58"/>
      <c r="URD58"/>
      <c r="URE58"/>
      <c r="URF58"/>
      <c r="URG58"/>
      <c r="URH58"/>
      <c r="URI58"/>
      <c r="URJ58"/>
      <c r="URK58"/>
      <c r="URL58"/>
      <c r="URM58"/>
      <c r="URN58"/>
      <c r="URO58"/>
      <c r="URP58"/>
      <c r="URQ58"/>
      <c r="URR58"/>
      <c r="URS58"/>
      <c r="URT58"/>
      <c r="URU58"/>
      <c r="URV58"/>
      <c r="URW58"/>
      <c r="URX58"/>
      <c r="URY58"/>
      <c r="URZ58"/>
      <c r="USA58"/>
      <c r="USB58"/>
      <c r="USC58"/>
      <c r="USD58"/>
      <c r="USE58"/>
      <c r="USF58"/>
      <c r="USG58"/>
      <c r="USH58"/>
      <c r="USI58"/>
      <c r="USJ58"/>
      <c r="USK58"/>
      <c r="USL58"/>
      <c r="USM58"/>
      <c r="USN58"/>
      <c r="USO58"/>
      <c r="USP58"/>
      <c r="USQ58"/>
      <c r="USR58"/>
      <c r="USS58"/>
      <c r="UST58"/>
      <c r="USU58"/>
      <c r="USV58"/>
      <c r="USW58"/>
      <c r="USX58"/>
      <c r="USY58"/>
      <c r="USZ58"/>
      <c r="UTA58"/>
      <c r="UTB58"/>
      <c r="UTC58"/>
      <c r="UTD58"/>
      <c r="UTE58"/>
      <c r="UTF58"/>
      <c r="UTG58"/>
      <c r="UTH58"/>
      <c r="UTI58"/>
      <c r="UTJ58"/>
      <c r="UTK58"/>
      <c r="UTL58"/>
      <c r="UTM58"/>
      <c r="UTN58"/>
      <c r="UTO58"/>
      <c r="UTP58"/>
      <c r="UTQ58"/>
      <c r="UTR58"/>
      <c r="UTS58"/>
      <c r="UTT58"/>
      <c r="UTU58"/>
      <c r="UTV58"/>
      <c r="UTW58"/>
      <c r="UTX58"/>
      <c r="UTY58"/>
      <c r="UTZ58"/>
      <c r="UUA58"/>
      <c r="UUB58"/>
      <c r="UUC58"/>
      <c r="UUD58"/>
      <c r="UUE58"/>
      <c r="UUF58"/>
      <c r="UUG58"/>
      <c r="UUH58"/>
      <c r="UUI58"/>
      <c r="UUJ58"/>
      <c r="UUK58"/>
      <c r="UUL58"/>
      <c r="UUM58"/>
      <c r="UUN58"/>
      <c r="UUO58"/>
      <c r="UUP58"/>
      <c r="UUQ58"/>
      <c r="UUR58"/>
      <c r="UUS58"/>
      <c r="UUT58"/>
      <c r="UUU58"/>
      <c r="UUV58"/>
      <c r="UUW58"/>
      <c r="UUX58"/>
      <c r="UUY58"/>
      <c r="UUZ58"/>
      <c r="UVA58"/>
      <c r="UVB58"/>
      <c r="UVC58"/>
      <c r="UVD58"/>
      <c r="UVE58"/>
      <c r="UVF58"/>
      <c r="UVG58"/>
      <c r="UVH58"/>
      <c r="UVI58"/>
      <c r="UVJ58"/>
      <c r="UVK58"/>
      <c r="UVL58"/>
      <c r="UVM58"/>
      <c r="UVN58"/>
      <c r="UVO58"/>
      <c r="UVP58"/>
      <c r="UVQ58"/>
      <c r="UVR58"/>
      <c r="UVS58"/>
      <c r="UVT58"/>
      <c r="UVU58"/>
      <c r="UVV58"/>
      <c r="UVW58"/>
      <c r="UVX58"/>
      <c r="UVY58"/>
      <c r="UVZ58"/>
      <c r="UWA58"/>
      <c r="UWB58"/>
      <c r="UWC58"/>
      <c r="UWD58"/>
      <c r="UWE58"/>
      <c r="UWF58"/>
      <c r="UWG58"/>
      <c r="UWH58"/>
      <c r="UWI58"/>
      <c r="UWJ58"/>
      <c r="UWK58"/>
      <c r="UWL58"/>
      <c r="UWM58"/>
      <c r="UWN58"/>
      <c r="UWO58"/>
      <c r="UWP58"/>
      <c r="UWQ58"/>
      <c r="UWR58"/>
      <c r="UWS58"/>
      <c r="UWT58"/>
      <c r="UWU58"/>
      <c r="UWV58"/>
      <c r="UWW58"/>
      <c r="UWX58"/>
      <c r="UWY58"/>
      <c r="UWZ58"/>
      <c r="UXA58"/>
      <c r="UXB58"/>
      <c r="UXC58"/>
      <c r="UXD58"/>
      <c r="UXE58"/>
      <c r="UXF58"/>
      <c r="UXG58"/>
      <c r="UXH58"/>
      <c r="UXI58"/>
      <c r="UXJ58"/>
      <c r="UXK58"/>
      <c r="UXL58"/>
      <c r="UXM58"/>
      <c r="UXN58"/>
      <c r="UXO58"/>
      <c r="UXP58"/>
      <c r="UXQ58"/>
      <c r="UXR58"/>
      <c r="UXS58"/>
      <c r="UXT58"/>
      <c r="UXU58"/>
      <c r="UXV58"/>
      <c r="UXW58"/>
      <c r="UXX58"/>
      <c r="UXY58"/>
      <c r="UXZ58"/>
      <c r="UYA58"/>
      <c r="UYB58"/>
      <c r="UYC58"/>
      <c r="UYD58"/>
      <c r="UYE58"/>
      <c r="UYF58"/>
      <c r="UYG58"/>
      <c r="UYH58"/>
      <c r="UYI58"/>
      <c r="UYJ58"/>
      <c r="UYK58"/>
      <c r="UYL58"/>
      <c r="UYM58"/>
      <c r="UYN58"/>
      <c r="UYO58"/>
      <c r="UYP58"/>
      <c r="UYQ58"/>
      <c r="UYR58"/>
      <c r="UYS58"/>
      <c r="UYT58"/>
      <c r="UYU58"/>
      <c r="UYV58"/>
      <c r="UYW58"/>
      <c r="UYX58"/>
      <c r="UYY58"/>
      <c r="UYZ58"/>
      <c r="UZA58"/>
      <c r="UZB58"/>
      <c r="UZC58"/>
      <c r="UZD58"/>
      <c r="UZE58"/>
      <c r="UZF58"/>
      <c r="UZG58"/>
      <c r="UZH58"/>
      <c r="UZI58"/>
      <c r="UZJ58"/>
      <c r="UZK58"/>
      <c r="UZL58"/>
      <c r="UZM58"/>
      <c r="UZN58"/>
      <c r="UZO58"/>
      <c r="UZP58"/>
      <c r="UZQ58"/>
      <c r="UZR58"/>
      <c r="UZS58"/>
      <c r="UZT58"/>
      <c r="UZU58"/>
      <c r="UZV58"/>
      <c r="UZW58"/>
      <c r="UZX58"/>
      <c r="UZY58"/>
      <c r="UZZ58"/>
      <c r="VAA58"/>
      <c r="VAB58"/>
      <c r="VAC58"/>
      <c r="VAD58"/>
      <c r="VAE58"/>
      <c r="VAF58"/>
      <c r="VAG58"/>
      <c r="VAH58"/>
      <c r="VAI58"/>
      <c r="VAJ58"/>
      <c r="VAK58"/>
      <c r="VAL58"/>
      <c r="VAM58"/>
      <c r="VAN58"/>
      <c r="VAO58"/>
      <c r="VAP58"/>
      <c r="VAQ58"/>
      <c r="VAR58"/>
      <c r="VAS58"/>
      <c r="VAT58"/>
      <c r="VAU58"/>
      <c r="VAV58"/>
      <c r="VAW58"/>
      <c r="VAX58"/>
      <c r="VAY58"/>
      <c r="VAZ58"/>
      <c r="VBA58"/>
      <c r="VBB58"/>
      <c r="VBC58"/>
      <c r="VBD58"/>
      <c r="VBE58"/>
      <c r="VBF58"/>
      <c r="VBG58"/>
      <c r="VBH58"/>
      <c r="VBI58"/>
      <c r="VBJ58"/>
      <c r="VBK58"/>
      <c r="VBL58"/>
      <c r="VBM58"/>
      <c r="VBN58"/>
      <c r="VBO58"/>
      <c r="VBP58"/>
      <c r="VBQ58"/>
      <c r="VBR58"/>
      <c r="VBS58"/>
      <c r="VBT58"/>
      <c r="VBU58"/>
      <c r="VBV58"/>
      <c r="VBW58"/>
      <c r="VBX58"/>
      <c r="VBY58"/>
      <c r="VBZ58"/>
      <c r="VCA58"/>
      <c r="VCB58"/>
      <c r="VCC58"/>
      <c r="VCD58"/>
      <c r="VCE58"/>
      <c r="VCF58"/>
      <c r="VCG58"/>
      <c r="VCH58"/>
      <c r="VCI58"/>
      <c r="VCJ58"/>
      <c r="VCK58"/>
      <c r="VCL58"/>
      <c r="VCM58"/>
      <c r="VCN58"/>
      <c r="VCO58"/>
      <c r="VCP58"/>
      <c r="VCQ58"/>
      <c r="VCR58"/>
      <c r="VCS58"/>
      <c r="VCT58"/>
      <c r="VCU58"/>
      <c r="VCV58"/>
      <c r="VCW58"/>
      <c r="VCX58"/>
      <c r="VCY58"/>
      <c r="VCZ58"/>
      <c r="VDA58"/>
      <c r="VDB58"/>
      <c r="VDC58"/>
      <c r="VDD58"/>
      <c r="VDE58"/>
      <c r="VDF58"/>
      <c r="VDG58"/>
      <c r="VDH58"/>
      <c r="VDI58"/>
      <c r="VDJ58"/>
      <c r="VDK58"/>
      <c r="VDL58"/>
      <c r="VDM58"/>
      <c r="VDN58"/>
      <c r="VDO58"/>
      <c r="VDP58"/>
      <c r="VDQ58"/>
      <c r="VDR58"/>
      <c r="VDS58"/>
      <c r="VDT58"/>
      <c r="VDU58"/>
      <c r="VDV58"/>
      <c r="VDW58"/>
      <c r="VDX58"/>
      <c r="VDY58"/>
      <c r="VDZ58"/>
      <c r="VEA58"/>
      <c r="VEB58"/>
      <c r="VEC58"/>
      <c r="VED58"/>
      <c r="VEE58"/>
      <c r="VEF58"/>
      <c r="VEG58"/>
      <c r="VEH58"/>
      <c r="VEI58"/>
      <c r="VEJ58"/>
      <c r="VEK58"/>
      <c r="VEL58"/>
      <c r="VEM58"/>
      <c r="VEN58"/>
      <c r="VEO58"/>
      <c r="VEP58"/>
      <c r="VEQ58"/>
      <c r="VER58"/>
      <c r="VES58"/>
      <c r="VET58"/>
      <c r="VEU58"/>
      <c r="VEV58"/>
      <c r="VEW58"/>
      <c r="VEX58"/>
      <c r="VEY58"/>
      <c r="VEZ58"/>
      <c r="VFA58"/>
      <c r="VFB58"/>
      <c r="VFC58"/>
      <c r="VFD58"/>
      <c r="VFE58"/>
      <c r="VFF58"/>
      <c r="VFG58"/>
      <c r="VFH58"/>
      <c r="VFI58"/>
      <c r="VFJ58"/>
      <c r="VFK58"/>
      <c r="VFL58"/>
      <c r="VFM58"/>
      <c r="VFN58"/>
      <c r="VFO58"/>
      <c r="VFP58"/>
      <c r="VFQ58"/>
      <c r="VFR58"/>
      <c r="VFS58"/>
      <c r="VFT58"/>
      <c r="VFU58"/>
      <c r="VFV58"/>
      <c r="VFW58"/>
      <c r="VFX58"/>
      <c r="VFY58"/>
      <c r="VFZ58"/>
      <c r="VGA58"/>
      <c r="VGB58"/>
      <c r="VGC58"/>
      <c r="VGD58"/>
      <c r="VGE58"/>
      <c r="VGF58"/>
      <c r="VGG58"/>
      <c r="VGH58"/>
      <c r="VGI58"/>
      <c r="VGJ58"/>
      <c r="VGK58"/>
      <c r="VGL58"/>
      <c r="VGM58"/>
      <c r="VGN58"/>
      <c r="VGO58"/>
      <c r="VGP58"/>
      <c r="VGQ58"/>
      <c r="VGR58"/>
      <c r="VGS58"/>
      <c r="VGT58"/>
      <c r="VGU58"/>
      <c r="VGV58"/>
      <c r="VGW58"/>
      <c r="VGX58"/>
      <c r="VGY58"/>
      <c r="VGZ58"/>
      <c r="VHA58"/>
      <c r="VHB58"/>
      <c r="VHC58"/>
      <c r="VHD58"/>
      <c r="VHE58"/>
      <c r="VHF58"/>
      <c r="VHG58"/>
      <c r="VHH58"/>
      <c r="VHI58"/>
      <c r="VHJ58"/>
      <c r="VHK58"/>
      <c r="VHL58"/>
      <c r="VHM58"/>
      <c r="VHN58"/>
      <c r="VHO58"/>
      <c r="VHP58"/>
      <c r="VHQ58"/>
      <c r="VHR58"/>
      <c r="VHS58"/>
      <c r="VHT58"/>
      <c r="VHU58"/>
      <c r="VHV58"/>
      <c r="VHW58"/>
      <c r="VHX58"/>
      <c r="VHY58"/>
      <c r="VHZ58"/>
      <c r="VIA58"/>
      <c r="VIB58"/>
      <c r="VIC58"/>
      <c r="VID58"/>
      <c r="VIE58"/>
      <c r="VIF58"/>
      <c r="VIG58"/>
      <c r="VIH58"/>
      <c r="VII58"/>
      <c r="VIJ58"/>
      <c r="VIK58"/>
      <c r="VIL58"/>
      <c r="VIM58"/>
      <c r="VIN58"/>
      <c r="VIO58"/>
      <c r="VIP58"/>
      <c r="VIQ58"/>
      <c r="VIR58"/>
      <c r="VIS58"/>
      <c r="VIT58"/>
      <c r="VIU58"/>
      <c r="VIV58"/>
      <c r="VIW58"/>
      <c r="VIX58"/>
      <c r="VIY58"/>
      <c r="VIZ58"/>
      <c r="VJA58"/>
      <c r="VJB58"/>
      <c r="VJC58"/>
      <c r="VJD58"/>
      <c r="VJE58"/>
      <c r="VJF58"/>
      <c r="VJG58"/>
      <c r="VJH58"/>
      <c r="VJI58"/>
      <c r="VJJ58"/>
      <c r="VJK58"/>
      <c r="VJL58"/>
      <c r="VJM58"/>
      <c r="VJN58"/>
      <c r="VJO58"/>
      <c r="VJP58"/>
      <c r="VJQ58"/>
      <c r="VJR58"/>
      <c r="VJS58"/>
      <c r="VJT58"/>
      <c r="VJU58"/>
      <c r="VJV58"/>
      <c r="VJW58"/>
      <c r="VJX58"/>
      <c r="VJY58"/>
      <c r="VJZ58"/>
      <c r="VKA58"/>
      <c r="VKB58"/>
      <c r="VKC58"/>
      <c r="VKD58"/>
      <c r="VKE58"/>
      <c r="VKF58"/>
      <c r="VKG58"/>
      <c r="VKH58"/>
      <c r="VKI58"/>
      <c r="VKJ58"/>
      <c r="VKK58"/>
      <c r="VKL58"/>
      <c r="VKM58"/>
      <c r="VKN58"/>
      <c r="VKO58"/>
      <c r="VKP58"/>
      <c r="VKQ58"/>
      <c r="VKR58"/>
      <c r="VKS58"/>
      <c r="VKT58"/>
      <c r="VKU58"/>
      <c r="VKV58"/>
      <c r="VKW58"/>
      <c r="VKX58"/>
      <c r="VKY58"/>
      <c r="VKZ58"/>
      <c r="VLA58"/>
      <c r="VLB58"/>
      <c r="VLC58"/>
      <c r="VLD58"/>
      <c r="VLE58"/>
      <c r="VLF58"/>
      <c r="VLG58"/>
      <c r="VLH58"/>
      <c r="VLI58"/>
      <c r="VLJ58"/>
      <c r="VLK58"/>
      <c r="VLL58"/>
      <c r="VLM58"/>
      <c r="VLN58"/>
      <c r="VLO58"/>
      <c r="VLP58"/>
      <c r="VLQ58"/>
      <c r="VLR58"/>
      <c r="VLS58"/>
      <c r="VLT58"/>
      <c r="VLU58"/>
      <c r="VLV58"/>
      <c r="VLW58"/>
      <c r="VLX58"/>
      <c r="VLY58"/>
      <c r="VLZ58"/>
      <c r="VMA58"/>
      <c r="VMB58"/>
      <c r="VMC58"/>
      <c r="VMD58"/>
      <c r="VME58"/>
      <c r="VMF58"/>
      <c r="VMG58"/>
      <c r="VMH58"/>
      <c r="VMI58"/>
      <c r="VMJ58"/>
      <c r="VMK58"/>
      <c r="VML58"/>
      <c r="VMM58"/>
      <c r="VMN58"/>
      <c r="VMO58"/>
      <c r="VMP58"/>
      <c r="VMQ58"/>
      <c r="VMR58"/>
      <c r="VMS58"/>
      <c r="VMT58"/>
      <c r="VMU58"/>
      <c r="VMV58"/>
      <c r="VMW58"/>
      <c r="VMX58"/>
      <c r="VMY58"/>
      <c r="VMZ58"/>
      <c r="VNA58"/>
      <c r="VNB58"/>
      <c r="VNC58"/>
      <c r="VND58"/>
      <c r="VNE58"/>
      <c r="VNF58"/>
      <c r="VNG58"/>
      <c r="VNH58"/>
      <c r="VNI58"/>
      <c r="VNJ58"/>
      <c r="VNK58"/>
      <c r="VNL58"/>
      <c r="VNM58"/>
      <c r="VNN58"/>
      <c r="VNO58"/>
      <c r="VNP58"/>
      <c r="VNQ58"/>
      <c r="VNR58"/>
      <c r="VNS58"/>
      <c r="VNT58"/>
      <c r="VNU58"/>
      <c r="VNV58"/>
      <c r="VNW58"/>
      <c r="VNX58"/>
      <c r="VNY58"/>
      <c r="VNZ58"/>
      <c r="VOA58"/>
      <c r="VOB58"/>
      <c r="VOC58"/>
      <c r="VOD58"/>
      <c r="VOE58"/>
      <c r="VOF58"/>
      <c r="VOG58"/>
      <c r="VOH58"/>
      <c r="VOI58"/>
      <c r="VOJ58"/>
      <c r="VOK58"/>
      <c r="VOL58"/>
      <c r="VOM58"/>
      <c r="VON58"/>
      <c r="VOO58"/>
      <c r="VOP58"/>
      <c r="VOQ58"/>
      <c r="VOR58"/>
      <c r="VOS58"/>
      <c r="VOT58"/>
      <c r="VOU58"/>
      <c r="VOV58"/>
      <c r="VOW58"/>
      <c r="VOX58"/>
      <c r="VOY58"/>
      <c r="VOZ58"/>
      <c r="VPA58"/>
      <c r="VPB58"/>
      <c r="VPC58"/>
      <c r="VPD58"/>
      <c r="VPE58"/>
      <c r="VPF58"/>
      <c r="VPG58"/>
      <c r="VPH58"/>
      <c r="VPI58"/>
      <c r="VPJ58"/>
      <c r="VPK58"/>
      <c r="VPL58"/>
      <c r="VPM58"/>
      <c r="VPN58"/>
      <c r="VPO58"/>
      <c r="VPP58"/>
      <c r="VPQ58"/>
      <c r="VPR58"/>
      <c r="VPS58"/>
      <c r="VPT58"/>
      <c r="VPU58"/>
      <c r="VPV58"/>
      <c r="VPW58"/>
      <c r="VPX58"/>
      <c r="VPY58"/>
      <c r="VPZ58"/>
      <c r="VQA58"/>
      <c r="VQB58"/>
      <c r="VQC58"/>
      <c r="VQD58"/>
      <c r="VQE58"/>
      <c r="VQF58"/>
      <c r="VQG58"/>
      <c r="VQH58"/>
      <c r="VQI58"/>
      <c r="VQJ58"/>
      <c r="VQK58"/>
      <c r="VQL58"/>
      <c r="VQM58"/>
      <c r="VQN58"/>
      <c r="VQO58"/>
      <c r="VQP58"/>
      <c r="VQQ58"/>
      <c r="VQR58"/>
      <c r="VQS58"/>
      <c r="VQT58"/>
      <c r="VQU58"/>
      <c r="VQV58"/>
      <c r="VQW58"/>
      <c r="VQX58"/>
      <c r="VQY58"/>
      <c r="VQZ58"/>
      <c r="VRA58"/>
      <c r="VRB58"/>
      <c r="VRC58"/>
      <c r="VRD58"/>
      <c r="VRE58"/>
      <c r="VRF58"/>
      <c r="VRG58"/>
      <c r="VRH58"/>
      <c r="VRI58"/>
      <c r="VRJ58"/>
      <c r="VRK58"/>
      <c r="VRL58"/>
      <c r="VRM58"/>
      <c r="VRN58"/>
      <c r="VRO58"/>
      <c r="VRP58"/>
      <c r="VRQ58"/>
      <c r="VRR58"/>
      <c r="VRS58"/>
      <c r="VRT58"/>
      <c r="VRU58"/>
      <c r="VRV58"/>
      <c r="VRW58"/>
      <c r="VRX58"/>
      <c r="VRY58"/>
      <c r="VRZ58"/>
      <c r="VSA58"/>
      <c r="VSB58"/>
      <c r="VSC58"/>
      <c r="VSD58"/>
      <c r="VSE58"/>
      <c r="VSF58"/>
      <c r="VSG58"/>
      <c r="VSH58"/>
      <c r="VSI58"/>
      <c r="VSJ58"/>
      <c r="VSK58"/>
      <c r="VSL58"/>
      <c r="VSM58"/>
      <c r="VSN58"/>
      <c r="VSO58"/>
      <c r="VSP58"/>
      <c r="VSQ58"/>
      <c r="VSR58"/>
      <c r="VSS58"/>
      <c r="VST58"/>
      <c r="VSU58"/>
      <c r="VSV58"/>
      <c r="VSW58"/>
      <c r="VSX58"/>
      <c r="VSY58"/>
      <c r="VSZ58"/>
      <c r="VTA58"/>
      <c r="VTB58"/>
      <c r="VTC58"/>
      <c r="VTD58"/>
      <c r="VTE58"/>
      <c r="VTF58"/>
      <c r="VTG58"/>
      <c r="VTH58"/>
      <c r="VTI58"/>
      <c r="VTJ58"/>
      <c r="VTK58"/>
      <c r="VTL58"/>
      <c r="VTM58"/>
      <c r="VTN58"/>
      <c r="VTO58"/>
      <c r="VTP58"/>
      <c r="VTQ58"/>
      <c r="VTR58"/>
      <c r="VTS58"/>
      <c r="VTT58"/>
      <c r="VTU58"/>
      <c r="VTV58"/>
      <c r="VTW58"/>
      <c r="VTX58"/>
      <c r="VTY58"/>
      <c r="VTZ58"/>
      <c r="VUA58"/>
      <c r="VUB58"/>
      <c r="VUC58"/>
      <c r="VUD58"/>
      <c r="VUE58"/>
      <c r="VUF58"/>
      <c r="VUG58"/>
      <c r="VUH58"/>
      <c r="VUI58"/>
      <c r="VUJ58"/>
      <c r="VUK58"/>
      <c r="VUL58"/>
      <c r="VUM58"/>
      <c r="VUN58"/>
      <c r="VUO58"/>
      <c r="VUP58"/>
      <c r="VUQ58"/>
      <c r="VUR58"/>
      <c r="VUS58"/>
      <c r="VUT58"/>
      <c r="VUU58"/>
      <c r="VUV58"/>
      <c r="VUW58"/>
      <c r="VUX58"/>
      <c r="VUY58"/>
      <c r="VUZ58"/>
      <c r="VVA58"/>
      <c r="VVB58"/>
      <c r="VVC58"/>
      <c r="VVD58"/>
      <c r="VVE58"/>
      <c r="VVF58"/>
      <c r="VVG58"/>
      <c r="VVH58"/>
      <c r="VVI58"/>
      <c r="VVJ58"/>
      <c r="VVK58"/>
      <c r="VVL58"/>
      <c r="VVM58"/>
      <c r="VVN58"/>
      <c r="VVO58"/>
      <c r="VVP58"/>
      <c r="VVQ58"/>
      <c r="VVR58"/>
      <c r="VVS58"/>
      <c r="VVT58"/>
      <c r="VVU58"/>
      <c r="VVV58"/>
      <c r="VVW58"/>
      <c r="VVX58"/>
      <c r="VVY58"/>
      <c r="VVZ58"/>
      <c r="VWA58"/>
      <c r="VWB58"/>
      <c r="VWC58"/>
      <c r="VWD58"/>
      <c r="VWE58"/>
      <c r="VWF58"/>
      <c r="VWG58"/>
      <c r="VWH58"/>
      <c r="VWI58"/>
      <c r="VWJ58"/>
      <c r="VWK58"/>
      <c r="VWL58"/>
      <c r="VWM58"/>
      <c r="VWN58"/>
      <c r="VWO58"/>
      <c r="VWP58"/>
      <c r="VWQ58"/>
      <c r="VWR58"/>
      <c r="VWS58"/>
      <c r="VWT58"/>
      <c r="VWU58"/>
      <c r="VWV58"/>
      <c r="VWW58"/>
      <c r="VWX58"/>
      <c r="VWY58"/>
      <c r="VWZ58"/>
      <c r="VXA58"/>
      <c r="VXB58"/>
      <c r="VXC58"/>
      <c r="VXD58"/>
      <c r="VXE58"/>
      <c r="VXF58"/>
      <c r="VXG58"/>
      <c r="VXH58"/>
      <c r="VXI58"/>
      <c r="VXJ58"/>
      <c r="VXK58"/>
      <c r="VXL58"/>
      <c r="VXM58"/>
      <c r="VXN58"/>
      <c r="VXO58"/>
      <c r="VXP58"/>
      <c r="VXQ58"/>
      <c r="VXR58"/>
      <c r="VXS58"/>
      <c r="VXT58"/>
      <c r="VXU58"/>
      <c r="VXV58"/>
      <c r="VXW58"/>
      <c r="VXX58"/>
      <c r="VXY58"/>
      <c r="VXZ58"/>
      <c r="VYA58"/>
      <c r="VYB58"/>
      <c r="VYC58"/>
      <c r="VYD58"/>
      <c r="VYE58"/>
      <c r="VYF58"/>
      <c r="VYG58"/>
      <c r="VYH58"/>
      <c r="VYI58"/>
      <c r="VYJ58"/>
      <c r="VYK58"/>
      <c r="VYL58"/>
      <c r="VYM58"/>
      <c r="VYN58"/>
      <c r="VYO58"/>
      <c r="VYP58"/>
      <c r="VYQ58"/>
      <c r="VYR58"/>
      <c r="VYS58"/>
      <c r="VYT58"/>
      <c r="VYU58"/>
      <c r="VYV58"/>
      <c r="VYW58"/>
      <c r="VYX58"/>
      <c r="VYY58"/>
      <c r="VYZ58"/>
      <c r="VZA58"/>
      <c r="VZB58"/>
      <c r="VZC58"/>
      <c r="VZD58"/>
      <c r="VZE58"/>
      <c r="VZF58"/>
      <c r="VZG58"/>
      <c r="VZH58"/>
      <c r="VZI58"/>
      <c r="VZJ58"/>
      <c r="VZK58"/>
      <c r="VZL58"/>
      <c r="VZM58"/>
      <c r="VZN58"/>
      <c r="VZO58"/>
      <c r="VZP58"/>
      <c r="VZQ58"/>
      <c r="VZR58"/>
      <c r="VZS58"/>
      <c r="VZT58"/>
      <c r="VZU58"/>
      <c r="VZV58"/>
      <c r="VZW58"/>
      <c r="VZX58"/>
      <c r="VZY58"/>
      <c r="VZZ58"/>
      <c r="WAA58"/>
      <c r="WAB58"/>
      <c r="WAC58"/>
      <c r="WAD58"/>
      <c r="WAE58"/>
      <c r="WAF58"/>
      <c r="WAG58"/>
      <c r="WAH58"/>
      <c r="WAI58"/>
      <c r="WAJ58"/>
      <c r="WAK58"/>
      <c r="WAL58"/>
      <c r="WAM58"/>
      <c r="WAN58"/>
      <c r="WAO58"/>
      <c r="WAP58"/>
      <c r="WAQ58"/>
      <c r="WAR58"/>
      <c r="WAS58"/>
      <c r="WAT58"/>
      <c r="WAU58"/>
      <c r="WAV58"/>
      <c r="WAW58"/>
      <c r="WAX58"/>
      <c r="WAY58"/>
      <c r="WAZ58"/>
      <c r="WBA58"/>
      <c r="WBB58"/>
      <c r="WBC58"/>
      <c r="WBD58"/>
      <c r="WBE58"/>
      <c r="WBF58"/>
      <c r="WBG58"/>
      <c r="WBH58"/>
      <c r="WBI58"/>
      <c r="WBJ58"/>
      <c r="WBK58"/>
      <c r="WBL58"/>
      <c r="WBM58"/>
      <c r="WBN58"/>
      <c r="WBO58"/>
      <c r="WBP58"/>
      <c r="WBQ58"/>
      <c r="WBR58"/>
      <c r="WBS58"/>
      <c r="WBT58"/>
      <c r="WBU58"/>
      <c r="WBV58"/>
      <c r="WBW58"/>
      <c r="WBX58"/>
      <c r="WBY58"/>
      <c r="WBZ58"/>
      <c r="WCA58"/>
      <c r="WCB58"/>
      <c r="WCC58"/>
      <c r="WCD58"/>
      <c r="WCE58"/>
      <c r="WCF58"/>
      <c r="WCG58"/>
      <c r="WCH58"/>
      <c r="WCI58"/>
      <c r="WCJ58"/>
      <c r="WCK58"/>
      <c r="WCL58"/>
      <c r="WCM58"/>
      <c r="WCN58"/>
      <c r="WCO58"/>
      <c r="WCP58"/>
      <c r="WCQ58"/>
      <c r="WCR58"/>
      <c r="WCS58"/>
      <c r="WCT58"/>
      <c r="WCU58"/>
      <c r="WCV58"/>
      <c r="WCW58"/>
      <c r="WCX58"/>
      <c r="WCY58"/>
      <c r="WCZ58"/>
      <c r="WDA58"/>
      <c r="WDB58"/>
      <c r="WDC58"/>
      <c r="WDD58"/>
      <c r="WDE58"/>
      <c r="WDF58"/>
      <c r="WDG58"/>
      <c r="WDH58"/>
      <c r="WDI58"/>
      <c r="WDJ58"/>
      <c r="WDK58"/>
      <c r="WDL58"/>
      <c r="WDM58"/>
      <c r="WDN58"/>
      <c r="WDO58"/>
      <c r="WDP58"/>
      <c r="WDQ58"/>
      <c r="WDR58"/>
      <c r="WDS58"/>
      <c r="WDT58"/>
      <c r="WDU58"/>
      <c r="WDV58"/>
      <c r="WDW58"/>
      <c r="WDX58"/>
      <c r="WDY58"/>
      <c r="WDZ58"/>
      <c r="WEA58"/>
      <c r="WEB58"/>
      <c r="WEC58"/>
      <c r="WED58"/>
      <c r="WEE58"/>
      <c r="WEF58"/>
      <c r="WEG58"/>
      <c r="WEH58"/>
      <c r="WEI58"/>
      <c r="WEJ58"/>
      <c r="WEK58"/>
      <c r="WEL58"/>
      <c r="WEM58"/>
      <c r="WEN58"/>
      <c r="WEO58"/>
      <c r="WEP58"/>
      <c r="WEQ58"/>
      <c r="WER58"/>
      <c r="WES58"/>
      <c r="WET58"/>
      <c r="WEU58"/>
      <c r="WEV58"/>
      <c r="WEW58"/>
      <c r="WEX58"/>
      <c r="WEY58"/>
      <c r="WEZ58"/>
      <c r="WFA58"/>
      <c r="WFB58"/>
      <c r="WFC58"/>
      <c r="WFD58"/>
      <c r="WFE58"/>
      <c r="WFF58"/>
      <c r="WFG58"/>
      <c r="WFH58"/>
      <c r="WFI58"/>
      <c r="WFJ58"/>
      <c r="WFK58"/>
      <c r="WFL58"/>
      <c r="WFM58"/>
      <c r="WFN58"/>
      <c r="WFO58"/>
      <c r="WFP58"/>
      <c r="WFQ58"/>
      <c r="WFR58"/>
      <c r="WFS58"/>
      <c r="WFT58"/>
      <c r="WFU58"/>
      <c r="WFV58"/>
      <c r="WFW58"/>
      <c r="WFX58"/>
      <c r="WFY58"/>
      <c r="WFZ58"/>
      <c r="WGA58"/>
      <c r="WGB58"/>
      <c r="WGC58"/>
      <c r="WGD58"/>
      <c r="WGE58"/>
      <c r="WGF58"/>
      <c r="WGG58"/>
      <c r="WGH58"/>
      <c r="WGI58"/>
      <c r="WGJ58"/>
      <c r="WGK58"/>
      <c r="WGL58"/>
      <c r="WGM58"/>
      <c r="WGN58"/>
      <c r="WGO58"/>
      <c r="WGP58"/>
      <c r="WGQ58"/>
      <c r="WGR58"/>
      <c r="WGS58"/>
      <c r="WGT58"/>
      <c r="WGU58"/>
      <c r="WGV58"/>
      <c r="WGW58"/>
      <c r="WGX58"/>
      <c r="WGY58"/>
      <c r="WGZ58"/>
      <c r="WHA58"/>
      <c r="WHB58"/>
      <c r="WHC58"/>
      <c r="WHD58"/>
      <c r="WHE58"/>
      <c r="WHF58"/>
      <c r="WHG58"/>
      <c r="WHH58"/>
      <c r="WHI58"/>
      <c r="WHJ58"/>
      <c r="WHK58"/>
      <c r="WHL58"/>
      <c r="WHM58"/>
      <c r="WHN58"/>
      <c r="WHO58"/>
      <c r="WHP58"/>
      <c r="WHQ58"/>
      <c r="WHR58"/>
      <c r="WHS58"/>
      <c r="WHT58"/>
      <c r="WHU58"/>
      <c r="WHV58"/>
      <c r="WHW58"/>
      <c r="WHX58"/>
      <c r="WHY58"/>
      <c r="WHZ58"/>
      <c r="WIA58"/>
      <c r="WIB58"/>
      <c r="WIC58"/>
      <c r="WID58"/>
      <c r="WIE58"/>
      <c r="WIF58"/>
      <c r="WIG58"/>
      <c r="WIH58"/>
      <c r="WII58"/>
      <c r="WIJ58"/>
      <c r="WIK58"/>
      <c r="WIL58"/>
      <c r="WIM58"/>
      <c r="WIN58"/>
      <c r="WIO58"/>
      <c r="WIP58"/>
      <c r="WIQ58"/>
      <c r="WIR58"/>
      <c r="WIS58"/>
      <c r="WIT58"/>
      <c r="WIU58"/>
      <c r="WIV58"/>
      <c r="WIW58"/>
      <c r="WIX58"/>
      <c r="WIY58"/>
      <c r="WIZ58"/>
      <c r="WJA58"/>
      <c r="WJB58"/>
      <c r="WJC58"/>
      <c r="WJD58"/>
      <c r="WJE58"/>
      <c r="WJF58"/>
      <c r="WJG58"/>
      <c r="WJH58"/>
      <c r="WJI58"/>
      <c r="WJJ58"/>
      <c r="WJK58"/>
      <c r="WJL58"/>
      <c r="WJM58"/>
      <c r="WJN58"/>
      <c r="WJO58"/>
      <c r="WJP58"/>
      <c r="WJQ58"/>
      <c r="WJR58"/>
      <c r="WJS58"/>
      <c r="WJT58"/>
      <c r="WJU58"/>
      <c r="WJV58"/>
      <c r="WJW58"/>
      <c r="WJX58"/>
      <c r="WJY58"/>
      <c r="WJZ58"/>
      <c r="WKA58"/>
      <c r="WKB58"/>
      <c r="WKC58"/>
      <c r="WKD58"/>
      <c r="WKE58"/>
      <c r="WKF58"/>
      <c r="WKG58"/>
      <c r="WKH58"/>
      <c r="WKI58"/>
      <c r="WKJ58"/>
      <c r="WKK58"/>
      <c r="WKL58"/>
      <c r="WKM58"/>
      <c r="WKN58"/>
      <c r="WKO58"/>
      <c r="WKP58"/>
      <c r="WKQ58"/>
      <c r="WKR58"/>
      <c r="WKS58"/>
      <c r="WKT58"/>
      <c r="WKU58"/>
      <c r="WKV58"/>
      <c r="WKW58"/>
      <c r="WKX58"/>
      <c r="WKY58"/>
      <c r="WKZ58"/>
      <c r="WLA58"/>
      <c r="WLB58"/>
      <c r="WLC58"/>
      <c r="WLD58"/>
      <c r="WLE58"/>
      <c r="WLF58"/>
      <c r="WLG58"/>
      <c r="WLH58"/>
      <c r="WLI58"/>
      <c r="WLJ58"/>
      <c r="WLK58"/>
      <c r="WLL58"/>
      <c r="WLM58"/>
      <c r="WLN58"/>
      <c r="WLO58"/>
      <c r="WLP58"/>
      <c r="WLQ58"/>
      <c r="WLR58"/>
      <c r="WLS58"/>
      <c r="WLT58"/>
      <c r="WLU58"/>
      <c r="WLV58"/>
      <c r="WLW58"/>
      <c r="WLX58"/>
      <c r="WLY58"/>
      <c r="WLZ58"/>
      <c r="WMA58"/>
      <c r="WMB58"/>
      <c r="WMC58"/>
      <c r="WMD58"/>
      <c r="WME58"/>
      <c r="WMF58"/>
      <c r="WMG58"/>
      <c r="WMH58"/>
      <c r="WMI58"/>
      <c r="WMJ58"/>
      <c r="WMK58"/>
      <c r="WML58"/>
      <c r="WMM58"/>
      <c r="WMN58"/>
      <c r="WMO58"/>
      <c r="WMP58"/>
      <c r="WMQ58"/>
      <c r="WMR58"/>
      <c r="WMS58"/>
      <c r="WMT58"/>
      <c r="WMU58"/>
      <c r="WMV58"/>
      <c r="WMW58"/>
      <c r="WMX58"/>
      <c r="WMY58"/>
      <c r="WMZ58"/>
      <c r="WNA58"/>
      <c r="WNB58"/>
      <c r="WNC58"/>
      <c r="WND58"/>
      <c r="WNE58"/>
      <c r="WNF58"/>
      <c r="WNG58"/>
      <c r="WNH58"/>
      <c r="WNI58"/>
      <c r="WNJ58"/>
      <c r="WNK58"/>
      <c r="WNL58"/>
      <c r="WNM58"/>
      <c r="WNN58"/>
      <c r="WNO58"/>
      <c r="WNP58"/>
      <c r="WNQ58"/>
      <c r="WNR58"/>
      <c r="WNS58"/>
      <c r="WNT58"/>
      <c r="WNU58"/>
      <c r="WNV58"/>
      <c r="WNW58"/>
      <c r="WNX58"/>
      <c r="WNY58"/>
      <c r="WNZ58"/>
      <c r="WOA58"/>
      <c r="WOB58"/>
      <c r="WOC58"/>
      <c r="WOD58"/>
      <c r="WOE58"/>
      <c r="WOF58"/>
      <c r="WOG58"/>
      <c r="WOH58"/>
      <c r="WOI58"/>
      <c r="WOJ58"/>
      <c r="WOK58"/>
      <c r="WOL58"/>
      <c r="WOM58"/>
      <c r="WON58"/>
      <c r="WOO58"/>
      <c r="WOP58"/>
      <c r="WOQ58"/>
      <c r="WOR58"/>
      <c r="WOS58"/>
      <c r="WOT58"/>
      <c r="WOU58"/>
      <c r="WOV58"/>
      <c r="WOW58"/>
      <c r="WOX58"/>
      <c r="WOY58"/>
      <c r="WOZ58"/>
      <c r="WPA58"/>
      <c r="WPB58"/>
      <c r="WPC58"/>
      <c r="WPD58"/>
      <c r="WPE58"/>
      <c r="WPF58"/>
      <c r="WPG58"/>
      <c r="WPH58"/>
      <c r="WPI58"/>
      <c r="WPJ58"/>
      <c r="WPK58"/>
      <c r="WPL58"/>
      <c r="WPM58"/>
      <c r="WPN58"/>
      <c r="WPO58"/>
      <c r="WPP58"/>
      <c r="WPQ58"/>
      <c r="WPR58"/>
      <c r="WPS58"/>
      <c r="WPT58"/>
      <c r="WPU58"/>
      <c r="WPV58"/>
      <c r="WPW58"/>
      <c r="WPX58"/>
      <c r="WPY58"/>
      <c r="WPZ58"/>
      <c r="WQA58"/>
      <c r="WQB58"/>
      <c r="WQC58"/>
      <c r="WQD58"/>
      <c r="WQE58"/>
      <c r="WQF58"/>
      <c r="WQG58"/>
      <c r="WQH58"/>
      <c r="WQI58"/>
      <c r="WQJ58"/>
      <c r="WQK58"/>
      <c r="WQL58"/>
      <c r="WQM58"/>
      <c r="WQN58"/>
      <c r="WQO58"/>
      <c r="WQP58"/>
      <c r="WQQ58"/>
      <c r="WQR58"/>
      <c r="WQS58"/>
      <c r="WQT58"/>
      <c r="WQU58"/>
      <c r="WQV58"/>
      <c r="WQW58"/>
      <c r="WQX58"/>
      <c r="WQY58"/>
      <c r="WQZ58"/>
      <c r="WRA58"/>
      <c r="WRB58"/>
      <c r="WRC58"/>
      <c r="WRD58"/>
      <c r="WRE58"/>
      <c r="WRF58"/>
      <c r="WRG58"/>
      <c r="WRH58"/>
      <c r="WRI58"/>
      <c r="WRJ58"/>
      <c r="WRK58"/>
      <c r="WRL58"/>
      <c r="WRM58"/>
      <c r="WRN58"/>
      <c r="WRO58"/>
      <c r="WRP58"/>
      <c r="WRQ58"/>
      <c r="WRR58"/>
      <c r="WRS58"/>
      <c r="WRT58"/>
      <c r="WRU58"/>
      <c r="WRV58"/>
      <c r="WRW58"/>
      <c r="WRX58"/>
      <c r="WRY58"/>
      <c r="WRZ58"/>
      <c r="WSA58"/>
      <c r="WSB58"/>
      <c r="WSC58"/>
      <c r="WSD58"/>
      <c r="WSE58"/>
      <c r="WSF58"/>
      <c r="WSG58"/>
      <c r="WSH58"/>
      <c r="WSI58"/>
      <c r="WSJ58"/>
      <c r="WSK58"/>
      <c r="WSL58"/>
      <c r="WSM58"/>
      <c r="WSN58"/>
      <c r="WSO58"/>
      <c r="WSP58"/>
      <c r="WSQ58"/>
      <c r="WSR58"/>
      <c r="WSS58"/>
      <c r="WST58"/>
      <c r="WSU58"/>
      <c r="WSV58"/>
      <c r="WSW58"/>
      <c r="WSX58"/>
      <c r="WSY58"/>
      <c r="WSZ58"/>
      <c r="WTA58"/>
      <c r="WTB58"/>
      <c r="WTC58"/>
      <c r="WTD58"/>
      <c r="WTE58"/>
      <c r="WTF58"/>
      <c r="WTG58"/>
      <c r="WTH58"/>
      <c r="WTI58"/>
      <c r="WTJ58"/>
      <c r="WTK58"/>
      <c r="WTL58"/>
      <c r="WTM58"/>
      <c r="WTN58"/>
      <c r="WTO58"/>
      <c r="WTP58"/>
      <c r="WTQ58"/>
      <c r="WTR58"/>
      <c r="WTS58"/>
      <c r="WTT58"/>
      <c r="WTU58"/>
      <c r="WTV58"/>
      <c r="WTW58"/>
      <c r="WTX58"/>
      <c r="WTY58"/>
      <c r="WTZ58"/>
      <c r="WUA58"/>
      <c r="WUB58"/>
      <c r="WUC58"/>
      <c r="WUD58"/>
      <c r="WUE58"/>
      <c r="WUF58"/>
      <c r="WUG58"/>
      <c r="WUH58"/>
      <c r="WUI58"/>
      <c r="WUJ58"/>
      <c r="WUK58"/>
      <c r="WUL58"/>
      <c r="WUM58"/>
      <c r="WUN58"/>
      <c r="WUO58"/>
      <c r="WUP58"/>
      <c r="WUQ58"/>
      <c r="WUR58"/>
      <c r="WUS58"/>
      <c r="WUT58"/>
      <c r="WUU58"/>
      <c r="WUV58"/>
      <c r="WUW58"/>
      <c r="WUX58"/>
      <c r="WUY58"/>
      <c r="WUZ58"/>
      <c r="WVA58"/>
      <c r="WVB58"/>
      <c r="WVC58"/>
      <c r="WVD58"/>
      <c r="WVE58"/>
      <c r="WVF58"/>
      <c r="WVG58"/>
      <c r="WVH58"/>
      <c r="WVI58"/>
      <c r="WVJ58"/>
      <c r="WVK58"/>
      <c r="WVL58"/>
      <c r="WVM58"/>
      <c r="WVN58"/>
      <c r="WVO58"/>
      <c r="WVP58"/>
      <c r="WVQ58"/>
      <c r="WVR58"/>
      <c r="WVS58"/>
      <c r="WVT58"/>
      <c r="WVU58"/>
      <c r="WVV58"/>
      <c r="WVW58"/>
      <c r="WVX58"/>
      <c r="WVY58"/>
      <c r="WVZ58"/>
      <c r="WWA58"/>
      <c r="WWB58"/>
      <c r="WWC58"/>
      <c r="WWD58"/>
      <c r="WWE58"/>
      <c r="WWF58"/>
      <c r="WWG58"/>
      <c r="WWH58"/>
      <c r="WWI58"/>
      <c r="WWJ58"/>
      <c r="WWK58"/>
      <c r="WWL58"/>
      <c r="WWM58"/>
      <c r="WWN58"/>
      <c r="WWO58"/>
      <c r="WWP58"/>
      <c r="WWQ58"/>
      <c r="WWR58"/>
      <c r="WWS58"/>
      <c r="WWT58"/>
      <c r="WWU58"/>
      <c r="WWV58"/>
      <c r="WWW58"/>
      <c r="WWX58"/>
      <c r="WWY58"/>
      <c r="WWZ58"/>
      <c r="WXA58"/>
      <c r="WXB58"/>
      <c r="WXC58"/>
      <c r="WXD58"/>
      <c r="WXE58"/>
      <c r="WXF58"/>
      <c r="WXG58"/>
      <c r="WXH58"/>
      <c r="WXI58"/>
      <c r="WXJ58"/>
      <c r="WXK58"/>
      <c r="WXL58"/>
      <c r="WXM58"/>
      <c r="WXN58"/>
      <c r="WXO58"/>
      <c r="WXP58"/>
      <c r="WXQ58"/>
      <c r="WXR58"/>
      <c r="WXS58"/>
      <c r="WXT58"/>
      <c r="WXU58"/>
      <c r="WXV58"/>
      <c r="WXW58"/>
      <c r="WXX58"/>
      <c r="WXY58"/>
      <c r="WXZ58"/>
      <c r="WYA58"/>
      <c r="WYB58"/>
      <c r="WYC58"/>
      <c r="WYD58"/>
      <c r="WYE58"/>
      <c r="WYF58"/>
      <c r="WYG58"/>
      <c r="WYH58"/>
      <c r="WYI58"/>
      <c r="WYJ58"/>
      <c r="WYK58"/>
      <c r="WYL58"/>
      <c r="WYM58"/>
      <c r="WYN58"/>
      <c r="WYO58"/>
      <c r="WYP58"/>
      <c r="WYQ58"/>
      <c r="WYR58"/>
      <c r="WYS58"/>
      <c r="WYT58"/>
      <c r="WYU58"/>
      <c r="WYV58"/>
      <c r="WYW58"/>
      <c r="WYX58"/>
      <c r="WYY58"/>
      <c r="WYZ58"/>
      <c r="WZA58"/>
      <c r="WZB58"/>
      <c r="WZC58"/>
      <c r="WZD58"/>
      <c r="WZE58"/>
      <c r="WZF58"/>
      <c r="WZG58"/>
      <c r="WZH58"/>
      <c r="WZI58"/>
      <c r="WZJ58"/>
      <c r="WZK58"/>
      <c r="WZL58"/>
      <c r="WZM58"/>
      <c r="WZN58"/>
      <c r="WZO58"/>
      <c r="WZP58"/>
      <c r="WZQ58"/>
      <c r="WZR58"/>
      <c r="WZS58"/>
      <c r="WZT58"/>
      <c r="WZU58"/>
      <c r="WZV58"/>
      <c r="WZW58"/>
      <c r="WZX58"/>
      <c r="WZY58"/>
      <c r="WZZ58"/>
      <c r="XAA58"/>
      <c r="XAB58"/>
      <c r="XAC58"/>
      <c r="XAD58"/>
      <c r="XAE58"/>
      <c r="XAF58"/>
      <c r="XAG58"/>
      <c r="XAH58"/>
      <c r="XAI58"/>
      <c r="XAJ58"/>
      <c r="XAK58"/>
      <c r="XAL58"/>
      <c r="XAM58"/>
      <c r="XAN58"/>
      <c r="XAO58"/>
      <c r="XAP58"/>
      <c r="XAQ58"/>
      <c r="XAR58"/>
      <c r="XAS58"/>
      <c r="XAT58"/>
      <c r="XAU58"/>
      <c r="XAV58"/>
      <c r="XAW58"/>
      <c r="XAX58"/>
      <c r="XAY58"/>
      <c r="XAZ58"/>
      <c r="XBA58"/>
      <c r="XBB58"/>
      <c r="XBC58"/>
      <c r="XBD58"/>
      <c r="XBE58"/>
      <c r="XBF58"/>
      <c r="XBG58"/>
      <c r="XBH58"/>
      <c r="XBI58"/>
      <c r="XBJ58"/>
      <c r="XBK58"/>
      <c r="XBL58"/>
      <c r="XBM58"/>
      <c r="XBN58"/>
      <c r="XBO58"/>
      <c r="XBP58"/>
      <c r="XBQ58"/>
      <c r="XBR58"/>
      <c r="XBS58"/>
      <c r="XBT58"/>
      <c r="XBU58"/>
      <c r="XBV58"/>
      <c r="XBW58"/>
      <c r="XBX58"/>
      <c r="XBY58"/>
      <c r="XBZ58"/>
      <c r="XCA58"/>
      <c r="XCB58"/>
      <c r="XCC58"/>
      <c r="XCD58"/>
      <c r="XCE58"/>
      <c r="XCF58"/>
      <c r="XCG58"/>
      <c r="XCH58"/>
      <c r="XCI58"/>
      <c r="XCJ58"/>
      <c r="XCK58"/>
      <c r="XCL58"/>
      <c r="XCM58"/>
      <c r="XCN58"/>
      <c r="XCO58"/>
      <c r="XCP58"/>
      <c r="XCQ58"/>
      <c r="XCR58"/>
      <c r="XCS58"/>
      <c r="XCT58"/>
      <c r="XCU58"/>
      <c r="XCV58"/>
      <c r="XCW58"/>
      <c r="XCX58"/>
      <c r="XCY58"/>
      <c r="XCZ58"/>
      <c r="XDA58"/>
      <c r="XDB58"/>
      <c r="XDC58"/>
      <c r="XDD58"/>
      <c r="XDE58"/>
      <c r="XDF58"/>
      <c r="XDG58"/>
      <c r="XDH58"/>
      <c r="XDI58"/>
      <c r="XDJ58"/>
      <c r="XDK58"/>
      <c r="XDL58"/>
      <c r="XDM58"/>
      <c r="XDN58"/>
      <c r="XDO58"/>
      <c r="XDP58"/>
      <c r="XDQ58"/>
      <c r="XDR58"/>
      <c r="XDS58"/>
      <c r="XDT58"/>
      <c r="XDU58"/>
      <c r="XDV58"/>
      <c r="XDW58"/>
      <c r="XDX58"/>
      <c r="XDY58"/>
      <c r="XDZ58"/>
      <c r="XEA58"/>
      <c r="XEB58"/>
      <c r="XEC58"/>
      <c r="XED58"/>
      <c r="XEE58"/>
      <c r="XEF58"/>
      <c r="XEG58"/>
      <c r="XEH58"/>
      <c r="XEI58"/>
      <c r="XEJ58"/>
      <c r="XEK58"/>
      <c r="XEL58"/>
      <c r="XEM58"/>
      <c r="XEN58"/>
      <c r="XEO58"/>
      <c r="XEP58"/>
      <c r="XEQ58"/>
      <c r="XER58"/>
      <c r="XES58"/>
      <c r="XET58"/>
      <c r="XEU58"/>
      <c r="XEV58"/>
      <c r="XEW58"/>
      <c r="XEX58"/>
      <c r="XEY58"/>
      <c r="XEZ58"/>
      <c r="XFA58"/>
      <c r="XFB58"/>
      <c r="XFC58"/>
    </row>
    <row r="59" spans="2:16383" s="15" customFormat="1">
      <c r="B59" s="116" t="s">
        <v>187</v>
      </c>
      <c r="C59" s="117">
        <f t="shared" ref="C59:M59" si="7">IFERROR(C57/C55,"na")</f>
        <v>-5.5477366692196467E-2</v>
      </c>
      <c r="D59" s="117">
        <f t="shared" si="7"/>
        <v>-5.3723926817200677E-3</v>
      </c>
      <c r="E59" s="117">
        <f t="shared" si="7"/>
        <v>2.6699935499684829E-2</v>
      </c>
      <c r="F59" s="117">
        <f t="shared" si="7"/>
        <v>5.90999354996848E-2</v>
      </c>
      <c r="G59" s="117">
        <f t="shared" si="7"/>
        <v>9.149993549968484E-2</v>
      </c>
      <c r="H59" s="117">
        <f t="shared" si="7"/>
        <v>0.12389993549968477</v>
      </c>
      <c r="I59" s="117">
        <f t="shared" si="7"/>
        <v>0.15729993549968477</v>
      </c>
      <c r="J59" s="117">
        <f t="shared" si="7"/>
        <v>0.19069993549968478</v>
      </c>
      <c r="K59" s="117">
        <f t="shared" si="7"/>
        <v>0.21609993549968473</v>
      </c>
      <c r="L59" s="117">
        <f t="shared" si="7"/>
        <v>0.23449993549968476</v>
      </c>
      <c r="M59" s="117">
        <f t="shared" si="7"/>
        <v>0.23449993549968473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  <c r="DM59"/>
      <c r="DN59"/>
      <c r="DO59"/>
      <c r="DP59"/>
      <c r="DQ59"/>
      <c r="DR59"/>
      <c r="DS59"/>
      <c r="DT59"/>
      <c r="DU59"/>
      <c r="DV59"/>
      <c r="DW59"/>
      <c r="DX59"/>
      <c r="DY59"/>
      <c r="DZ59"/>
      <c r="EA59"/>
      <c r="EB59"/>
      <c r="EC59"/>
      <c r="ED59"/>
      <c r="EE59"/>
      <c r="EF59"/>
      <c r="EG59"/>
      <c r="EH59"/>
      <c r="EI59"/>
      <c r="EJ59"/>
      <c r="EK59"/>
      <c r="EL59"/>
      <c r="EM59"/>
      <c r="EN59"/>
      <c r="EO59"/>
      <c r="EP59"/>
      <c r="EQ59"/>
      <c r="ER59"/>
      <c r="ES59"/>
      <c r="ET59"/>
      <c r="EU59"/>
      <c r="EV59"/>
      <c r="EW59"/>
      <c r="EX59"/>
      <c r="EY59"/>
      <c r="EZ59"/>
      <c r="FA59"/>
      <c r="FB59"/>
      <c r="FC59"/>
      <c r="FD59"/>
      <c r="FE59"/>
      <c r="FF59"/>
      <c r="FG59"/>
      <c r="FH59"/>
      <c r="FI59"/>
      <c r="FJ59"/>
      <c r="FK59"/>
      <c r="FL59"/>
      <c r="FM59"/>
      <c r="FN59"/>
      <c r="FO59"/>
      <c r="FP59"/>
      <c r="FQ59"/>
      <c r="FR59"/>
      <c r="FS59"/>
      <c r="FT59"/>
      <c r="FU59"/>
      <c r="FV59"/>
      <c r="FW59"/>
      <c r="FX59"/>
      <c r="FY59"/>
      <c r="FZ59"/>
      <c r="GA59"/>
      <c r="GB59"/>
      <c r="GC59"/>
      <c r="GD59"/>
      <c r="GE59"/>
      <c r="GF59"/>
      <c r="GG59"/>
      <c r="GH59"/>
      <c r="GI59"/>
      <c r="GJ59"/>
      <c r="GK59"/>
      <c r="GL59"/>
      <c r="GM59"/>
      <c r="GN59"/>
      <c r="GO59"/>
      <c r="GP59"/>
      <c r="GQ59"/>
      <c r="GR59"/>
      <c r="GS59"/>
      <c r="GT59"/>
      <c r="GU59"/>
      <c r="GV59"/>
      <c r="GW59"/>
      <c r="GX59"/>
      <c r="GY59"/>
      <c r="GZ59"/>
      <c r="HA59"/>
      <c r="HB59"/>
      <c r="HC59"/>
      <c r="HD59"/>
      <c r="HE59"/>
      <c r="HF59"/>
      <c r="HG59"/>
      <c r="HH59"/>
      <c r="HI59"/>
      <c r="HJ59"/>
      <c r="HK59"/>
      <c r="HL59"/>
      <c r="HM59"/>
      <c r="HN59"/>
      <c r="HO59"/>
      <c r="HP59"/>
      <c r="HQ59"/>
      <c r="HR59"/>
      <c r="HS59"/>
      <c r="HT59"/>
      <c r="HU59"/>
      <c r="HV59"/>
      <c r="HW59"/>
      <c r="HX59"/>
      <c r="HY59"/>
      <c r="HZ59"/>
      <c r="IA59"/>
      <c r="IB59"/>
      <c r="IC59"/>
      <c r="ID59"/>
      <c r="IE59"/>
      <c r="IF59"/>
      <c r="IG59"/>
      <c r="IH59"/>
      <c r="II59"/>
      <c r="IJ59"/>
      <c r="IK59"/>
      <c r="IL59"/>
      <c r="IM59"/>
      <c r="IN59"/>
      <c r="IO59"/>
      <c r="IP59"/>
      <c r="IQ59"/>
      <c r="IR59"/>
      <c r="IS59"/>
      <c r="IT59"/>
      <c r="IU59"/>
      <c r="IV59"/>
      <c r="IW59"/>
      <c r="IX59"/>
      <c r="IY59"/>
      <c r="IZ59"/>
      <c r="JA59"/>
      <c r="JB59"/>
      <c r="JC59"/>
      <c r="JD59"/>
      <c r="JE59"/>
      <c r="JF59"/>
      <c r="JG59"/>
      <c r="JH59"/>
      <c r="JI59"/>
      <c r="JJ59"/>
      <c r="JK59"/>
      <c r="JL59"/>
      <c r="JM59"/>
      <c r="JN59"/>
      <c r="JO59"/>
      <c r="JP59"/>
      <c r="JQ59"/>
      <c r="JR59"/>
      <c r="JS59"/>
      <c r="JT59"/>
      <c r="JU59"/>
      <c r="JV59"/>
      <c r="JW59"/>
      <c r="JX59"/>
      <c r="JY59"/>
      <c r="JZ59"/>
      <c r="KA59"/>
      <c r="KB59"/>
      <c r="KC59"/>
      <c r="KD59"/>
      <c r="KE59"/>
      <c r="KF59"/>
      <c r="KG59"/>
      <c r="KH59"/>
      <c r="KI59"/>
      <c r="KJ59"/>
      <c r="KK59"/>
      <c r="KL59"/>
      <c r="KM59"/>
      <c r="KN59"/>
      <c r="KO59"/>
      <c r="KP59"/>
      <c r="KQ59"/>
      <c r="KR59"/>
      <c r="KS59"/>
      <c r="KT59"/>
      <c r="KU59"/>
      <c r="KV59"/>
      <c r="KW59"/>
      <c r="KX59"/>
      <c r="KY59"/>
      <c r="KZ59"/>
      <c r="LA59"/>
      <c r="LB59"/>
      <c r="LC59"/>
      <c r="LD59"/>
      <c r="LE59"/>
      <c r="LF59"/>
      <c r="LG59"/>
      <c r="LH59"/>
      <c r="LI59"/>
      <c r="LJ59"/>
      <c r="LK59"/>
      <c r="LL59"/>
      <c r="LM59"/>
      <c r="LN59"/>
      <c r="LO59"/>
      <c r="LP59"/>
      <c r="LQ59"/>
      <c r="LR59"/>
      <c r="LS59"/>
      <c r="LT59"/>
      <c r="LU59"/>
      <c r="LV59"/>
      <c r="LW59"/>
      <c r="LX59"/>
      <c r="LY59"/>
      <c r="LZ59"/>
      <c r="MA59"/>
      <c r="MB59"/>
      <c r="MC59"/>
      <c r="MD59"/>
      <c r="ME59"/>
      <c r="MF59"/>
      <c r="MG59"/>
      <c r="MH59"/>
      <c r="MI59"/>
      <c r="MJ59"/>
      <c r="MK59"/>
      <c r="ML59"/>
      <c r="MM59"/>
      <c r="MN59"/>
      <c r="MO59"/>
      <c r="MP59"/>
      <c r="MQ59"/>
      <c r="MR59"/>
      <c r="MS59"/>
      <c r="MT59"/>
      <c r="MU59"/>
      <c r="MV59"/>
      <c r="MW59"/>
      <c r="MX59"/>
      <c r="MY59"/>
      <c r="MZ59"/>
      <c r="NA59"/>
      <c r="NB59"/>
      <c r="NC59"/>
      <c r="ND59"/>
      <c r="NE59"/>
      <c r="NF59"/>
      <c r="NG59"/>
      <c r="NH59"/>
      <c r="NI59"/>
      <c r="NJ59"/>
      <c r="NK59"/>
      <c r="NL59"/>
      <c r="NM59"/>
      <c r="NN59"/>
      <c r="NO59"/>
      <c r="NP59"/>
      <c r="NQ59"/>
      <c r="NR59"/>
      <c r="NS59"/>
      <c r="NT59"/>
      <c r="NU59"/>
      <c r="NV59"/>
      <c r="NW59"/>
      <c r="NX59"/>
      <c r="NY59"/>
      <c r="NZ59"/>
      <c r="OA59"/>
      <c r="OB59"/>
      <c r="OC59"/>
      <c r="OD59"/>
      <c r="OE59"/>
      <c r="OF59"/>
      <c r="OG59"/>
      <c r="OH59"/>
      <c r="OI59"/>
      <c r="OJ59"/>
      <c r="OK59"/>
      <c r="OL59"/>
      <c r="OM59"/>
      <c r="ON59"/>
      <c r="OO59"/>
      <c r="OP59"/>
      <c r="OQ59"/>
      <c r="OR59"/>
      <c r="OS59"/>
      <c r="OT59"/>
      <c r="OU59"/>
      <c r="OV59"/>
      <c r="OW59"/>
      <c r="OX59"/>
      <c r="OY59"/>
      <c r="OZ59"/>
      <c r="PA59"/>
      <c r="PB59"/>
      <c r="PC59"/>
      <c r="PD59"/>
      <c r="PE59"/>
      <c r="PF59"/>
      <c r="PG59"/>
      <c r="PH59"/>
      <c r="PI59"/>
      <c r="PJ59"/>
      <c r="PK59"/>
      <c r="PL59"/>
      <c r="PM59"/>
      <c r="PN59"/>
      <c r="PO59"/>
      <c r="PP59"/>
      <c r="PQ59"/>
      <c r="PR59"/>
      <c r="PS59"/>
      <c r="PT59"/>
      <c r="PU59"/>
      <c r="PV59"/>
      <c r="PW59"/>
      <c r="PX59"/>
      <c r="PY59"/>
      <c r="PZ59"/>
      <c r="QA59"/>
      <c r="QB59"/>
      <c r="QC59"/>
      <c r="QD59"/>
      <c r="QE59"/>
      <c r="QF59"/>
      <c r="QG59"/>
      <c r="QH59"/>
      <c r="QI59"/>
      <c r="QJ59"/>
      <c r="QK59"/>
      <c r="QL59"/>
      <c r="QM59"/>
      <c r="QN59"/>
      <c r="QO59"/>
      <c r="QP59"/>
      <c r="QQ59"/>
      <c r="QR59"/>
      <c r="QS59"/>
      <c r="QT59"/>
      <c r="QU59"/>
      <c r="QV59"/>
      <c r="QW59"/>
      <c r="QX59"/>
      <c r="QY59"/>
      <c r="QZ59"/>
      <c r="RA59"/>
      <c r="RB59"/>
      <c r="RC59"/>
      <c r="RD59"/>
      <c r="RE59"/>
      <c r="RF59"/>
      <c r="RG59"/>
      <c r="RH59"/>
      <c r="RI59"/>
      <c r="RJ59"/>
      <c r="RK59"/>
      <c r="RL59"/>
      <c r="RM59"/>
      <c r="RN59"/>
      <c r="RO59"/>
      <c r="RP59"/>
      <c r="RQ59"/>
      <c r="RR59"/>
      <c r="RS59"/>
      <c r="RT59"/>
      <c r="RU59"/>
      <c r="RV59"/>
      <c r="RW59"/>
      <c r="RX59"/>
      <c r="RY59"/>
      <c r="RZ59"/>
      <c r="SA59"/>
      <c r="SB59"/>
      <c r="SC59"/>
      <c r="SD59"/>
      <c r="SE59"/>
      <c r="SF59"/>
      <c r="SG59"/>
      <c r="SH59"/>
      <c r="SI59"/>
      <c r="SJ59"/>
      <c r="SK59"/>
      <c r="SL59"/>
      <c r="SM59"/>
      <c r="SN59"/>
      <c r="SO59"/>
      <c r="SP59"/>
      <c r="SQ59"/>
      <c r="SR59"/>
      <c r="SS59"/>
      <c r="ST59"/>
      <c r="SU59"/>
      <c r="SV59"/>
      <c r="SW59"/>
      <c r="SX59"/>
      <c r="SY59"/>
      <c r="SZ59"/>
      <c r="TA59"/>
      <c r="TB59"/>
      <c r="TC59"/>
      <c r="TD59"/>
      <c r="TE59"/>
      <c r="TF59"/>
      <c r="TG59"/>
      <c r="TH59"/>
      <c r="TI59"/>
      <c r="TJ59"/>
      <c r="TK59"/>
      <c r="TL59"/>
      <c r="TM59"/>
      <c r="TN59"/>
      <c r="TO59"/>
      <c r="TP59"/>
      <c r="TQ59"/>
      <c r="TR59"/>
      <c r="TS59"/>
      <c r="TT59"/>
      <c r="TU59"/>
      <c r="TV59"/>
      <c r="TW59"/>
      <c r="TX59"/>
      <c r="TY59"/>
      <c r="TZ59"/>
      <c r="UA59"/>
      <c r="UB59"/>
      <c r="UC59"/>
      <c r="UD59"/>
      <c r="UE59"/>
      <c r="UF59"/>
      <c r="UG59"/>
      <c r="UH59"/>
      <c r="UI59"/>
      <c r="UJ59"/>
      <c r="UK59"/>
      <c r="UL59"/>
      <c r="UM59"/>
      <c r="UN59"/>
      <c r="UO59"/>
      <c r="UP59"/>
      <c r="UQ59"/>
      <c r="UR59"/>
      <c r="US59"/>
      <c r="UT59"/>
      <c r="UU59"/>
      <c r="UV59"/>
      <c r="UW59"/>
      <c r="UX59"/>
      <c r="UY59"/>
      <c r="UZ59"/>
      <c r="VA59"/>
      <c r="VB59"/>
      <c r="VC59"/>
      <c r="VD59"/>
      <c r="VE59"/>
      <c r="VF59"/>
      <c r="VG59"/>
      <c r="VH59"/>
      <c r="VI59"/>
      <c r="VJ59"/>
      <c r="VK59"/>
      <c r="VL59"/>
      <c r="VM59"/>
      <c r="VN59"/>
      <c r="VO59"/>
      <c r="VP59"/>
      <c r="VQ59"/>
      <c r="VR59"/>
      <c r="VS59"/>
      <c r="VT59"/>
      <c r="VU59"/>
      <c r="VV59"/>
      <c r="VW59"/>
      <c r="VX59"/>
      <c r="VY59"/>
      <c r="VZ59"/>
      <c r="WA59"/>
      <c r="WB59"/>
      <c r="WC59"/>
      <c r="WD59"/>
      <c r="WE59"/>
      <c r="WF59"/>
      <c r="WG59"/>
      <c r="WH59"/>
      <c r="WI59"/>
      <c r="WJ59"/>
      <c r="WK59"/>
      <c r="WL59"/>
      <c r="WM59"/>
      <c r="WN59"/>
      <c r="WO59"/>
      <c r="WP59"/>
      <c r="WQ59"/>
      <c r="WR59"/>
      <c r="WS59"/>
      <c r="WT59"/>
      <c r="WU59"/>
      <c r="WV59"/>
      <c r="WW59"/>
      <c r="WX59"/>
      <c r="WY59"/>
      <c r="WZ59"/>
      <c r="XA59"/>
      <c r="XB59"/>
      <c r="XC59"/>
      <c r="XD59"/>
      <c r="XE59"/>
      <c r="XF59"/>
      <c r="XG59"/>
      <c r="XH59"/>
      <c r="XI59"/>
      <c r="XJ59"/>
      <c r="XK59"/>
      <c r="XL59"/>
      <c r="XM59"/>
      <c r="XN59"/>
      <c r="XO59"/>
      <c r="XP59"/>
      <c r="XQ59"/>
      <c r="XR59"/>
      <c r="XS59"/>
      <c r="XT59"/>
      <c r="XU59"/>
      <c r="XV59"/>
      <c r="XW59"/>
      <c r="XX59"/>
      <c r="XY59"/>
      <c r="XZ59"/>
      <c r="YA59"/>
      <c r="YB59"/>
      <c r="YC59"/>
      <c r="YD59"/>
      <c r="YE59"/>
      <c r="YF59"/>
      <c r="YG59"/>
      <c r="YH59"/>
      <c r="YI59"/>
      <c r="YJ59"/>
      <c r="YK59"/>
      <c r="YL59"/>
      <c r="YM59"/>
      <c r="YN59"/>
      <c r="YO59"/>
      <c r="YP59"/>
      <c r="YQ59"/>
      <c r="YR59"/>
      <c r="YS59"/>
      <c r="YT59"/>
      <c r="YU59"/>
      <c r="YV59"/>
      <c r="YW59"/>
      <c r="YX59"/>
      <c r="YY59"/>
      <c r="YZ59"/>
      <c r="ZA59"/>
      <c r="ZB59"/>
      <c r="ZC59"/>
      <c r="ZD59"/>
      <c r="ZE59"/>
      <c r="ZF59"/>
      <c r="ZG59"/>
      <c r="ZH59"/>
      <c r="ZI59"/>
      <c r="ZJ59"/>
      <c r="ZK59"/>
      <c r="ZL59"/>
      <c r="ZM59"/>
      <c r="ZN59"/>
      <c r="ZO59"/>
      <c r="ZP59"/>
      <c r="ZQ59"/>
      <c r="ZR59"/>
      <c r="ZS59"/>
      <c r="ZT59"/>
      <c r="ZU59"/>
      <c r="ZV59"/>
      <c r="ZW59"/>
      <c r="ZX59"/>
      <c r="ZY59"/>
      <c r="ZZ59"/>
      <c r="AAA59"/>
      <c r="AAB59"/>
      <c r="AAC59"/>
      <c r="AAD59"/>
      <c r="AAE59"/>
      <c r="AAF59"/>
      <c r="AAG59"/>
      <c r="AAH59"/>
      <c r="AAI59"/>
      <c r="AAJ59"/>
      <c r="AAK59"/>
      <c r="AAL59"/>
      <c r="AAM59"/>
      <c r="AAN59"/>
      <c r="AAO59"/>
      <c r="AAP59"/>
      <c r="AAQ59"/>
      <c r="AAR59"/>
      <c r="AAS59"/>
      <c r="AAT59"/>
      <c r="AAU59"/>
      <c r="AAV59"/>
      <c r="AAW59"/>
      <c r="AAX59"/>
      <c r="AAY59"/>
      <c r="AAZ59"/>
      <c r="ABA59"/>
      <c r="ABB59"/>
      <c r="ABC59"/>
      <c r="ABD59"/>
      <c r="ABE59"/>
      <c r="ABF59"/>
      <c r="ABG59"/>
      <c r="ABH59"/>
      <c r="ABI59"/>
      <c r="ABJ59"/>
      <c r="ABK59"/>
      <c r="ABL59"/>
      <c r="ABM59"/>
      <c r="ABN59"/>
      <c r="ABO59"/>
      <c r="ABP59"/>
      <c r="ABQ59"/>
      <c r="ABR59"/>
      <c r="ABS59"/>
      <c r="ABT59"/>
      <c r="ABU59"/>
      <c r="ABV59"/>
      <c r="ABW59"/>
      <c r="ABX59"/>
      <c r="ABY59"/>
      <c r="ABZ59"/>
      <c r="ACA59"/>
      <c r="ACB59"/>
      <c r="ACC59"/>
      <c r="ACD59"/>
      <c r="ACE59"/>
      <c r="ACF59"/>
      <c r="ACG59"/>
      <c r="ACH59"/>
      <c r="ACI59"/>
      <c r="ACJ59"/>
      <c r="ACK59"/>
      <c r="ACL59"/>
      <c r="ACM59"/>
      <c r="ACN59"/>
      <c r="ACO59"/>
      <c r="ACP59"/>
      <c r="ACQ59"/>
      <c r="ACR59"/>
      <c r="ACS59"/>
      <c r="ACT59"/>
      <c r="ACU59"/>
      <c r="ACV59"/>
      <c r="ACW59"/>
      <c r="ACX59"/>
      <c r="ACY59"/>
      <c r="ACZ59"/>
      <c r="ADA59"/>
      <c r="ADB59"/>
      <c r="ADC59"/>
      <c r="ADD59"/>
      <c r="ADE59"/>
      <c r="ADF59"/>
      <c r="ADG59"/>
      <c r="ADH59"/>
      <c r="ADI59"/>
      <c r="ADJ59"/>
      <c r="ADK59"/>
      <c r="ADL59"/>
      <c r="ADM59"/>
      <c r="ADN59"/>
      <c r="ADO59"/>
      <c r="ADP59"/>
      <c r="ADQ59"/>
      <c r="ADR59"/>
      <c r="ADS59"/>
      <c r="ADT59"/>
      <c r="ADU59"/>
      <c r="ADV59"/>
      <c r="ADW59"/>
      <c r="ADX59"/>
      <c r="ADY59"/>
      <c r="ADZ59"/>
      <c r="AEA59"/>
      <c r="AEB59"/>
      <c r="AEC59"/>
      <c r="AED59"/>
      <c r="AEE59"/>
      <c r="AEF59"/>
      <c r="AEG59"/>
      <c r="AEH59"/>
      <c r="AEI59"/>
      <c r="AEJ59"/>
      <c r="AEK59"/>
      <c r="AEL59"/>
      <c r="AEM59"/>
      <c r="AEN59"/>
      <c r="AEO59"/>
      <c r="AEP59"/>
      <c r="AEQ59"/>
      <c r="AER59"/>
      <c r="AES59"/>
      <c r="AET59"/>
      <c r="AEU59"/>
      <c r="AEV59"/>
      <c r="AEW59"/>
      <c r="AEX59"/>
      <c r="AEY59"/>
      <c r="AEZ59"/>
      <c r="AFA59"/>
      <c r="AFB59"/>
      <c r="AFC59"/>
      <c r="AFD59"/>
      <c r="AFE59"/>
      <c r="AFF59"/>
      <c r="AFG59"/>
      <c r="AFH59"/>
      <c r="AFI59"/>
      <c r="AFJ59"/>
      <c r="AFK59"/>
      <c r="AFL59"/>
      <c r="AFM59"/>
      <c r="AFN59"/>
      <c r="AFO59"/>
      <c r="AFP59"/>
      <c r="AFQ59"/>
      <c r="AFR59"/>
      <c r="AFS59"/>
      <c r="AFT59"/>
      <c r="AFU59"/>
      <c r="AFV59"/>
      <c r="AFW59"/>
      <c r="AFX59"/>
      <c r="AFY59"/>
      <c r="AFZ59"/>
      <c r="AGA59"/>
      <c r="AGB59"/>
      <c r="AGC59"/>
      <c r="AGD59"/>
      <c r="AGE59"/>
      <c r="AGF59"/>
      <c r="AGG59"/>
      <c r="AGH59"/>
      <c r="AGI59"/>
      <c r="AGJ59"/>
      <c r="AGK59"/>
      <c r="AGL59"/>
      <c r="AGM59"/>
      <c r="AGN59"/>
      <c r="AGO59"/>
      <c r="AGP59"/>
      <c r="AGQ59"/>
      <c r="AGR59"/>
      <c r="AGS59"/>
      <c r="AGT59"/>
      <c r="AGU59"/>
      <c r="AGV59"/>
      <c r="AGW59"/>
      <c r="AGX59"/>
      <c r="AGY59"/>
      <c r="AGZ59"/>
      <c r="AHA59"/>
      <c r="AHB59"/>
      <c r="AHC59"/>
      <c r="AHD59"/>
      <c r="AHE59"/>
      <c r="AHF59"/>
      <c r="AHG59"/>
      <c r="AHH59"/>
      <c r="AHI59"/>
      <c r="AHJ59"/>
      <c r="AHK59"/>
      <c r="AHL59"/>
      <c r="AHM59"/>
      <c r="AHN59"/>
      <c r="AHO59"/>
      <c r="AHP59"/>
      <c r="AHQ59"/>
      <c r="AHR59"/>
      <c r="AHS59"/>
      <c r="AHT59"/>
      <c r="AHU59"/>
      <c r="AHV59"/>
      <c r="AHW59"/>
      <c r="AHX59"/>
      <c r="AHY59"/>
      <c r="AHZ59"/>
      <c r="AIA59"/>
      <c r="AIB59"/>
      <c r="AIC59"/>
      <c r="AID59"/>
      <c r="AIE59"/>
      <c r="AIF59"/>
      <c r="AIG59"/>
      <c r="AIH59"/>
      <c r="AII59"/>
      <c r="AIJ59"/>
      <c r="AIK59"/>
      <c r="AIL59"/>
      <c r="AIM59"/>
      <c r="AIN59"/>
      <c r="AIO59"/>
      <c r="AIP59"/>
      <c r="AIQ59"/>
      <c r="AIR59"/>
      <c r="AIS59"/>
      <c r="AIT59"/>
      <c r="AIU59"/>
      <c r="AIV59"/>
      <c r="AIW59"/>
      <c r="AIX59"/>
      <c r="AIY59"/>
      <c r="AIZ59"/>
      <c r="AJA59"/>
      <c r="AJB59"/>
      <c r="AJC59"/>
      <c r="AJD59"/>
      <c r="AJE59"/>
      <c r="AJF59"/>
      <c r="AJG59"/>
      <c r="AJH59"/>
      <c r="AJI59"/>
      <c r="AJJ59"/>
      <c r="AJK59"/>
      <c r="AJL59"/>
      <c r="AJM59"/>
      <c r="AJN59"/>
      <c r="AJO59"/>
      <c r="AJP59"/>
      <c r="AJQ59"/>
      <c r="AJR59"/>
      <c r="AJS59"/>
      <c r="AJT59"/>
      <c r="AJU59"/>
      <c r="AJV59"/>
      <c r="AJW59"/>
      <c r="AJX59"/>
      <c r="AJY59"/>
      <c r="AJZ59"/>
      <c r="AKA59"/>
      <c r="AKB59"/>
      <c r="AKC59"/>
      <c r="AKD59"/>
      <c r="AKE59"/>
      <c r="AKF59"/>
      <c r="AKG59"/>
      <c r="AKH59"/>
      <c r="AKI59"/>
      <c r="AKJ59"/>
      <c r="AKK59"/>
      <c r="AKL59"/>
      <c r="AKM59"/>
      <c r="AKN59"/>
      <c r="AKO59"/>
      <c r="AKP59"/>
      <c r="AKQ59"/>
      <c r="AKR59"/>
      <c r="AKS59"/>
      <c r="AKT59"/>
      <c r="AKU59"/>
      <c r="AKV59"/>
      <c r="AKW59"/>
      <c r="AKX59"/>
      <c r="AKY59"/>
      <c r="AKZ59"/>
      <c r="ALA59"/>
      <c r="ALB59"/>
      <c r="ALC59"/>
      <c r="ALD59"/>
      <c r="ALE59"/>
      <c r="ALF59"/>
      <c r="ALG59"/>
      <c r="ALH59"/>
      <c r="ALI59"/>
      <c r="ALJ59"/>
      <c r="ALK59"/>
      <c r="ALL59"/>
      <c r="ALM59"/>
      <c r="ALN59"/>
      <c r="ALO59"/>
      <c r="ALP59"/>
      <c r="ALQ59"/>
      <c r="ALR59"/>
      <c r="ALS59"/>
      <c r="ALT59"/>
      <c r="ALU59"/>
      <c r="ALV59"/>
      <c r="ALW59"/>
      <c r="ALX59"/>
      <c r="ALY59"/>
      <c r="ALZ59"/>
      <c r="AMA59"/>
      <c r="AMB59"/>
      <c r="AMC59"/>
      <c r="AMD59"/>
      <c r="AME59"/>
      <c r="AMF59"/>
      <c r="AMG59"/>
      <c r="AMH59"/>
      <c r="AMI59"/>
      <c r="AMJ59"/>
      <c r="AMK59"/>
      <c r="AML59"/>
      <c r="AMM59"/>
      <c r="AMN59"/>
      <c r="AMO59"/>
      <c r="AMP59"/>
      <c r="AMQ59"/>
      <c r="AMR59"/>
      <c r="AMS59"/>
      <c r="AMT59"/>
      <c r="AMU59"/>
      <c r="AMV59"/>
      <c r="AMW59"/>
      <c r="AMX59"/>
      <c r="AMY59"/>
      <c r="AMZ59"/>
      <c r="ANA59"/>
      <c r="ANB59"/>
      <c r="ANC59"/>
      <c r="AND59"/>
      <c r="ANE59"/>
      <c r="ANF59"/>
      <c r="ANG59"/>
      <c r="ANH59"/>
      <c r="ANI59"/>
      <c r="ANJ59"/>
      <c r="ANK59"/>
      <c r="ANL59"/>
      <c r="ANM59"/>
      <c r="ANN59"/>
      <c r="ANO59"/>
      <c r="ANP59"/>
      <c r="ANQ59"/>
      <c r="ANR59"/>
      <c r="ANS59"/>
      <c r="ANT59"/>
      <c r="ANU59"/>
      <c r="ANV59"/>
      <c r="ANW59"/>
      <c r="ANX59"/>
      <c r="ANY59"/>
      <c r="ANZ59"/>
      <c r="AOA59"/>
      <c r="AOB59"/>
      <c r="AOC59"/>
      <c r="AOD59"/>
      <c r="AOE59"/>
      <c r="AOF59"/>
      <c r="AOG59"/>
      <c r="AOH59"/>
      <c r="AOI59"/>
      <c r="AOJ59"/>
      <c r="AOK59"/>
      <c r="AOL59"/>
      <c r="AOM59"/>
      <c r="AON59"/>
      <c r="AOO59"/>
      <c r="AOP59"/>
      <c r="AOQ59"/>
      <c r="AOR59"/>
      <c r="AOS59"/>
      <c r="AOT59"/>
      <c r="AOU59"/>
      <c r="AOV59"/>
      <c r="AOW59"/>
      <c r="AOX59"/>
      <c r="AOY59"/>
      <c r="AOZ59"/>
      <c r="APA59"/>
      <c r="APB59"/>
      <c r="APC59"/>
      <c r="APD59"/>
      <c r="APE59"/>
      <c r="APF59"/>
      <c r="APG59"/>
      <c r="APH59"/>
      <c r="API59"/>
      <c r="APJ59"/>
      <c r="APK59"/>
      <c r="APL59"/>
      <c r="APM59"/>
      <c r="APN59"/>
      <c r="APO59"/>
      <c r="APP59"/>
      <c r="APQ59"/>
      <c r="APR59"/>
      <c r="APS59"/>
      <c r="APT59"/>
      <c r="APU59"/>
      <c r="APV59"/>
      <c r="APW59"/>
      <c r="APX59"/>
      <c r="APY59"/>
      <c r="APZ59"/>
      <c r="AQA59"/>
      <c r="AQB59"/>
      <c r="AQC59"/>
      <c r="AQD59"/>
      <c r="AQE59"/>
      <c r="AQF59"/>
      <c r="AQG59"/>
      <c r="AQH59"/>
      <c r="AQI59"/>
      <c r="AQJ59"/>
      <c r="AQK59"/>
      <c r="AQL59"/>
      <c r="AQM59"/>
      <c r="AQN59"/>
      <c r="AQO59"/>
      <c r="AQP59"/>
      <c r="AQQ59"/>
      <c r="AQR59"/>
      <c r="AQS59"/>
      <c r="AQT59"/>
      <c r="AQU59"/>
      <c r="AQV59"/>
      <c r="AQW59"/>
      <c r="AQX59"/>
      <c r="AQY59"/>
      <c r="AQZ59"/>
      <c r="ARA59"/>
      <c r="ARB59"/>
      <c r="ARC59"/>
      <c r="ARD59"/>
      <c r="ARE59"/>
      <c r="ARF59"/>
      <c r="ARG59"/>
      <c r="ARH59"/>
      <c r="ARI59"/>
      <c r="ARJ59"/>
      <c r="ARK59"/>
      <c r="ARL59"/>
      <c r="ARM59"/>
      <c r="ARN59"/>
      <c r="ARO59"/>
      <c r="ARP59"/>
      <c r="ARQ59"/>
      <c r="ARR59"/>
      <c r="ARS59"/>
      <c r="ART59"/>
      <c r="ARU59"/>
      <c r="ARV59"/>
      <c r="ARW59"/>
      <c r="ARX59"/>
      <c r="ARY59"/>
      <c r="ARZ59"/>
      <c r="ASA59"/>
      <c r="ASB59"/>
      <c r="ASC59"/>
      <c r="ASD59"/>
      <c r="ASE59"/>
      <c r="ASF59"/>
      <c r="ASG59"/>
      <c r="ASH59"/>
      <c r="ASI59"/>
      <c r="ASJ59"/>
      <c r="ASK59"/>
      <c r="ASL59"/>
      <c r="ASM59"/>
      <c r="ASN59"/>
      <c r="ASO59"/>
      <c r="ASP59"/>
      <c r="ASQ59"/>
      <c r="ASR59"/>
      <c r="ASS59"/>
      <c r="AST59"/>
      <c r="ASU59"/>
      <c r="ASV59"/>
      <c r="ASW59"/>
      <c r="ASX59"/>
      <c r="ASY59"/>
      <c r="ASZ59"/>
      <c r="ATA59"/>
      <c r="ATB59"/>
      <c r="ATC59"/>
      <c r="ATD59"/>
      <c r="ATE59"/>
      <c r="ATF59"/>
      <c r="ATG59"/>
      <c r="ATH59"/>
      <c r="ATI59"/>
      <c r="ATJ59"/>
      <c r="ATK59"/>
      <c r="ATL59"/>
      <c r="ATM59"/>
      <c r="ATN59"/>
      <c r="ATO59"/>
      <c r="ATP59"/>
      <c r="ATQ59"/>
      <c r="ATR59"/>
      <c r="ATS59"/>
      <c r="ATT59"/>
      <c r="ATU59"/>
      <c r="ATV59"/>
      <c r="ATW59"/>
      <c r="ATX59"/>
      <c r="ATY59"/>
      <c r="ATZ59"/>
      <c r="AUA59"/>
      <c r="AUB59"/>
      <c r="AUC59"/>
      <c r="AUD59"/>
      <c r="AUE59"/>
      <c r="AUF59"/>
      <c r="AUG59"/>
      <c r="AUH59"/>
      <c r="AUI59"/>
      <c r="AUJ59"/>
      <c r="AUK59"/>
      <c r="AUL59"/>
      <c r="AUM59"/>
      <c r="AUN59"/>
      <c r="AUO59"/>
      <c r="AUP59"/>
      <c r="AUQ59"/>
      <c r="AUR59"/>
      <c r="AUS59"/>
      <c r="AUT59"/>
      <c r="AUU59"/>
      <c r="AUV59"/>
      <c r="AUW59"/>
      <c r="AUX59"/>
      <c r="AUY59"/>
      <c r="AUZ59"/>
      <c r="AVA59"/>
      <c r="AVB59"/>
      <c r="AVC59"/>
      <c r="AVD59"/>
      <c r="AVE59"/>
      <c r="AVF59"/>
      <c r="AVG59"/>
      <c r="AVH59"/>
      <c r="AVI59"/>
      <c r="AVJ59"/>
      <c r="AVK59"/>
      <c r="AVL59"/>
      <c r="AVM59"/>
      <c r="AVN59"/>
      <c r="AVO59"/>
      <c r="AVP59"/>
      <c r="AVQ59"/>
      <c r="AVR59"/>
      <c r="AVS59"/>
      <c r="AVT59"/>
      <c r="AVU59"/>
      <c r="AVV59"/>
      <c r="AVW59"/>
      <c r="AVX59"/>
      <c r="AVY59"/>
      <c r="AVZ59"/>
      <c r="AWA59"/>
      <c r="AWB59"/>
      <c r="AWC59"/>
      <c r="AWD59"/>
      <c r="AWE59"/>
      <c r="AWF59"/>
      <c r="AWG59"/>
      <c r="AWH59"/>
      <c r="AWI59"/>
      <c r="AWJ59"/>
      <c r="AWK59"/>
      <c r="AWL59"/>
      <c r="AWM59"/>
      <c r="AWN59"/>
      <c r="AWO59"/>
      <c r="AWP59"/>
      <c r="AWQ59"/>
      <c r="AWR59"/>
      <c r="AWS59"/>
      <c r="AWT59"/>
      <c r="AWU59"/>
      <c r="AWV59"/>
      <c r="AWW59"/>
      <c r="AWX59"/>
      <c r="AWY59"/>
      <c r="AWZ59"/>
      <c r="AXA59"/>
      <c r="AXB59"/>
      <c r="AXC59"/>
      <c r="AXD59"/>
      <c r="AXE59"/>
      <c r="AXF59"/>
      <c r="AXG59"/>
      <c r="AXH59"/>
      <c r="AXI59"/>
      <c r="AXJ59"/>
      <c r="AXK59"/>
      <c r="AXL59"/>
      <c r="AXM59"/>
      <c r="AXN59"/>
      <c r="AXO59"/>
      <c r="AXP59"/>
      <c r="AXQ59"/>
      <c r="AXR59"/>
      <c r="AXS59"/>
      <c r="AXT59"/>
      <c r="AXU59"/>
      <c r="AXV59"/>
      <c r="AXW59"/>
      <c r="AXX59"/>
      <c r="AXY59"/>
      <c r="AXZ59"/>
      <c r="AYA59"/>
      <c r="AYB59"/>
      <c r="AYC59"/>
      <c r="AYD59"/>
      <c r="AYE59"/>
      <c r="AYF59"/>
      <c r="AYG59"/>
      <c r="AYH59"/>
      <c r="AYI59"/>
      <c r="AYJ59"/>
      <c r="AYK59"/>
      <c r="AYL59"/>
      <c r="AYM59"/>
      <c r="AYN59"/>
      <c r="AYO59"/>
      <c r="AYP59"/>
      <c r="AYQ59"/>
      <c r="AYR59"/>
      <c r="AYS59"/>
      <c r="AYT59"/>
      <c r="AYU59"/>
      <c r="AYV59"/>
      <c r="AYW59"/>
      <c r="AYX59"/>
      <c r="AYY59"/>
      <c r="AYZ59"/>
      <c r="AZA59"/>
      <c r="AZB59"/>
      <c r="AZC59"/>
      <c r="AZD59"/>
      <c r="AZE59"/>
      <c r="AZF59"/>
      <c r="AZG59"/>
      <c r="AZH59"/>
      <c r="AZI59"/>
      <c r="AZJ59"/>
      <c r="AZK59"/>
      <c r="AZL59"/>
      <c r="AZM59"/>
      <c r="AZN59"/>
      <c r="AZO59"/>
      <c r="AZP59"/>
      <c r="AZQ59"/>
      <c r="AZR59"/>
      <c r="AZS59"/>
      <c r="AZT59"/>
      <c r="AZU59"/>
      <c r="AZV59"/>
      <c r="AZW59"/>
      <c r="AZX59"/>
      <c r="AZY59"/>
      <c r="AZZ59"/>
      <c r="BAA59"/>
      <c r="BAB59"/>
      <c r="BAC59"/>
      <c r="BAD59"/>
      <c r="BAE59"/>
      <c r="BAF59"/>
      <c r="BAG59"/>
      <c r="BAH59"/>
      <c r="BAI59"/>
      <c r="BAJ59"/>
      <c r="BAK59"/>
      <c r="BAL59"/>
      <c r="BAM59"/>
      <c r="BAN59"/>
      <c r="BAO59"/>
      <c r="BAP59"/>
      <c r="BAQ59"/>
      <c r="BAR59"/>
      <c r="BAS59"/>
      <c r="BAT59"/>
      <c r="BAU59"/>
      <c r="BAV59"/>
      <c r="BAW59"/>
      <c r="BAX59"/>
      <c r="BAY59"/>
      <c r="BAZ59"/>
      <c r="BBA59"/>
      <c r="BBB59"/>
      <c r="BBC59"/>
      <c r="BBD59"/>
      <c r="BBE59"/>
      <c r="BBF59"/>
      <c r="BBG59"/>
      <c r="BBH59"/>
      <c r="BBI59"/>
      <c r="BBJ59"/>
      <c r="BBK59"/>
      <c r="BBL59"/>
      <c r="BBM59"/>
      <c r="BBN59"/>
      <c r="BBO59"/>
      <c r="BBP59"/>
      <c r="BBQ59"/>
      <c r="BBR59"/>
      <c r="BBS59"/>
      <c r="BBT59"/>
      <c r="BBU59"/>
      <c r="BBV59"/>
      <c r="BBW59"/>
      <c r="BBX59"/>
      <c r="BBY59"/>
      <c r="BBZ59"/>
      <c r="BCA59"/>
      <c r="BCB59"/>
      <c r="BCC59"/>
      <c r="BCD59"/>
      <c r="BCE59"/>
      <c r="BCF59"/>
      <c r="BCG59"/>
      <c r="BCH59"/>
      <c r="BCI59"/>
      <c r="BCJ59"/>
      <c r="BCK59"/>
      <c r="BCL59"/>
      <c r="BCM59"/>
      <c r="BCN59"/>
      <c r="BCO59"/>
      <c r="BCP59"/>
      <c r="BCQ59"/>
      <c r="BCR59"/>
      <c r="BCS59"/>
      <c r="BCT59"/>
      <c r="BCU59"/>
      <c r="BCV59"/>
      <c r="BCW59"/>
      <c r="BCX59"/>
      <c r="BCY59"/>
      <c r="BCZ59"/>
      <c r="BDA59"/>
      <c r="BDB59"/>
      <c r="BDC59"/>
      <c r="BDD59"/>
      <c r="BDE59"/>
      <c r="BDF59"/>
      <c r="BDG59"/>
      <c r="BDH59"/>
      <c r="BDI59"/>
      <c r="BDJ59"/>
      <c r="BDK59"/>
      <c r="BDL59"/>
      <c r="BDM59"/>
      <c r="BDN59"/>
      <c r="BDO59"/>
      <c r="BDP59"/>
      <c r="BDQ59"/>
      <c r="BDR59"/>
      <c r="BDS59"/>
      <c r="BDT59"/>
      <c r="BDU59"/>
      <c r="BDV59"/>
      <c r="BDW59"/>
      <c r="BDX59"/>
      <c r="BDY59"/>
      <c r="BDZ59"/>
      <c r="BEA59"/>
      <c r="BEB59"/>
      <c r="BEC59"/>
      <c r="BED59"/>
      <c r="BEE59"/>
      <c r="BEF59"/>
      <c r="BEG59"/>
      <c r="BEH59"/>
      <c r="BEI59"/>
      <c r="BEJ59"/>
      <c r="BEK59"/>
      <c r="BEL59"/>
      <c r="BEM59"/>
      <c r="BEN59"/>
      <c r="BEO59"/>
      <c r="BEP59"/>
      <c r="BEQ59"/>
      <c r="BER59"/>
      <c r="BES59"/>
      <c r="BET59"/>
      <c r="BEU59"/>
      <c r="BEV59"/>
      <c r="BEW59"/>
      <c r="BEX59"/>
      <c r="BEY59"/>
      <c r="BEZ59"/>
      <c r="BFA59"/>
      <c r="BFB59"/>
      <c r="BFC59"/>
      <c r="BFD59"/>
      <c r="BFE59"/>
      <c r="BFF59"/>
      <c r="BFG59"/>
      <c r="BFH59"/>
      <c r="BFI59"/>
      <c r="BFJ59"/>
      <c r="BFK59"/>
      <c r="BFL59"/>
      <c r="BFM59"/>
      <c r="BFN59"/>
      <c r="BFO59"/>
      <c r="BFP59"/>
      <c r="BFQ59"/>
      <c r="BFR59"/>
      <c r="BFS59"/>
      <c r="BFT59"/>
      <c r="BFU59"/>
      <c r="BFV59"/>
      <c r="BFW59"/>
      <c r="BFX59"/>
      <c r="BFY59"/>
      <c r="BFZ59"/>
      <c r="BGA59"/>
      <c r="BGB59"/>
      <c r="BGC59"/>
      <c r="BGD59"/>
      <c r="BGE59"/>
      <c r="BGF59"/>
      <c r="BGG59"/>
      <c r="BGH59"/>
      <c r="BGI59"/>
      <c r="BGJ59"/>
      <c r="BGK59"/>
      <c r="BGL59"/>
      <c r="BGM59"/>
      <c r="BGN59"/>
      <c r="BGO59"/>
      <c r="BGP59"/>
      <c r="BGQ59"/>
      <c r="BGR59"/>
      <c r="BGS59"/>
      <c r="BGT59"/>
      <c r="BGU59"/>
      <c r="BGV59"/>
      <c r="BGW59"/>
      <c r="BGX59"/>
      <c r="BGY59"/>
      <c r="BGZ59"/>
      <c r="BHA59"/>
      <c r="BHB59"/>
      <c r="BHC59"/>
      <c r="BHD59"/>
      <c r="BHE59"/>
      <c r="BHF59"/>
      <c r="BHG59"/>
      <c r="BHH59"/>
      <c r="BHI59"/>
      <c r="BHJ59"/>
      <c r="BHK59"/>
      <c r="BHL59"/>
      <c r="BHM59"/>
      <c r="BHN59"/>
      <c r="BHO59"/>
      <c r="BHP59"/>
      <c r="BHQ59"/>
      <c r="BHR59"/>
      <c r="BHS59"/>
      <c r="BHT59"/>
      <c r="BHU59"/>
      <c r="BHV59"/>
      <c r="BHW59"/>
      <c r="BHX59"/>
      <c r="BHY59"/>
      <c r="BHZ59"/>
      <c r="BIA59"/>
      <c r="BIB59"/>
      <c r="BIC59"/>
      <c r="BID59"/>
      <c r="BIE59"/>
      <c r="BIF59"/>
      <c r="BIG59"/>
      <c r="BIH59"/>
      <c r="BII59"/>
      <c r="BIJ59"/>
      <c r="BIK59"/>
      <c r="BIL59"/>
      <c r="BIM59"/>
      <c r="BIN59"/>
      <c r="BIO59"/>
      <c r="BIP59"/>
      <c r="BIQ59"/>
      <c r="BIR59"/>
      <c r="BIS59"/>
      <c r="BIT59"/>
      <c r="BIU59"/>
      <c r="BIV59"/>
      <c r="BIW59"/>
      <c r="BIX59"/>
      <c r="BIY59"/>
      <c r="BIZ59"/>
      <c r="BJA59"/>
      <c r="BJB59"/>
      <c r="BJC59"/>
      <c r="BJD59"/>
      <c r="BJE59"/>
      <c r="BJF59"/>
      <c r="BJG59"/>
      <c r="BJH59"/>
      <c r="BJI59"/>
      <c r="BJJ59"/>
      <c r="BJK59"/>
      <c r="BJL59"/>
      <c r="BJM59"/>
      <c r="BJN59"/>
      <c r="BJO59"/>
      <c r="BJP59"/>
      <c r="BJQ59"/>
      <c r="BJR59"/>
      <c r="BJS59"/>
      <c r="BJT59"/>
      <c r="BJU59"/>
      <c r="BJV59"/>
      <c r="BJW59"/>
      <c r="BJX59"/>
      <c r="BJY59"/>
      <c r="BJZ59"/>
      <c r="BKA59"/>
      <c r="BKB59"/>
      <c r="BKC59"/>
      <c r="BKD59"/>
      <c r="BKE59"/>
      <c r="BKF59"/>
      <c r="BKG59"/>
      <c r="BKH59"/>
      <c r="BKI59"/>
      <c r="BKJ59"/>
      <c r="BKK59"/>
      <c r="BKL59"/>
      <c r="BKM59"/>
      <c r="BKN59"/>
      <c r="BKO59"/>
      <c r="BKP59"/>
      <c r="BKQ59"/>
      <c r="BKR59"/>
      <c r="BKS59"/>
      <c r="BKT59"/>
      <c r="BKU59"/>
      <c r="BKV59"/>
      <c r="BKW59"/>
      <c r="BKX59"/>
      <c r="BKY59"/>
      <c r="BKZ59"/>
      <c r="BLA59"/>
      <c r="BLB59"/>
      <c r="BLC59"/>
      <c r="BLD59"/>
      <c r="BLE59"/>
      <c r="BLF59"/>
      <c r="BLG59"/>
      <c r="BLH59"/>
      <c r="BLI59"/>
      <c r="BLJ59"/>
      <c r="BLK59"/>
      <c r="BLL59"/>
      <c r="BLM59"/>
      <c r="BLN59"/>
      <c r="BLO59"/>
      <c r="BLP59"/>
      <c r="BLQ59"/>
      <c r="BLR59"/>
      <c r="BLS59"/>
      <c r="BLT59"/>
      <c r="BLU59"/>
      <c r="BLV59"/>
      <c r="BLW59"/>
      <c r="BLX59"/>
      <c r="BLY59"/>
      <c r="BLZ59"/>
      <c r="BMA59"/>
      <c r="BMB59"/>
      <c r="BMC59"/>
      <c r="BMD59"/>
      <c r="BME59"/>
      <c r="BMF59"/>
      <c r="BMG59"/>
      <c r="BMH59"/>
      <c r="BMI59"/>
      <c r="BMJ59"/>
      <c r="BMK59"/>
      <c r="BML59"/>
      <c r="BMM59"/>
      <c r="BMN59"/>
      <c r="BMO59"/>
      <c r="BMP59"/>
      <c r="BMQ59"/>
      <c r="BMR59"/>
      <c r="BMS59"/>
      <c r="BMT59"/>
      <c r="BMU59"/>
      <c r="BMV59"/>
      <c r="BMW59"/>
      <c r="BMX59"/>
      <c r="BMY59"/>
      <c r="BMZ59"/>
      <c r="BNA59"/>
      <c r="BNB59"/>
      <c r="BNC59"/>
      <c r="BND59"/>
      <c r="BNE59"/>
      <c r="BNF59"/>
      <c r="BNG59"/>
      <c r="BNH59"/>
      <c r="BNI59"/>
      <c r="BNJ59"/>
      <c r="BNK59"/>
      <c r="BNL59"/>
      <c r="BNM59"/>
      <c r="BNN59"/>
      <c r="BNO59"/>
      <c r="BNP59"/>
      <c r="BNQ59"/>
      <c r="BNR59"/>
      <c r="BNS59"/>
      <c r="BNT59"/>
      <c r="BNU59"/>
      <c r="BNV59"/>
      <c r="BNW59"/>
      <c r="BNX59"/>
      <c r="BNY59"/>
      <c r="BNZ59"/>
      <c r="BOA59"/>
      <c r="BOB59"/>
      <c r="BOC59"/>
      <c r="BOD59"/>
      <c r="BOE59"/>
      <c r="BOF59"/>
      <c r="BOG59"/>
      <c r="BOH59"/>
      <c r="BOI59"/>
      <c r="BOJ59"/>
      <c r="BOK59"/>
      <c r="BOL59"/>
      <c r="BOM59"/>
      <c r="BON59"/>
      <c r="BOO59"/>
      <c r="BOP59"/>
      <c r="BOQ59"/>
      <c r="BOR59"/>
      <c r="BOS59"/>
      <c r="BOT59"/>
      <c r="BOU59"/>
      <c r="BOV59"/>
      <c r="BOW59"/>
      <c r="BOX59"/>
      <c r="BOY59"/>
      <c r="BOZ59"/>
      <c r="BPA59"/>
      <c r="BPB59"/>
      <c r="BPC59"/>
      <c r="BPD59"/>
      <c r="BPE59"/>
      <c r="BPF59"/>
      <c r="BPG59"/>
      <c r="BPH59"/>
      <c r="BPI59"/>
      <c r="BPJ59"/>
      <c r="BPK59"/>
      <c r="BPL59"/>
      <c r="BPM59"/>
      <c r="BPN59"/>
      <c r="BPO59"/>
      <c r="BPP59"/>
      <c r="BPQ59"/>
      <c r="BPR59"/>
      <c r="BPS59"/>
      <c r="BPT59"/>
      <c r="BPU59"/>
      <c r="BPV59"/>
      <c r="BPW59"/>
      <c r="BPX59"/>
      <c r="BPY59"/>
      <c r="BPZ59"/>
      <c r="BQA59"/>
      <c r="BQB59"/>
      <c r="BQC59"/>
      <c r="BQD59"/>
      <c r="BQE59"/>
      <c r="BQF59"/>
      <c r="BQG59"/>
      <c r="BQH59"/>
      <c r="BQI59"/>
      <c r="BQJ59"/>
      <c r="BQK59"/>
      <c r="BQL59"/>
      <c r="BQM59"/>
      <c r="BQN59"/>
      <c r="BQO59"/>
      <c r="BQP59"/>
      <c r="BQQ59"/>
      <c r="BQR59"/>
      <c r="BQS59"/>
      <c r="BQT59"/>
      <c r="BQU59"/>
      <c r="BQV59"/>
      <c r="BQW59"/>
      <c r="BQX59"/>
      <c r="BQY59"/>
      <c r="BQZ59"/>
      <c r="BRA59"/>
      <c r="BRB59"/>
      <c r="BRC59"/>
      <c r="BRD59"/>
      <c r="BRE59"/>
      <c r="BRF59"/>
      <c r="BRG59"/>
      <c r="BRH59"/>
      <c r="BRI59"/>
      <c r="BRJ59"/>
      <c r="BRK59"/>
      <c r="BRL59"/>
      <c r="BRM59"/>
      <c r="BRN59"/>
      <c r="BRO59"/>
      <c r="BRP59"/>
      <c r="BRQ59"/>
      <c r="BRR59"/>
      <c r="BRS59"/>
      <c r="BRT59"/>
      <c r="BRU59"/>
      <c r="BRV59"/>
      <c r="BRW59"/>
      <c r="BRX59"/>
      <c r="BRY59"/>
      <c r="BRZ59"/>
      <c r="BSA59"/>
      <c r="BSB59"/>
      <c r="BSC59"/>
      <c r="BSD59"/>
      <c r="BSE59"/>
      <c r="BSF59"/>
      <c r="BSG59"/>
      <c r="BSH59"/>
      <c r="BSI59"/>
      <c r="BSJ59"/>
      <c r="BSK59"/>
      <c r="BSL59"/>
      <c r="BSM59"/>
      <c r="BSN59"/>
      <c r="BSO59"/>
      <c r="BSP59"/>
      <c r="BSQ59"/>
      <c r="BSR59"/>
      <c r="BSS59"/>
      <c r="BST59"/>
      <c r="BSU59"/>
      <c r="BSV59"/>
      <c r="BSW59"/>
      <c r="BSX59"/>
      <c r="BSY59"/>
      <c r="BSZ59"/>
      <c r="BTA59"/>
      <c r="BTB59"/>
      <c r="BTC59"/>
      <c r="BTD59"/>
      <c r="BTE59"/>
      <c r="BTF59"/>
      <c r="BTG59"/>
      <c r="BTH59"/>
      <c r="BTI59"/>
      <c r="BTJ59"/>
      <c r="BTK59"/>
      <c r="BTL59"/>
      <c r="BTM59"/>
      <c r="BTN59"/>
      <c r="BTO59"/>
      <c r="BTP59"/>
      <c r="BTQ59"/>
      <c r="BTR59"/>
      <c r="BTS59"/>
      <c r="BTT59"/>
      <c r="BTU59"/>
      <c r="BTV59"/>
      <c r="BTW59"/>
      <c r="BTX59"/>
      <c r="BTY59"/>
      <c r="BTZ59"/>
      <c r="BUA59"/>
      <c r="BUB59"/>
      <c r="BUC59"/>
      <c r="BUD59"/>
      <c r="BUE59"/>
      <c r="BUF59"/>
      <c r="BUG59"/>
      <c r="BUH59"/>
      <c r="BUI59"/>
      <c r="BUJ59"/>
      <c r="BUK59"/>
      <c r="BUL59"/>
      <c r="BUM59"/>
      <c r="BUN59"/>
      <c r="BUO59"/>
      <c r="BUP59"/>
      <c r="BUQ59"/>
      <c r="BUR59"/>
      <c r="BUS59"/>
      <c r="BUT59"/>
      <c r="BUU59"/>
      <c r="BUV59"/>
      <c r="BUW59"/>
      <c r="BUX59"/>
      <c r="BUY59"/>
      <c r="BUZ59"/>
      <c r="BVA59"/>
      <c r="BVB59"/>
      <c r="BVC59"/>
      <c r="BVD59"/>
      <c r="BVE59"/>
      <c r="BVF59"/>
      <c r="BVG59"/>
      <c r="BVH59"/>
      <c r="BVI59"/>
      <c r="BVJ59"/>
      <c r="BVK59"/>
      <c r="BVL59"/>
      <c r="BVM59"/>
      <c r="BVN59"/>
      <c r="BVO59"/>
      <c r="BVP59"/>
      <c r="BVQ59"/>
      <c r="BVR59"/>
      <c r="BVS59"/>
      <c r="BVT59"/>
      <c r="BVU59"/>
      <c r="BVV59"/>
      <c r="BVW59"/>
      <c r="BVX59"/>
      <c r="BVY59"/>
      <c r="BVZ59"/>
      <c r="BWA59"/>
      <c r="BWB59"/>
      <c r="BWC59"/>
      <c r="BWD59"/>
      <c r="BWE59"/>
      <c r="BWF59"/>
      <c r="BWG59"/>
      <c r="BWH59"/>
      <c r="BWI59"/>
      <c r="BWJ59"/>
      <c r="BWK59"/>
      <c r="BWL59"/>
      <c r="BWM59"/>
      <c r="BWN59"/>
      <c r="BWO59"/>
      <c r="BWP59"/>
      <c r="BWQ59"/>
      <c r="BWR59"/>
      <c r="BWS59"/>
      <c r="BWT59"/>
      <c r="BWU59"/>
      <c r="BWV59"/>
      <c r="BWW59"/>
      <c r="BWX59"/>
      <c r="BWY59"/>
      <c r="BWZ59"/>
      <c r="BXA59"/>
      <c r="BXB59"/>
      <c r="BXC59"/>
      <c r="BXD59"/>
      <c r="BXE59"/>
      <c r="BXF59"/>
      <c r="BXG59"/>
      <c r="BXH59"/>
      <c r="BXI59"/>
      <c r="BXJ59"/>
      <c r="BXK59"/>
      <c r="BXL59"/>
      <c r="BXM59"/>
      <c r="BXN59"/>
      <c r="BXO59"/>
      <c r="BXP59"/>
      <c r="BXQ59"/>
      <c r="BXR59"/>
      <c r="BXS59"/>
      <c r="BXT59"/>
      <c r="BXU59"/>
      <c r="BXV59"/>
      <c r="BXW59"/>
      <c r="BXX59"/>
      <c r="BXY59"/>
      <c r="BXZ59"/>
      <c r="BYA59"/>
      <c r="BYB59"/>
      <c r="BYC59"/>
      <c r="BYD59"/>
      <c r="BYE59"/>
      <c r="BYF59"/>
      <c r="BYG59"/>
      <c r="BYH59"/>
      <c r="BYI59"/>
      <c r="BYJ59"/>
      <c r="BYK59"/>
      <c r="BYL59"/>
      <c r="BYM59"/>
      <c r="BYN59"/>
      <c r="BYO59"/>
      <c r="BYP59"/>
      <c r="BYQ59"/>
      <c r="BYR59"/>
      <c r="BYS59"/>
      <c r="BYT59"/>
      <c r="BYU59"/>
      <c r="BYV59"/>
      <c r="BYW59"/>
      <c r="BYX59"/>
      <c r="BYY59"/>
      <c r="BYZ59"/>
      <c r="BZA59"/>
      <c r="BZB59"/>
      <c r="BZC59"/>
      <c r="BZD59"/>
      <c r="BZE59"/>
      <c r="BZF59"/>
      <c r="BZG59"/>
      <c r="BZH59"/>
      <c r="BZI59"/>
      <c r="BZJ59"/>
      <c r="BZK59"/>
      <c r="BZL59"/>
      <c r="BZM59"/>
      <c r="BZN59"/>
      <c r="BZO59"/>
      <c r="BZP59"/>
      <c r="BZQ59"/>
      <c r="BZR59"/>
      <c r="BZS59"/>
      <c r="BZT59"/>
      <c r="BZU59"/>
      <c r="BZV59"/>
      <c r="BZW59"/>
      <c r="BZX59"/>
      <c r="BZY59"/>
      <c r="BZZ59"/>
      <c r="CAA59"/>
      <c r="CAB59"/>
      <c r="CAC59"/>
      <c r="CAD59"/>
      <c r="CAE59"/>
      <c r="CAF59"/>
      <c r="CAG59"/>
      <c r="CAH59"/>
      <c r="CAI59"/>
      <c r="CAJ59"/>
      <c r="CAK59"/>
      <c r="CAL59"/>
      <c r="CAM59"/>
      <c r="CAN59"/>
      <c r="CAO59"/>
      <c r="CAP59"/>
      <c r="CAQ59"/>
      <c r="CAR59"/>
      <c r="CAS59"/>
      <c r="CAT59"/>
      <c r="CAU59"/>
      <c r="CAV59"/>
      <c r="CAW59"/>
      <c r="CAX59"/>
      <c r="CAY59"/>
      <c r="CAZ59"/>
      <c r="CBA59"/>
      <c r="CBB59"/>
      <c r="CBC59"/>
      <c r="CBD59"/>
      <c r="CBE59"/>
      <c r="CBF59"/>
      <c r="CBG59"/>
      <c r="CBH59"/>
      <c r="CBI59"/>
      <c r="CBJ59"/>
      <c r="CBK59"/>
      <c r="CBL59"/>
      <c r="CBM59"/>
      <c r="CBN59"/>
      <c r="CBO59"/>
      <c r="CBP59"/>
      <c r="CBQ59"/>
      <c r="CBR59"/>
      <c r="CBS59"/>
      <c r="CBT59"/>
      <c r="CBU59"/>
      <c r="CBV59"/>
      <c r="CBW59"/>
      <c r="CBX59"/>
      <c r="CBY59"/>
      <c r="CBZ59"/>
      <c r="CCA59"/>
      <c r="CCB59"/>
      <c r="CCC59"/>
      <c r="CCD59"/>
      <c r="CCE59"/>
      <c r="CCF59"/>
      <c r="CCG59"/>
      <c r="CCH59"/>
      <c r="CCI59"/>
      <c r="CCJ59"/>
      <c r="CCK59"/>
      <c r="CCL59"/>
      <c r="CCM59"/>
      <c r="CCN59"/>
      <c r="CCO59"/>
      <c r="CCP59"/>
      <c r="CCQ59"/>
      <c r="CCR59"/>
      <c r="CCS59"/>
      <c r="CCT59"/>
      <c r="CCU59"/>
      <c r="CCV59"/>
      <c r="CCW59"/>
      <c r="CCX59"/>
      <c r="CCY59"/>
      <c r="CCZ59"/>
      <c r="CDA59"/>
      <c r="CDB59"/>
      <c r="CDC59"/>
      <c r="CDD59"/>
      <c r="CDE59"/>
      <c r="CDF59"/>
      <c r="CDG59"/>
      <c r="CDH59"/>
      <c r="CDI59"/>
      <c r="CDJ59"/>
      <c r="CDK59"/>
      <c r="CDL59"/>
      <c r="CDM59"/>
      <c r="CDN59"/>
      <c r="CDO59"/>
      <c r="CDP59"/>
      <c r="CDQ59"/>
      <c r="CDR59"/>
      <c r="CDS59"/>
      <c r="CDT59"/>
      <c r="CDU59"/>
      <c r="CDV59"/>
      <c r="CDW59"/>
      <c r="CDX59"/>
      <c r="CDY59"/>
      <c r="CDZ59"/>
      <c r="CEA59"/>
      <c r="CEB59"/>
      <c r="CEC59"/>
      <c r="CED59"/>
      <c r="CEE59"/>
      <c r="CEF59"/>
      <c r="CEG59"/>
      <c r="CEH59"/>
      <c r="CEI59"/>
      <c r="CEJ59"/>
      <c r="CEK59"/>
      <c r="CEL59"/>
      <c r="CEM59"/>
      <c r="CEN59"/>
      <c r="CEO59"/>
      <c r="CEP59"/>
      <c r="CEQ59"/>
      <c r="CER59"/>
      <c r="CES59"/>
      <c r="CET59"/>
      <c r="CEU59"/>
      <c r="CEV59"/>
      <c r="CEW59"/>
      <c r="CEX59"/>
      <c r="CEY59"/>
      <c r="CEZ59"/>
      <c r="CFA59"/>
      <c r="CFB59"/>
      <c r="CFC59"/>
      <c r="CFD59"/>
      <c r="CFE59"/>
      <c r="CFF59"/>
      <c r="CFG59"/>
      <c r="CFH59"/>
      <c r="CFI59"/>
      <c r="CFJ59"/>
      <c r="CFK59"/>
      <c r="CFL59"/>
      <c r="CFM59"/>
      <c r="CFN59"/>
      <c r="CFO59"/>
      <c r="CFP59"/>
      <c r="CFQ59"/>
      <c r="CFR59"/>
      <c r="CFS59"/>
      <c r="CFT59"/>
      <c r="CFU59"/>
      <c r="CFV59"/>
      <c r="CFW59"/>
      <c r="CFX59"/>
      <c r="CFY59"/>
      <c r="CFZ59"/>
      <c r="CGA59"/>
      <c r="CGB59"/>
      <c r="CGC59"/>
      <c r="CGD59"/>
      <c r="CGE59"/>
      <c r="CGF59"/>
      <c r="CGG59"/>
      <c r="CGH59"/>
      <c r="CGI59"/>
      <c r="CGJ59"/>
      <c r="CGK59"/>
      <c r="CGL59"/>
      <c r="CGM59"/>
      <c r="CGN59"/>
      <c r="CGO59"/>
      <c r="CGP59"/>
      <c r="CGQ59"/>
      <c r="CGR59"/>
      <c r="CGS59"/>
      <c r="CGT59"/>
      <c r="CGU59"/>
      <c r="CGV59"/>
      <c r="CGW59"/>
      <c r="CGX59"/>
      <c r="CGY59"/>
      <c r="CGZ59"/>
      <c r="CHA59"/>
      <c r="CHB59"/>
      <c r="CHC59"/>
      <c r="CHD59"/>
      <c r="CHE59"/>
      <c r="CHF59"/>
      <c r="CHG59"/>
      <c r="CHH59"/>
      <c r="CHI59"/>
      <c r="CHJ59"/>
      <c r="CHK59"/>
      <c r="CHL59"/>
      <c r="CHM59"/>
      <c r="CHN59"/>
      <c r="CHO59"/>
      <c r="CHP59"/>
      <c r="CHQ59"/>
      <c r="CHR59"/>
      <c r="CHS59"/>
      <c r="CHT59"/>
      <c r="CHU59"/>
      <c r="CHV59"/>
      <c r="CHW59"/>
      <c r="CHX59"/>
      <c r="CHY59"/>
      <c r="CHZ59"/>
      <c r="CIA59"/>
      <c r="CIB59"/>
      <c r="CIC59"/>
      <c r="CID59"/>
      <c r="CIE59"/>
      <c r="CIF59"/>
      <c r="CIG59"/>
      <c r="CIH59"/>
      <c r="CII59"/>
      <c r="CIJ59"/>
      <c r="CIK59"/>
      <c r="CIL59"/>
      <c r="CIM59"/>
      <c r="CIN59"/>
      <c r="CIO59"/>
      <c r="CIP59"/>
      <c r="CIQ59"/>
      <c r="CIR59"/>
      <c r="CIS59"/>
      <c r="CIT59"/>
      <c r="CIU59"/>
      <c r="CIV59"/>
      <c r="CIW59"/>
      <c r="CIX59"/>
      <c r="CIY59"/>
      <c r="CIZ59"/>
      <c r="CJA59"/>
      <c r="CJB59"/>
      <c r="CJC59"/>
      <c r="CJD59"/>
      <c r="CJE59"/>
      <c r="CJF59"/>
      <c r="CJG59"/>
      <c r="CJH59"/>
      <c r="CJI59"/>
      <c r="CJJ59"/>
      <c r="CJK59"/>
      <c r="CJL59"/>
      <c r="CJM59"/>
      <c r="CJN59"/>
      <c r="CJO59"/>
      <c r="CJP59"/>
      <c r="CJQ59"/>
      <c r="CJR59"/>
      <c r="CJS59"/>
      <c r="CJT59"/>
      <c r="CJU59"/>
      <c r="CJV59"/>
      <c r="CJW59"/>
      <c r="CJX59"/>
      <c r="CJY59"/>
      <c r="CJZ59"/>
      <c r="CKA59"/>
      <c r="CKB59"/>
      <c r="CKC59"/>
      <c r="CKD59"/>
      <c r="CKE59"/>
      <c r="CKF59"/>
      <c r="CKG59"/>
      <c r="CKH59"/>
      <c r="CKI59"/>
      <c r="CKJ59"/>
      <c r="CKK59"/>
      <c r="CKL59"/>
      <c r="CKM59"/>
      <c r="CKN59"/>
      <c r="CKO59"/>
      <c r="CKP59"/>
      <c r="CKQ59"/>
      <c r="CKR59"/>
      <c r="CKS59"/>
      <c r="CKT59"/>
      <c r="CKU59"/>
      <c r="CKV59"/>
      <c r="CKW59"/>
      <c r="CKX59"/>
      <c r="CKY59"/>
      <c r="CKZ59"/>
      <c r="CLA59"/>
      <c r="CLB59"/>
      <c r="CLC59"/>
      <c r="CLD59"/>
      <c r="CLE59"/>
      <c r="CLF59"/>
      <c r="CLG59"/>
      <c r="CLH59"/>
      <c r="CLI59"/>
      <c r="CLJ59"/>
      <c r="CLK59"/>
      <c r="CLL59"/>
      <c r="CLM59"/>
      <c r="CLN59"/>
      <c r="CLO59"/>
      <c r="CLP59"/>
      <c r="CLQ59"/>
      <c r="CLR59"/>
      <c r="CLS59"/>
      <c r="CLT59"/>
      <c r="CLU59"/>
      <c r="CLV59"/>
      <c r="CLW59"/>
      <c r="CLX59"/>
      <c r="CLY59"/>
      <c r="CLZ59"/>
      <c r="CMA59"/>
      <c r="CMB59"/>
      <c r="CMC59"/>
      <c r="CMD59"/>
      <c r="CME59"/>
      <c r="CMF59"/>
      <c r="CMG59"/>
      <c r="CMH59"/>
      <c r="CMI59"/>
      <c r="CMJ59"/>
      <c r="CMK59"/>
      <c r="CML59"/>
      <c r="CMM59"/>
      <c r="CMN59"/>
      <c r="CMO59"/>
      <c r="CMP59"/>
      <c r="CMQ59"/>
      <c r="CMR59"/>
      <c r="CMS59"/>
      <c r="CMT59"/>
      <c r="CMU59"/>
      <c r="CMV59"/>
      <c r="CMW59"/>
      <c r="CMX59"/>
      <c r="CMY59"/>
      <c r="CMZ59"/>
      <c r="CNA59"/>
      <c r="CNB59"/>
      <c r="CNC59"/>
      <c r="CND59"/>
      <c r="CNE59"/>
      <c r="CNF59"/>
      <c r="CNG59"/>
      <c r="CNH59"/>
      <c r="CNI59"/>
      <c r="CNJ59"/>
      <c r="CNK59"/>
      <c r="CNL59"/>
      <c r="CNM59"/>
      <c r="CNN59"/>
      <c r="CNO59"/>
      <c r="CNP59"/>
      <c r="CNQ59"/>
      <c r="CNR59"/>
      <c r="CNS59"/>
      <c r="CNT59"/>
      <c r="CNU59"/>
      <c r="CNV59"/>
      <c r="CNW59"/>
      <c r="CNX59"/>
      <c r="CNY59"/>
      <c r="CNZ59"/>
      <c r="COA59"/>
      <c r="COB59"/>
      <c r="COC59"/>
      <c r="COD59"/>
      <c r="COE59"/>
      <c r="COF59"/>
      <c r="COG59"/>
      <c r="COH59"/>
      <c r="COI59"/>
      <c r="COJ59"/>
      <c r="COK59"/>
      <c r="COL59"/>
      <c r="COM59"/>
      <c r="CON59"/>
      <c r="COO59"/>
      <c r="COP59"/>
      <c r="COQ59"/>
      <c r="COR59"/>
      <c r="COS59"/>
      <c r="COT59"/>
      <c r="COU59"/>
      <c r="COV59"/>
      <c r="COW59"/>
      <c r="COX59"/>
      <c r="COY59"/>
      <c r="COZ59"/>
      <c r="CPA59"/>
      <c r="CPB59"/>
      <c r="CPC59"/>
      <c r="CPD59"/>
      <c r="CPE59"/>
      <c r="CPF59"/>
      <c r="CPG59"/>
      <c r="CPH59"/>
      <c r="CPI59"/>
      <c r="CPJ59"/>
      <c r="CPK59"/>
      <c r="CPL59"/>
      <c r="CPM59"/>
      <c r="CPN59"/>
      <c r="CPO59"/>
      <c r="CPP59"/>
      <c r="CPQ59"/>
      <c r="CPR59"/>
      <c r="CPS59"/>
      <c r="CPT59"/>
      <c r="CPU59"/>
      <c r="CPV59"/>
      <c r="CPW59"/>
      <c r="CPX59"/>
      <c r="CPY59"/>
      <c r="CPZ59"/>
      <c r="CQA59"/>
      <c r="CQB59"/>
      <c r="CQC59"/>
      <c r="CQD59"/>
      <c r="CQE59"/>
      <c r="CQF59"/>
      <c r="CQG59"/>
      <c r="CQH59"/>
      <c r="CQI59"/>
      <c r="CQJ59"/>
      <c r="CQK59"/>
      <c r="CQL59"/>
      <c r="CQM59"/>
      <c r="CQN59"/>
      <c r="CQO59"/>
      <c r="CQP59"/>
      <c r="CQQ59"/>
      <c r="CQR59"/>
      <c r="CQS59"/>
      <c r="CQT59"/>
      <c r="CQU59"/>
      <c r="CQV59"/>
      <c r="CQW59"/>
      <c r="CQX59"/>
      <c r="CQY59"/>
      <c r="CQZ59"/>
      <c r="CRA59"/>
      <c r="CRB59"/>
      <c r="CRC59"/>
      <c r="CRD59"/>
      <c r="CRE59"/>
      <c r="CRF59"/>
      <c r="CRG59"/>
      <c r="CRH59"/>
      <c r="CRI59"/>
      <c r="CRJ59"/>
      <c r="CRK59"/>
      <c r="CRL59"/>
      <c r="CRM59"/>
      <c r="CRN59"/>
      <c r="CRO59"/>
      <c r="CRP59"/>
      <c r="CRQ59"/>
      <c r="CRR59"/>
      <c r="CRS59"/>
      <c r="CRT59"/>
      <c r="CRU59"/>
      <c r="CRV59"/>
      <c r="CRW59"/>
      <c r="CRX59"/>
      <c r="CRY59"/>
      <c r="CRZ59"/>
      <c r="CSA59"/>
      <c r="CSB59"/>
      <c r="CSC59"/>
      <c r="CSD59"/>
      <c r="CSE59"/>
      <c r="CSF59"/>
      <c r="CSG59"/>
      <c r="CSH59"/>
      <c r="CSI59"/>
      <c r="CSJ59"/>
      <c r="CSK59"/>
      <c r="CSL59"/>
      <c r="CSM59"/>
      <c r="CSN59"/>
      <c r="CSO59"/>
      <c r="CSP59"/>
      <c r="CSQ59"/>
      <c r="CSR59"/>
      <c r="CSS59"/>
      <c r="CST59"/>
      <c r="CSU59"/>
      <c r="CSV59"/>
      <c r="CSW59"/>
      <c r="CSX59"/>
      <c r="CSY59"/>
      <c r="CSZ59"/>
      <c r="CTA59"/>
      <c r="CTB59"/>
      <c r="CTC59"/>
      <c r="CTD59"/>
      <c r="CTE59"/>
      <c r="CTF59"/>
      <c r="CTG59"/>
      <c r="CTH59"/>
      <c r="CTI59"/>
      <c r="CTJ59"/>
      <c r="CTK59"/>
      <c r="CTL59"/>
      <c r="CTM59"/>
      <c r="CTN59"/>
      <c r="CTO59"/>
      <c r="CTP59"/>
      <c r="CTQ59"/>
      <c r="CTR59"/>
      <c r="CTS59"/>
      <c r="CTT59"/>
      <c r="CTU59"/>
      <c r="CTV59"/>
      <c r="CTW59"/>
      <c r="CTX59"/>
      <c r="CTY59"/>
      <c r="CTZ59"/>
      <c r="CUA59"/>
      <c r="CUB59"/>
      <c r="CUC59"/>
      <c r="CUD59"/>
      <c r="CUE59"/>
      <c r="CUF59"/>
      <c r="CUG59"/>
      <c r="CUH59"/>
      <c r="CUI59"/>
      <c r="CUJ59"/>
      <c r="CUK59"/>
      <c r="CUL59"/>
      <c r="CUM59"/>
      <c r="CUN59"/>
      <c r="CUO59"/>
      <c r="CUP59"/>
      <c r="CUQ59"/>
      <c r="CUR59"/>
      <c r="CUS59"/>
      <c r="CUT59"/>
      <c r="CUU59"/>
      <c r="CUV59"/>
      <c r="CUW59"/>
      <c r="CUX59"/>
      <c r="CUY59"/>
      <c r="CUZ59"/>
      <c r="CVA59"/>
      <c r="CVB59"/>
      <c r="CVC59"/>
      <c r="CVD59"/>
      <c r="CVE59"/>
      <c r="CVF59"/>
      <c r="CVG59"/>
      <c r="CVH59"/>
      <c r="CVI59"/>
      <c r="CVJ59"/>
      <c r="CVK59"/>
      <c r="CVL59"/>
      <c r="CVM59"/>
      <c r="CVN59"/>
      <c r="CVO59"/>
      <c r="CVP59"/>
      <c r="CVQ59"/>
      <c r="CVR59"/>
      <c r="CVS59"/>
      <c r="CVT59"/>
      <c r="CVU59"/>
      <c r="CVV59"/>
      <c r="CVW59"/>
      <c r="CVX59"/>
      <c r="CVY59"/>
      <c r="CVZ59"/>
      <c r="CWA59"/>
      <c r="CWB59"/>
      <c r="CWC59"/>
      <c r="CWD59"/>
      <c r="CWE59"/>
      <c r="CWF59"/>
      <c r="CWG59"/>
      <c r="CWH59"/>
      <c r="CWI59"/>
      <c r="CWJ59"/>
      <c r="CWK59"/>
      <c r="CWL59"/>
      <c r="CWM59"/>
      <c r="CWN59"/>
      <c r="CWO59"/>
      <c r="CWP59"/>
      <c r="CWQ59"/>
      <c r="CWR59"/>
      <c r="CWS59"/>
      <c r="CWT59"/>
      <c r="CWU59"/>
      <c r="CWV59"/>
      <c r="CWW59"/>
      <c r="CWX59"/>
      <c r="CWY59"/>
      <c r="CWZ59"/>
      <c r="CXA59"/>
      <c r="CXB59"/>
      <c r="CXC59"/>
      <c r="CXD59"/>
      <c r="CXE59"/>
      <c r="CXF59"/>
      <c r="CXG59"/>
      <c r="CXH59"/>
      <c r="CXI59"/>
      <c r="CXJ59"/>
      <c r="CXK59"/>
      <c r="CXL59"/>
      <c r="CXM59"/>
      <c r="CXN59"/>
      <c r="CXO59"/>
      <c r="CXP59"/>
      <c r="CXQ59"/>
      <c r="CXR59"/>
      <c r="CXS59"/>
      <c r="CXT59"/>
      <c r="CXU59"/>
      <c r="CXV59"/>
      <c r="CXW59"/>
      <c r="CXX59"/>
      <c r="CXY59"/>
      <c r="CXZ59"/>
      <c r="CYA59"/>
      <c r="CYB59"/>
      <c r="CYC59"/>
      <c r="CYD59"/>
      <c r="CYE59"/>
      <c r="CYF59"/>
      <c r="CYG59"/>
      <c r="CYH59"/>
      <c r="CYI59"/>
      <c r="CYJ59"/>
      <c r="CYK59"/>
      <c r="CYL59"/>
      <c r="CYM59"/>
      <c r="CYN59"/>
      <c r="CYO59"/>
      <c r="CYP59"/>
      <c r="CYQ59"/>
      <c r="CYR59"/>
      <c r="CYS59"/>
      <c r="CYT59"/>
      <c r="CYU59"/>
      <c r="CYV59"/>
      <c r="CYW59"/>
      <c r="CYX59"/>
      <c r="CYY59"/>
      <c r="CYZ59"/>
      <c r="CZA59"/>
      <c r="CZB59"/>
      <c r="CZC59"/>
      <c r="CZD59"/>
      <c r="CZE59"/>
      <c r="CZF59"/>
      <c r="CZG59"/>
      <c r="CZH59"/>
      <c r="CZI59"/>
      <c r="CZJ59"/>
      <c r="CZK59"/>
      <c r="CZL59"/>
      <c r="CZM59"/>
      <c r="CZN59"/>
      <c r="CZO59"/>
      <c r="CZP59"/>
      <c r="CZQ59"/>
      <c r="CZR59"/>
      <c r="CZS59"/>
      <c r="CZT59"/>
      <c r="CZU59"/>
      <c r="CZV59"/>
      <c r="CZW59"/>
      <c r="CZX59"/>
      <c r="CZY59"/>
      <c r="CZZ59"/>
      <c r="DAA59"/>
      <c r="DAB59"/>
      <c r="DAC59"/>
      <c r="DAD59"/>
      <c r="DAE59"/>
      <c r="DAF59"/>
      <c r="DAG59"/>
      <c r="DAH59"/>
      <c r="DAI59"/>
      <c r="DAJ59"/>
      <c r="DAK59"/>
      <c r="DAL59"/>
      <c r="DAM59"/>
      <c r="DAN59"/>
      <c r="DAO59"/>
      <c r="DAP59"/>
      <c r="DAQ59"/>
      <c r="DAR59"/>
      <c r="DAS59"/>
      <c r="DAT59"/>
      <c r="DAU59"/>
      <c r="DAV59"/>
      <c r="DAW59"/>
      <c r="DAX59"/>
      <c r="DAY59"/>
      <c r="DAZ59"/>
      <c r="DBA59"/>
      <c r="DBB59"/>
      <c r="DBC59"/>
      <c r="DBD59"/>
      <c r="DBE59"/>
      <c r="DBF59"/>
      <c r="DBG59"/>
      <c r="DBH59"/>
      <c r="DBI59"/>
      <c r="DBJ59"/>
      <c r="DBK59"/>
      <c r="DBL59"/>
      <c r="DBM59"/>
      <c r="DBN59"/>
      <c r="DBO59"/>
      <c r="DBP59"/>
      <c r="DBQ59"/>
      <c r="DBR59"/>
      <c r="DBS59"/>
      <c r="DBT59"/>
      <c r="DBU59"/>
      <c r="DBV59"/>
      <c r="DBW59"/>
      <c r="DBX59"/>
      <c r="DBY59"/>
      <c r="DBZ59"/>
      <c r="DCA59"/>
      <c r="DCB59"/>
      <c r="DCC59"/>
      <c r="DCD59"/>
      <c r="DCE59"/>
      <c r="DCF59"/>
      <c r="DCG59"/>
      <c r="DCH59"/>
      <c r="DCI59"/>
      <c r="DCJ59"/>
      <c r="DCK59"/>
      <c r="DCL59"/>
      <c r="DCM59"/>
      <c r="DCN59"/>
      <c r="DCO59"/>
      <c r="DCP59"/>
      <c r="DCQ59"/>
      <c r="DCR59"/>
      <c r="DCS59"/>
      <c r="DCT59"/>
      <c r="DCU59"/>
      <c r="DCV59"/>
      <c r="DCW59"/>
      <c r="DCX59"/>
      <c r="DCY59"/>
      <c r="DCZ59"/>
      <c r="DDA59"/>
      <c r="DDB59"/>
      <c r="DDC59"/>
      <c r="DDD59"/>
      <c r="DDE59"/>
      <c r="DDF59"/>
      <c r="DDG59"/>
      <c r="DDH59"/>
      <c r="DDI59"/>
      <c r="DDJ59"/>
      <c r="DDK59"/>
      <c r="DDL59"/>
      <c r="DDM59"/>
      <c r="DDN59"/>
      <c r="DDO59"/>
      <c r="DDP59"/>
      <c r="DDQ59"/>
      <c r="DDR59"/>
      <c r="DDS59"/>
      <c r="DDT59"/>
      <c r="DDU59"/>
      <c r="DDV59"/>
      <c r="DDW59"/>
      <c r="DDX59"/>
      <c r="DDY59"/>
      <c r="DDZ59"/>
      <c r="DEA59"/>
      <c r="DEB59"/>
      <c r="DEC59"/>
      <c r="DED59"/>
      <c r="DEE59"/>
      <c r="DEF59"/>
      <c r="DEG59"/>
      <c r="DEH59"/>
      <c r="DEI59"/>
      <c r="DEJ59"/>
      <c r="DEK59"/>
      <c r="DEL59"/>
      <c r="DEM59"/>
      <c r="DEN59"/>
      <c r="DEO59"/>
      <c r="DEP59"/>
      <c r="DEQ59"/>
      <c r="DER59"/>
      <c r="DES59"/>
      <c r="DET59"/>
      <c r="DEU59"/>
      <c r="DEV59"/>
      <c r="DEW59"/>
      <c r="DEX59"/>
      <c r="DEY59"/>
      <c r="DEZ59"/>
      <c r="DFA59"/>
      <c r="DFB59"/>
      <c r="DFC59"/>
      <c r="DFD59"/>
      <c r="DFE59"/>
      <c r="DFF59"/>
      <c r="DFG59"/>
      <c r="DFH59"/>
      <c r="DFI59"/>
      <c r="DFJ59"/>
      <c r="DFK59"/>
      <c r="DFL59"/>
      <c r="DFM59"/>
      <c r="DFN59"/>
      <c r="DFO59"/>
      <c r="DFP59"/>
      <c r="DFQ59"/>
      <c r="DFR59"/>
      <c r="DFS59"/>
      <c r="DFT59"/>
      <c r="DFU59"/>
      <c r="DFV59"/>
      <c r="DFW59"/>
      <c r="DFX59"/>
      <c r="DFY59"/>
      <c r="DFZ59"/>
      <c r="DGA59"/>
      <c r="DGB59"/>
      <c r="DGC59"/>
      <c r="DGD59"/>
      <c r="DGE59"/>
      <c r="DGF59"/>
      <c r="DGG59"/>
      <c r="DGH59"/>
      <c r="DGI59"/>
      <c r="DGJ59"/>
      <c r="DGK59"/>
      <c r="DGL59"/>
      <c r="DGM59"/>
      <c r="DGN59"/>
      <c r="DGO59"/>
      <c r="DGP59"/>
      <c r="DGQ59"/>
      <c r="DGR59"/>
      <c r="DGS59"/>
      <c r="DGT59"/>
      <c r="DGU59"/>
      <c r="DGV59"/>
      <c r="DGW59"/>
      <c r="DGX59"/>
      <c r="DGY59"/>
      <c r="DGZ59"/>
      <c r="DHA59"/>
      <c r="DHB59"/>
      <c r="DHC59"/>
      <c r="DHD59"/>
      <c r="DHE59"/>
      <c r="DHF59"/>
      <c r="DHG59"/>
      <c r="DHH59"/>
      <c r="DHI59"/>
      <c r="DHJ59"/>
      <c r="DHK59"/>
      <c r="DHL59"/>
      <c r="DHM59"/>
      <c r="DHN59"/>
      <c r="DHO59"/>
      <c r="DHP59"/>
      <c r="DHQ59"/>
      <c r="DHR59"/>
      <c r="DHS59"/>
      <c r="DHT59"/>
      <c r="DHU59"/>
      <c r="DHV59"/>
      <c r="DHW59"/>
      <c r="DHX59"/>
      <c r="DHY59"/>
      <c r="DHZ59"/>
      <c r="DIA59"/>
      <c r="DIB59"/>
      <c r="DIC59"/>
      <c r="DID59"/>
      <c r="DIE59"/>
      <c r="DIF59"/>
      <c r="DIG59"/>
      <c r="DIH59"/>
      <c r="DII59"/>
      <c r="DIJ59"/>
      <c r="DIK59"/>
      <c r="DIL59"/>
      <c r="DIM59"/>
      <c r="DIN59"/>
      <c r="DIO59"/>
      <c r="DIP59"/>
      <c r="DIQ59"/>
      <c r="DIR59"/>
      <c r="DIS59"/>
      <c r="DIT59"/>
      <c r="DIU59"/>
      <c r="DIV59"/>
      <c r="DIW59"/>
      <c r="DIX59"/>
      <c r="DIY59"/>
      <c r="DIZ59"/>
      <c r="DJA59"/>
      <c r="DJB59"/>
      <c r="DJC59"/>
      <c r="DJD59"/>
      <c r="DJE59"/>
      <c r="DJF59"/>
      <c r="DJG59"/>
      <c r="DJH59"/>
      <c r="DJI59"/>
      <c r="DJJ59"/>
      <c r="DJK59"/>
      <c r="DJL59"/>
      <c r="DJM59"/>
      <c r="DJN59"/>
      <c r="DJO59"/>
      <c r="DJP59"/>
      <c r="DJQ59"/>
      <c r="DJR59"/>
      <c r="DJS59"/>
      <c r="DJT59"/>
      <c r="DJU59"/>
      <c r="DJV59"/>
      <c r="DJW59"/>
      <c r="DJX59"/>
      <c r="DJY59"/>
      <c r="DJZ59"/>
      <c r="DKA59"/>
      <c r="DKB59"/>
      <c r="DKC59"/>
      <c r="DKD59"/>
      <c r="DKE59"/>
      <c r="DKF59"/>
      <c r="DKG59"/>
      <c r="DKH59"/>
      <c r="DKI59"/>
      <c r="DKJ59"/>
      <c r="DKK59"/>
      <c r="DKL59"/>
      <c r="DKM59"/>
      <c r="DKN59"/>
      <c r="DKO59"/>
      <c r="DKP59"/>
      <c r="DKQ59"/>
      <c r="DKR59"/>
      <c r="DKS59"/>
      <c r="DKT59"/>
      <c r="DKU59"/>
      <c r="DKV59"/>
      <c r="DKW59"/>
      <c r="DKX59"/>
      <c r="DKY59"/>
      <c r="DKZ59"/>
      <c r="DLA59"/>
      <c r="DLB59"/>
      <c r="DLC59"/>
      <c r="DLD59"/>
      <c r="DLE59"/>
      <c r="DLF59"/>
      <c r="DLG59"/>
      <c r="DLH59"/>
      <c r="DLI59"/>
      <c r="DLJ59"/>
      <c r="DLK59"/>
      <c r="DLL59"/>
      <c r="DLM59"/>
      <c r="DLN59"/>
      <c r="DLO59"/>
      <c r="DLP59"/>
      <c r="DLQ59"/>
      <c r="DLR59"/>
      <c r="DLS59"/>
      <c r="DLT59"/>
      <c r="DLU59"/>
      <c r="DLV59"/>
      <c r="DLW59"/>
      <c r="DLX59"/>
      <c r="DLY59"/>
      <c r="DLZ59"/>
      <c r="DMA59"/>
      <c r="DMB59"/>
      <c r="DMC59"/>
      <c r="DMD59"/>
      <c r="DME59"/>
      <c r="DMF59"/>
      <c r="DMG59"/>
      <c r="DMH59"/>
      <c r="DMI59"/>
      <c r="DMJ59"/>
      <c r="DMK59"/>
      <c r="DML59"/>
      <c r="DMM59"/>
      <c r="DMN59"/>
      <c r="DMO59"/>
      <c r="DMP59"/>
      <c r="DMQ59"/>
      <c r="DMR59"/>
      <c r="DMS59"/>
      <c r="DMT59"/>
      <c r="DMU59"/>
      <c r="DMV59"/>
      <c r="DMW59"/>
      <c r="DMX59"/>
      <c r="DMY59"/>
      <c r="DMZ59"/>
      <c r="DNA59"/>
      <c r="DNB59"/>
      <c r="DNC59"/>
      <c r="DND59"/>
      <c r="DNE59"/>
      <c r="DNF59"/>
      <c r="DNG59"/>
      <c r="DNH59"/>
      <c r="DNI59"/>
      <c r="DNJ59"/>
      <c r="DNK59"/>
      <c r="DNL59"/>
      <c r="DNM59"/>
      <c r="DNN59"/>
      <c r="DNO59"/>
      <c r="DNP59"/>
      <c r="DNQ59"/>
      <c r="DNR59"/>
      <c r="DNS59"/>
      <c r="DNT59"/>
      <c r="DNU59"/>
      <c r="DNV59"/>
      <c r="DNW59"/>
      <c r="DNX59"/>
      <c r="DNY59"/>
      <c r="DNZ59"/>
      <c r="DOA59"/>
      <c r="DOB59"/>
      <c r="DOC59"/>
      <c r="DOD59"/>
      <c r="DOE59"/>
      <c r="DOF59"/>
      <c r="DOG59"/>
      <c r="DOH59"/>
      <c r="DOI59"/>
      <c r="DOJ59"/>
      <c r="DOK59"/>
      <c r="DOL59"/>
      <c r="DOM59"/>
      <c r="DON59"/>
      <c r="DOO59"/>
      <c r="DOP59"/>
      <c r="DOQ59"/>
      <c r="DOR59"/>
      <c r="DOS59"/>
      <c r="DOT59"/>
      <c r="DOU59"/>
      <c r="DOV59"/>
      <c r="DOW59"/>
      <c r="DOX59"/>
      <c r="DOY59"/>
      <c r="DOZ59"/>
      <c r="DPA59"/>
      <c r="DPB59"/>
      <c r="DPC59"/>
      <c r="DPD59"/>
      <c r="DPE59"/>
      <c r="DPF59"/>
      <c r="DPG59"/>
      <c r="DPH59"/>
      <c r="DPI59"/>
      <c r="DPJ59"/>
      <c r="DPK59"/>
      <c r="DPL59"/>
      <c r="DPM59"/>
      <c r="DPN59"/>
      <c r="DPO59"/>
      <c r="DPP59"/>
      <c r="DPQ59"/>
      <c r="DPR59"/>
      <c r="DPS59"/>
      <c r="DPT59"/>
      <c r="DPU59"/>
      <c r="DPV59"/>
      <c r="DPW59"/>
      <c r="DPX59"/>
      <c r="DPY59"/>
      <c r="DPZ59"/>
      <c r="DQA59"/>
      <c r="DQB59"/>
      <c r="DQC59"/>
      <c r="DQD59"/>
      <c r="DQE59"/>
      <c r="DQF59"/>
      <c r="DQG59"/>
      <c r="DQH59"/>
      <c r="DQI59"/>
      <c r="DQJ59"/>
      <c r="DQK59"/>
      <c r="DQL59"/>
      <c r="DQM59"/>
      <c r="DQN59"/>
      <c r="DQO59"/>
      <c r="DQP59"/>
      <c r="DQQ59"/>
      <c r="DQR59"/>
      <c r="DQS59"/>
      <c r="DQT59"/>
      <c r="DQU59"/>
      <c r="DQV59"/>
      <c r="DQW59"/>
      <c r="DQX59"/>
      <c r="DQY59"/>
      <c r="DQZ59"/>
      <c r="DRA59"/>
      <c r="DRB59"/>
      <c r="DRC59"/>
      <c r="DRD59"/>
      <c r="DRE59"/>
      <c r="DRF59"/>
      <c r="DRG59"/>
      <c r="DRH59"/>
      <c r="DRI59"/>
      <c r="DRJ59"/>
      <c r="DRK59"/>
      <c r="DRL59"/>
      <c r="DRM59"/>
      <c r="DRN59"/>
      <c r="DRO59"/>
      <c r="DRP59"/>
      <c r="DRQ59"/>
      <c r="DRR59"/>
      <c r="DRS59"/>
      <c r="DRT59"/>
      <c r="DRU59"/>
      <c r="DRV59"/>
      <c r="DRW59"/>
      <c r="DRX59"/>
      <c r="DRY59"/>
      <c r="DRZ59"/>
      <c r="DSA59"/>
      <c r="DSB59"/>
      <c r="DSC59"/>
      <c r="DSD59"/>
      <c r="DSE59"/>
      <c r="DSF59"/>
      <c r="DSG59"/>
      <c r="DSH59"/>
      <c r="DSI59"/>
      <c r="DSJ59"/>
      <c r="DSK59"/>
      <c r="DSL59"/>
      <c r="DSM59"/>
      <c r="DSN59"/>
      <c r="DSO59"/>
      <c r="DSP59"/>
      <c r="DSQ59"/>
      <c r="DSR59"/>
      <c r="DSS59"/>
      <c r="DST59"/>
      <c r="DSU59"/>
      <c r="DSV59"/>
      <c r="DSW59"/>
      <c r="DSX59"/>
      <c r="DSY59"/>
      <c r="DSZ59"/>
      <c r="DTA59"/>
      <c r="DTB59"/>
      <c r="DTC59"/>
      <c r="DTD59"/>
      <c r="DTE59"/>
      <c r="DTF59"/>
      <c r="DTG59"/>
      <c r="DTH59"/>
      <c r="DTI59"/>
      <c r="DTJ59"/>
      <c r="DTK59"/>
      <c r="DTL59"/>
      <c r="DTM59"/>
      <c r="DTN59"/>
      <c r="DTO59"/>
      <c r="DTP59"/>
      <c r="DTQ59"/>
      <c r="DTR59"/>
      <c r="DTS59"/>
      <c r="DTT59"/>
      <c r="DTU59"/>
      <c r="DTV59"/>
      <c r="DTW59"/>
      <c r="DTX59"/>
      <c r="DTY59"/>
      <c r="DTZ59"/>
      <c r="DUA59"/>
      <c r="DUB59"/>
      <c r="DUC59"/>
      <c r="DUD59"/>
      <c r="DUE59"/>
      <c r="DUF59"/>
      <c r="DUG59"/>
      <c r="DUH59"/>
      <c r="DUI59"/>
      <c r="DUJ59"/>
      <c r="DUK59"/>
      <c r="DUL59"/>
      <c r="DUM59"/>
      <c r="DUN59"/>
      <c r="DUO59"/>
      <c r="DUP59"/>
      <c r="DUQ59"/>
      <c r="DUR59"/>
      <c r="DUS59"/>
      <c r="DUT59"/>
      <c r="DUU59"/>
      <c r="DUV59"/>
      <c r="DUW59"/>
      <c r="DUX59"/>
      <c r="DUY59"/>
      <c r="DUZ59"/>
      <c r="DVA59"/>
      <c r="DVB59"/>
      <c r="DVC59"/>
      <c r="DVD59"/>
      <c r="DVE59"/>
      <c r="DVF59"/>
      <c r="DVG59"/>
      <c r="DVH59"/>
      <c r="DVI59"/>
      <c r="DVJ59"/>
      <c r="DVK59"/>
      <c r="DVL59"/>
      <c r="DVM59"/>
      <c r="DVN59"/>
      <c r="DVO59"/>
      <c r="DVP59"/>
      <c r="DVQ59"/>
      <c r="DVR59"/>
      <c r="DVS59"/>
      <c r="DVT59"/>
      <c r="DVU59"/>
      <c r="DVV59"/>
      <c r="DVW59"/>
      <c r="DVX59"/>
      <c r="DVY59"/>
      <c r="DVZ59"/>
      <c r="DWA59"/>
      <c r="DWB59"/>
      <c r="DWC59"/>
      <c r="DWD59"/>
      <c r="DWE59"/>
      <c r="DWF59"/>
      <c r="DWG59"/>
      <c r="DWH59"/>
      <c r="DWI59"/>
      <c r="DWJ59"/>
      <c r="DWK59"/>
      <c r="DWL59"/>
      <c r="DWM59"/>
      <c r="DWN59"/>
      <c r="DWO59"/>
      <c r="DWP59"/>
      <c r="DWQ59"/>
      <c r="DWR59"/>
      <c r="DWS59"/>
      <c r="DWT59"/>
      <c r="DWU59"/>
      <c r="DWV59"/>
      <c r="DWW59"/>
      <c r="DWX59"/>
      <c r="DWY59"/>
      <c r="DWZ59"/>
      <c r="DXA59"/>
      <c r="DXB59"/>
      <c r="DXC59"/>
      <c r="DXD59"/>
      <c r="DXE59"/>
      <c r="DXF59"/>
      <c r="DXG59"/>
      <c r="DXH59"/>
      <c r="DXI59"/>
      <c r="DXJ59"/>
      <c r="DXK59"/>
      <c r="DXL59"/>
      <c r="DXM59"/>
      <c r="DXN59"/>
      <c r="DXO59"/>
      <c r="DXP59"/>
      <c r="DXQ59"/>
      <c r="DXR59"/>
      <c r="DXS59"/>
      <c r="DXT59"/>
      <c r="DXU59"/>
      <c r="DXV59"/>
      <c r="DXW59"/>
      <c r="DXX59"/>
      <c r="DXY59"/>
      <c r="DXZ59"/>
      <c r="DYA59"/>
      <c r="DYB59"/>
      <c r="DYC59"/>
      <c r="DYD59"/>
      <c r="DYE59"/>
      <c r="DYF59"/>
      <c r="DYG59"/>
      <c r="DYH59"/>
      <c r="DYI59"/>
      <c r="DYJ59"/>
      <c r="DYK59"/>
      <c r="DYL59"/>
      <c r="DYM59"/>
      <c r="DYN59"/>
      <c r="DYO59"/>
      <c r="DYP59"/>
      <c r="DYQ59"/>
      <c r="DYR59"/>
      <c r="DYS59"/>
      <c r="DYT59"/>
      <c r="DYU59"/>
      <c r="DYV59"/>
      <c r="DYW59"/>
      <c r="DYX59"/>
      <c r="DYY59"/>
      <c r="DYZ59"/>
      <c r="DZA59"/>
      <c r="DZB59"/>
      <c r="DZC59"/>
      <c r="DZD59"/>
      <c r="DZE59"/>
      <c r="DZF59"/>
      <c r="DZG59"/>
      <c r="DZH59"/>
      <c r="DZI59"/>
      <c r="DZJ59"/>
      <c r="DZK59"/>
      <c r="DZL59"/>
      <c r="DZM59"/>
      <c r="DZN59"/>
      <c r="DZO59"/>
      <c r="DZP59"/>
      <c r="DZQ59"/>
      <c r="DZR59"/>
      <c r="DZS59"/>
      <c r="DZT59"/>
      <c r="DZU59"/>
      <c r="DZV59"/>
      <c r="DZW59"/>
      <c r="DZX59"/>
      <c r="DZY59"/>
      <c r="DZZ59"/>
      <c r="EAA59"/>
      <c r="EAB59"/>
      <c r="EAC59"/>
      <c r="EAD59"/>
      <c r="EAE59"/>
      <c r="EAF59"/>
      <c r="EAG59"/>
      <c r="EAH59"/>
      <c r="EAI59"/>
      <c r="EAJ59"/>
      <c r="EAK59"/>
      <c r="EAL59"/>
      <c r="EAM59"/>
      <c r="EAN59"/>
      <c r="EAO59"/>
      <c r="EAP59"/>
      <c r="EAQ59"/>
      <c r="EAR59"/>
      <c r="EAS59"/>
      <c r="EAT59"/>
      <c r="EAU59"/>
      <c r="EAV59"/>
      <c r="EAW59"/>
      <c r="EAX59"/>
      <c r="EAY59"/>
      <c r="EAZ59"/>
      <c r="EBA59"/>
      <c r="EBB59"/>
      <c r="EBC59"/>
      <c r="EBD59"/>
      <c r="EBE59"/>
      <c r="EBF59"/>
      <c r="EBG59"/>
      <c r="EBH59"/>
      <c r="EBI59"/>
      <c r="EBJ59"/>
      <c r="EBK59"/>
      <c r="EBL59"/>
      <c r="EBM59"/>
      <c r="EBN59"/>
      <c r="EBO59"/>
      <c r="EBP59"/>
      <c r="EBQ59"/>
      <c r="EBR59"/>
      <c r="EBS59"/>
      <c r="EBT59"/>
      <c r="EBU59"/>
      <c r="EBV59"/>
      <c r="EBW59"/>
      <c r="EBX59"/>
      <c r="EBY59"/>
      <c r="EBZ59"/>
      <c r="ECA59"/>
      <c r="ECB59"/>
      <c r="ECC59"/>
      <c r="ECD59"/>
      <c r="ECE59"/>
      <c r="ECF59"/>
      <c r="ECG59"/>
      <c r="ECH59"/>
      <c r="ECI59"/>
      <c r="ECJ59"/>
      <c r="ECK59"/>
      <c r="ECL59"/>
      <c r="ECM59"/>
      <c r="ECN59"/>
      <c r="ECO59"/>
      <c r="ECP59"/>
      <c r="ECQ59"/>
      <c r="ECR59"/>
      <c r="ECS59"/>
      <c r="ECT59"/>
      <c r="ECU59"/>
      <c r="ECV59"/>
      <c r="ECW59"/>
      <c r="ECX59"/>
      <c r="ECY59"/>
      <c r="ECZ59"/>
      <c r="EDA59"/>
      <c r="EDB59"/>
      <c r="EDC59"/>
      <c r="EDD59"/>
      <c r="EDE59"/>
      <c r="EDF59"/>
      <c r="EDG59"/>
      <c r="EDH59"/>
      <c r="EDI59"/>
      <c r="EDJ59"/>
      <c r="EDK59"/>
      <c r="EDL59"/>
      <c r="EDM59"/>
      <c r="EDN59"/>
      <c r="EDO59"/>
      <c r="EDP59"/>
      <c r="EDQ59"/>
      <c r="EDR59"/>
      <c r="EDS59"/>
      <c r="EDT59"/>
      <c r="EDU59"/>
      <c r="EDV59"/>
      <c r="EDW59"/>
      <c r="EDX59"/>
      <c r="EDY59"/>
      <c r="EDZ59"/>
      <c r="EEA59"/>
      <c r="EEB59"/>
      <c r="EEC59"/>
      <c r="EED59"/>
      <c r="EEE59"/>
      <c r="EEF59"/>
      <c r="EEG59"/>
      <c r="EEH59"/>
      <c r="EEI59"/>
      <c r="EEJ59"/>
      <c r="EEK59"/>
      <c r="EEL59"/>
      <c r="EEM59"/>
      <c r="EEN59"/>
      <c r="EEO59"/>
      <c r="EEP59"/>
      <c r="EEQ59"/>
      <c r="EER59"/>
      <c r="EES59"/>
      <c r="EET59"/>
      <c r="EEU59"/>
      <c r="EEV59"/>
      <c r="EEW59"/>
      <c r="EEX59"/>
      <c r="EEY59"/>
      <c r="EEZ59"/>
      <c r="EFA59"/>
      <c r="EFB59"/>
      <c r="EFC59"/>
      <c r="EFD59"/>
      <c r="EFE59"/>
      <c r="EFF59"/>
      <c r="EFG59"/>
      <c r="EFH59"/>
      <c r="EFI59"/>
      <c r="EFJ59"/>
      <c r="EFK59"/>
      <c r="EFL59"/>
      <c r="EFM59"/>
      <c r="EFN59"/>
      <c r="EFO59"/>
      <c r="EFP59"/>
      <c r="EFQ59"/>
      <c r="EFR59"/>
      <c r="EFS59"/>
      <c r="EFT59"/>
      <c r="EFU59"/>
      <c r="EFV59"/>
      <c r="EFW59"/>
      <c r="EFX59"/>
      <c r="EFY59"/>
      <c r="EFZ59"/>
      <c r="EGA59"/>
      <c r="EGB59"/>
      <c r="EGC59"/>
      <c r="EGD59"/>
      <c r="EGE59"/>
      <c r="EGF59"/>
      <c r="EGG59"/>
      <c r="EGH59"/>
      <c r="EGI59"/>
      <c r="EGJ59"/>
      <c r="EGK59"/>
      <c r="EGL59"/>
      <c r="EGM59"/>
      <c r="EGN59"/>
      <c r="EGO59"/>
      <c r="EGP59"/>
      <c r="EGQ59"/>
      <c r="EGR59"/>
      <c r="EGS59"/>
      <c r="EGT59"/>
      <c r="EGU59"/>
      <c r="EGV59"/>
      <c r="EGW59"/>
      <c r="EGX59"/>
      <c r="EGY59"/>
      <c r="EGZ59"/>
      <c r="EHA59"/>
      <c r="EHB59"/>
      <c r="EHC59"/>
      <c r="EHD59"/>
      <c r="EHE59"/>
      <c r="EHF59"/>
      <c r="EHG59"/>
      <c r="EHH59"/>
      <c r="EHI59"/>
      <c r="EHJ59"/>
      <c r="EHK59"/>
      <c r="EHL59"/>
      <c r="EHM59"/>
      <c r="EHN59"/>
      <c r="EHO59"/>
      <c r="EHP59"/>
      <c r="EHQ59"/>
      <c r="EHR59"/>
      <c r="EHS59"/>
      <c r="EHT59"/>
      <c r="EHU59"/>
      <c r="EHV59"/>
      <c r="EHW59"/>
      <c r="EHX59"/>
      <c r="EHY59"/>
      <c r="EHZ59"/>
      <c r="EIA59"/>
      <c r="EIB59"/>
      <c r="EIC59"/>
      <c r="EID59"/>
      <c r="EIE59"/>
      <c r="EIF59"/>
      <c r="EIG59"/>
      <c r="EIH59"/>
      <c r="EII59"/>
      <c r="EIJ59"/>
      <c r="EIK59"/>
      <c r="EIL59"/>
      <c r="EIM59"/>
      <c r="EIN59"/>
      <c r="EIO59"/>
      <c r="EIP59"/>
      <c r="EIQ59"/>
      <c r="EIR59"/>
      <c r="EIS59"/>
      <c r="EIT59"/>
      <c r="EIU59"/>
      <c r="EIV59"/>
      <c r="EIW59"/>
      <c r="EIX59"/>
      <c r="EIY59"/>
      <c r="EIZ59"/>
      <c r="EJA59"/>
      <c r="EJB59"/>
      <c r="EJC59"/>
      <c r="EJD59"/>
      <c r="EJE59"/>
      <c r="EJF59"/>
      <c r="EJG59"/>
      <c r="EJH59"/>
      <c r="EJI59"/>
      <c r="EJJ59"/>
      <c r="EJK59"/>
      <c r="EJL59"/>
      <c r="EJM59"/>
      <c r="EJN59"/>
      <c r="EJO59"/>
      <c r="EJP59"/>
      <c r="EJQ59"/>
      <c r="EJR59"/>
      <c r="EJS59"/>
      <c r="EJT59"/>
      <c r="EJU59"/>
      <c r="EJV59"/>
      <c r="EJW59"/>
      <c r="EJX59"/>
      <c r="EJY59"/>
      <c r="EJZ59"/>
      <c r="EKA59"/>
      <c r="EKB59"/>
      <c r="EKC59"/>
      <c r="EKD59"/>
      <c r="EKE59"/>
      <c r="EKF59"/>
      <c r="EKG59"/>
      <c r="EKH59"/>
      <c r="EKI59"/>
      <c r="EKJ59"/>
      <c r="EKK59"/>
      <c r="EKL59"/>
      <c r="EKM59"/>
      <c r="EKN59"/>
      <c r="EKO59"/>
      <c r="EKP59"/>
      <c r="EKQ59"/>
      <c r="EKR59"/>
      <c r="EKS59"/>
      <c r="EKT59"/>
      <c r="EKU59"/>
      <c r="EKV59"/>
      <c r="EKW59"/>
      <c r="EKX59"/>
      <c r="EKY59"/>
      <c r="EKZ59"/>
      <c r="ELA59"/>
      <c r="ELB59"/>
      <c r="ELC59"/>
      <c r="ELD59"/>
      <c r="ELE59"/>
      <c r="ELF59"/>
      <c r="ELG59"/>
      <c r="ELH59"/>
      <c r="ELI59"/>
      <c r="ELJ59"/>
      <c r="ELK59"/>
      <c r="ELL59"/>
      <c r="ELM59"/>
      <c r="ELN59"/>
      <c r="ELO59"/>
      <c r="ELP59"/>
      <c r="ELQ59"/>
      <c r="ELR59"/>
      <c r="ELS59"/>
      <c r="ELT59"/>
      <c r="ELU59"/>
      <c r="ELV59"/>
      <c r="ELW59"/>
      <c r="ELX59"/>
      <c r="ELY59"/>
      <c r="ELZ59"/>
      <c r="EMA59"/>
      <c r="EMB59"/>
      <c r="EMC59"/>
      <c r="EMD59"/>
      <c r="EME59"/>
      <c r="EMF59"/>
      <c r="EMG59"/>
      <c r="EMH59"/>
      <c r="EMI59"/>
      <c r="EMJ59"/>
      <c r="EMK59"/>
      <c r="EML59"/>
      <c r="EMM59"/>
      <c r="EMN59"/>
      <c r="EMO59"/>
      <c r="EMP59"/>
      <c r="EMQ59"/>
      <c r="EMR59"/>
      <c r="EMS59"/>
      <c r="EMT59"/>
      <c r="EMU59"/>
      <c r="EMV59"/>
      <c r="EMW59"/>
      <c r="EMX59"/>
      <c r="EMY59"/>
      <c r="EMZ59"/>
      <c r="ENA59"/>
      <c r="ENB59"/>
      <c r="ENC59"/>
      <c r="END59"/>
      <c r="ENE59"/>
      <c r="ENF59"/>
      <c r="ENG59"/>
      <c r="ENH59"/>
      <c r="ENI59"/>
      <c r="ENJ59"/>
      <c r="ENK59"/>
      <c r="ENL59"/>
      <c r="ENM59"/>
      <c r="ENN59"/>
      <c r="ENO59"/>
      <c r="ENP59"/>
      <c r="ENQ59"/>
      <c r="ENR59"/>
      <c r="ENS59"/>
      <c r="ENT59"/>
      <c r="ENU59"/>
      <c r="ENV59"/>
      <c r="ENW59"/>
      <c r="ENX59"/>
      <c r="ENY59"/>
      <c r="ENZ59"/>
      <c r="EOA59"/>
      <c r="EOB59"/>
      <c r="EOC59"/>
      <c r="EOD59"/>
      <c r="EOE59"/>
      <c r="EOF59"/>
      <c r="EOG59"/>
      <c r="EOH59"/>
      <c r="EOI59"/>
      <c r="EOJ59"/>
      <c r="EOK59"/>
      <c r="EOL59"/>
      <c r="EOM59"/>
      <c r="EON59"/>
      <c r="EOO59"/>
      <c r="EOP59"/>
      <c r="EOQ59"/>
      <c r="EOR59"/>
      <c r="EOS59"/>
      <c r="EOT59"/>
      <c r="EOU59"/>
      <c r="EOV59"/>
      <c r="EOW59"/>
      <c r="EOX59"/>
      <c r="EOY59"/>
      <c r="EOZ59"/>
      <c r="EPA59"/>
      <c r="EPB59"/>
      <c r="EPC59"/>
      <c r="EPD59"/>
      <c r="EPE59"/>
      <c r="EPF59"/>
      <c r="EPG59"/>
      <c r="EPH59"/>
      <c r="EPI59"/>
      <c r="EPJ59"/>
      <c r="EPK59"/>
      <c r="EPL59"/>
      <c r="EPM59"/>
      <c r="EPN59"/>
      <c r="EPO59"/>
      <c r="EPP59"/>
      <c r="EPQ59"/>
      <c r="EPR59"/>
      <c r="EPS59"/>
      <c r="EPT59"/>
      <c r="EPU59"/>
      <c r="EPV59"/>
      <c r="EPW59"/>
      <c r="EPX59"/>
      <c r="EPY59"/>
      <c r="EPZ59"/>
      <c r="EQA59"/>
      <c r="EQB59"/>
      <c r="EQC59"/>
      <c r="EQD59"/>
      <c r="EQE59"/>
      <c r="EQF59"/>
      <c r="EQG59"/>
      <c r="EQH59"/>
      <c r="EQI59"/>
      <c r="EQJ59"/>
      <c r="EQK59"/>
      <c r="EQL59"/>
      <c r="EQM59"/>
      <c r="EQN59"/>
      <c r="EQO59"/>
      <c r="EQP59"/>
      <c r="EQQ59"/>
      <c r="EQR59"/>
      <c r="EQS59"/>
      <c r="EQT59"/>
      <c r="EQU59"/>
      <c r="EQV59"/>
      <c r="EQW59"/>
      <c r="EQX59"/>
      <c r="EQY59"/>
      <c r="EQZ59"/>
      <c r="ERA59"/>
      <c r="ERB59"/>
      <c r="ERC59"/>
      <c r="ERD59"/>
      <c r="ERE59"/>
      <c r="ERF59"/>
      <c r="ERG59"/>
      <c r="ERH59"/>
      <c r="ERI59"/>
      <c r="ERJ59"/>
      <c r="ERK59"/>
      <c r="ERL59"/>
      <c r="ERM59"/>
      <c r="ERN59"/>
      <c r="ERO59"/>
      <c r="ERP59"/>
      <c r="ERQ59"/>
      <c r="ERR59"/>
      <c r="ERS59"/>
      <c r="ERT59"/>
      <c r="ERU59"/>
      <c r="ERV59"/>
      <c r="ERW59"/>
      <c r="ERX59"/>
      <c r="ERY59"/>
      <c r="ERZ59"/>
      <c r="ESA59"/>
      <c r="ESB59"/>
      <c r="ESC59"/>
      <c r="ESD59"/>
      <c r="ESE59"/>
      <c r="ESF59"/>
      <c r="ESG59"/>
      <c r="ESH59"/>
      <c r="ESI59"/>
      <c r="ESJ59"/>
      <c r="ESK59"/>
      <c r="ESL59"/>
      <c r="ESM59"/>
      <c r="ESN59"/>
      <c r="ESO59"/>
      <c r="ESP59"/>
      <c r="ESQ59"/>
      <c r="ESR59"/>
      <c r="ESS59"/>
      <c r="EST59"/>
      <c r="ESU59"/>
      <c r="ESV59"/>
      <c r="ESW59"/>
      <c r="ESX59"/>
      <c r="ESY59"/>
      <c r="ESZ59"/>
      <c r="ETA59"/>
      <c r="ETB59"/>
      <c r="ETC59"/>
      <c r="ETD59"/>
      <c r="ETE59"/>
      <c r="ETF59"/>
      <c r="ETG59"/>
      <c r="ETH59"/>
      <c r="ETI59"/>
      <c r="ETJ59"/>
      <c r="ETK59"/>
      <c r="ETL59"/>
      <c r="ETM59"/>
      <c r="ETN59"/>
      <c r="ETO59"/>
      <c r="ETP59"/>
      <c r="ETQ59"/>
      <c r="ETR59"/>
      <c r="ETS59"/>
      <c r="ETT59"/>
      <c r="ETU59"/>
      <c r="ETV59"/>
      <c r="ETW59"/>
      <c r="ETX59"/>
      <c r="ETY59"/>
      <c r="ETZ59"/>
      <c r="EUA59"/>
      <c r="EUB59"/>
      <c r="EUC59"/>
      <c r="EUD59"/>
      <c r="EUE59"/>
      <c r="EUF59"/>
      <c r="EUG59"/>
      <c r="EUH59"/>
      <c r="EUI59"/>
      <c r="EUJ59"/>
      <c r="EUK59"/>
      <c r="EUL59"/>
      <c r="EUM59"/>
      <c r="EUN59"/>
      <c r="EUO59"/>
      <c r="EUP59"/>
      <c r="EUQ59"/>
      <c r="EUR59"/>
      <c r="EUS59"/>
      <c r="EUT59"/>
      <c r="EUU59"/>
      <c r="EUV59"/>
      <c r="EUW59"/>
      <c r="EUX59"/>
      <c r="EUY59"/>
      <c r="EUZ59"/>
      <c r="EVA59"/>
      <c r="EVB59"/>
      <c r="EVC59"/>
      <c r="EVD59"/>
      <c r="EVE59"/>
      <c r="EVF59"/>
      <c r="EVG59"/>
      <c r="EVH59"/>
      <c r="EVI59"/>
      <c r="EVJ59"/>
      <c r="EVK59"/>
      <c r="EVL59"/>
      <c r="EVM59"/>
      <c r="EVN59"/>
      <c r="EVO59"/>
      <c r="EVP59"/>
      <c r="EVQ59"/>
      <c r="EVR59"/>
      <c r="EVS59"/>
      <c r="EVT59"/>
      <c r="EVU59"/>
      <c r="EVV59"/>
      <c r="EVW59"/>
      <c r="EVX59"/>
      <c r="EVY59"/>
      <c r="EVZ59"/>
      <c r="EWA59"/>
      <c r="EWB59"/>
      <c r="EWC59"/>
      <c r="EWD59"/>
      <c r="EWE59"/>
      <c r="EWF59"/>
      <c r="EWG59"/>
      <c r="EWH59"/>
      <c r="EWI59"/>
      <c r="EWJ59"/>
      <c r="EWK59"/>
      <c r="EWL59"/>
      <c r="EWM59"/>
      <c r="EWN59"/>
      <c r="EWO59"/>
      <c r="EWP59"/>
      <c r="EWQ59"/>
      <c r="EWR59"/>
      <c r="EWS59"/>
      <c r="EWT59"/>
      <c r="EWU59"/>
      <c r="EWV59"/>
      <c r="EWW59"/>
      <c r="EWX59"/>
      <c r="EWY59"/>
      <c r="EWZ59"/>
      <c r="EXA59"/>
      <c r="EXB59"/>
      <c r="EXC59"/>
      <c r="EXD59"/>
      <c r="EXE59"/>
      <c r="EXF59"/>
      <c r="EXG59"/>
      <c r="EXH59"/>
      <c r="EXI59"/>
      <c r="EXJ59"/>
      <c r="EXK59"/>
      <c r="EXL59"/>
      <c r="EXM59"/>
      <c r="EXN59"/>
      <c r="EXO59"/>
      <c r="EXP59"/>
      <c r="EXQ59"/>
      <c r="EXR59"/>
      <c r="EXS59"/>
      <c r="EXT59"/>
      <c r="EXU59"/>
      <c r="EXV59"/>
      <c r="EXW59"/>
      <c r="EXX59"/>
      <c r="EXY59"/>
      <c r="EXZ59"/>
      <c r="EYA59"/>
      <c r="EYB59"/>
      <c r="EYC59"/>
      <c r="EYD59"/>
      <c r="EYE59"/>
      <c r="EYF59"/>
      <c r="EYG59"/>
      <c r="EYH59"/>
      <c r="EYI59"/>
      <c r="EYJ59"/>
      <c r="EYK59"/>
      <c r="EYL59"/>
      <c r="EYM59"/>
      <c r="EYN59"/>
      <c r="EYO59"/>
      <c r="EYP59"/>
      <c r="EYQ59"/>
      <c r="EYR59"/>
      <c r="EYS59"/>
      <c r="EYT59"/>
      <c r="EYU59"/>
      <c r="EYV59"/>
      <c r="EYW59"/>
      <c r="EYX59"/>
      <c r="EYY59"/>
      <c r="EYZ59"/>
      <c r="EZA59"/>
      <c r="EZB59"/>
      <c r="EZC59"/>
      <c r="EZD59"/>
      <c r="EZE59"/>
      <c r="EZF59"/>
      <c r="EZG59"/>
      <c r="EZH59"/>
      <c r="EZI59"/>
      <c r="EZJ59"/>
      <c r="EZK59"/>
      <c r="EZL59"/>
      <c r="EZM59"/>
      <c r="EZN59"/>
      <c r="EZO59"/>
      <c r="EZP59"/>
      <c r="EZQ59"/>
      <c r="EZR59"/>
      <c r="EZS59"/>
      <c r="EZT59"/>
      <c r="EZU59"/>
      <c r="EZV59"/>
      <c r="EZW59"/>
      <c r="EZX59"/>
      <c r="EZY59"/>
      <c r="EZZ59"/>
      <c r="FAA59"/>
      <c r="FAB59"/>
      <c r="FAC59"/>
      <c r="FAD59"/>
      <c r="FAE59"/>
      <c r="FAF59"/>
      <c r="FAG59"/>
      <c r="FAH59"/>
      <c r="FAI59"/>
      <c r="FAJ59"/>
      <c r="FAK59"/>
      <c r="FAL59"/>
      <c r="FAM59"/>
      <c r="FAN59"/>
      <c r="FAO59"/>
      <c r="FAP59"/>
      <c r="FAQ59"/>
      <c r="FAR59"/>
      <c r="FAS59"/>
      <c r="FAT59"/>
      <c r="FAU59"/>
      <c r="FAV59"/>
      <c r="FAW59"/>
      <c r="FAX59"/>
      <c r="FAY59"/>
      <c r="FAZ59"/>
      <c r="FBA59"/>
      <c r="FBB59"/>
      <c r="FBC59"/>
      <c r="FBD59"/>
      <c r="FBE59"/>
      <c r="FBF59"/>
      <c r="FBG59"/>
      <c r="FBH59"/>
      <c r="FBI59"/>
      <c r="FBJ59"/>
      <c r="FBK59"/>
      <c r="FBL59"/>
      <c r="FBM59"/>
      <c r="FBN59"/>
      <c r="FBO59"/>
      <c r="FBP59"/>
      <c r="FBQ59"/>
      <c r="FBR59"/>
      <c r="FBS59"/>
      <c r="FBT59"/>
      <c r="FBU59"/>
      <c r="FBV59"/>
      <c r="FBW59"/>
      <c r="FBX59"/>
      <c r="FBY59"/>
      <c r="FBZ59"/>
      <c r="FCA59"/>
      <c r="FCB59"/>
      <c r="FCC59"/>
      <c r="FCD59"/>
      <c r="FCE59"/>
      <c r="FCF59"/>
      <c r="FCG59"/>
      <c r="FCH59"/>
      <c r="FCI59"/>
      <c r="FCJ59"/>
      <c r="FCK59"/>
      <c r="FCL59"/>
      <c r="FCM59"/>
      <c r="FCN59"/>
      <c r="FCO59"/>
      <c r="FCP59"/>
      <c r="FCQ59"/>
      <c r="FCR59"/>
      <c r="FCS59"/>
      <c r="FCT59"/>
      <c r="FCU59"/>
      <c r="FCV59"/>
      <c r="FCW59"/>
      <c r="FCX59"/>
      <c r="FCY59"/>
      <c r="FCZ59"/>
      <c r="FDA59"/>
      <c r="FDB59"/>
      <c r="FDC59"/>
      <c r="FDD59"/>
      <c r="FDE59"/>
      <c r="FDF59"/>
      <c r="FDG59"/>
      <c r="FDH59"/>
      <c r="FDI59"/>
      <c r="FDJ59"/>
      <c r="FDK59"/>
      <c r="FDL59"/>
      <c r="FDM59"/>
      <c r="FDN59"/>
      <c r="FDO59"/>
      <c r="FDP59"/>
      <c r="FDQ59"/>
      <c r="FDR59"/>
      <c r="FDS59"/>
      <c r="FDT59"/>
      <c r="FDU59"/>
      <c r="FDV59"/>
      <c r="FDW59"/>
      <c r="FDX59"/>
      <c r="FDY59"/>
      <c r="FDZ59"/>
      <c r="FEA59"/>
      <c r="FEB59"/>
      <c r="FEC59"/>
      <c r="FED59"/>
      <c r="FEE59"/>
      <c r="FEF59"/>
      <c r="FEG59"/>
      <c r="FEH59"/>
      <c r="FEI59"/>
      <c r="FEJ59"/>
      <c r="FEK59"/>
      <c r="FEL59"/>
      <c r="FEM59"/>
      <c r="FEN59"/>
      <c r="FEO59"/>
      <c r="FEP59"/>
      <c r="FEQ59"/>
      <c r="FER59"/>
      <c r="FES59"/>
      <c r="FET59"/>
      <c r="FEU59"/>
      <c r="FEV59"/>
      <c r="FEW59"/>
      <c r="FEX59"/>
      <c r="FEY59"/>
      <c r="FEZ59"/>
      <c r="FFA59"/>
      <c r="FFB59"/>
      <c r="FFC59"/>
      <c r="FFD59"/>
      <c r="FFE59"/>
      <c r="FFF59"/>
      <c r="FFG59"/>
      <c r="FFH59"/>
      <c r="FFI59"/>
      <c r="FFJ59"/>
      <c r="FFK59"/>
      <c r="FFL59"/>
      <c r="FFM59"/>
      <c r="FFN59"/>
      <c r="FFO59"/>
      <c r="FFP59"/>
      <c r="FFQ59"/>
      <c r="FFR59"/>
      <c r="FFS59"/>
      <c r="FFT59"/>
      <c r="FFU59"/>
      <c r="FFV59"/>
      <c r="FFW59"/>
      <c r="FFX59"/>
      <c r="FFY59"/>
      <c r="FFZ59"/>
      <c r="FGA59"/>
      <c r="FGB59"/>
      <c r="FGC59"/>
      <c r="FGD59"/>
      <c r="FGE59"/>
      <c r="FGF59"/>
      <c r="FGG59"/>
      <c r="FGH59"/>
      <c r="FGI59"/>
      <c r="FGJ59"/>
      <c r="FGK59"/>
      <c r="FGL59"/>
      <c r="FGM59"/>
      <c r="FGN59"/>
      <c r="FGO59"/>
      <c r="FGP59"/>
      <c r="FGQ59"/>
      <c r="FGR59"/>
      <c r="FGS59"/>
      <c r="FGT59"/>
      <c r="FGU59"/>
      <c r="FGV59"/>
      <c r="FGW59"/>
      <c r="FGX59"/>
      <c r="FGY59"/>
      <c r="FGZ59"/>
      <c r="FHA59"/>
      <c r="FHB59"/>
      <c r="FHC59"/>
      <c r="FHD59"/>
      <c r="FHE59"/>
      <c r="FHF59"/>
      <c r="FHG59"/>
      <c r="FHH59"/>
      <c r="FHI59"/>
      <c r="FHJ59"/>
      <c r="FHK59"/>
      <c r="FHL59"/>
      <c r="FHM59"/>
      <c r="FHN59"/>
      <c r="FHO59"/>
      <c r="FHP59"/>
      <c r="FHQ59"/>
      <c r="FHR59"/>
      <c r="FHS59"/>
      <c r="FHT59"/>
      <c r="FHU59"/>
      <c r="FHV59"/>
      <c r="FHW59"/>
      <c r="FHX59"/>
      <c r="FHY59"/>
      <c r="FHZ59"/>
      <c r="FIA59"/>
      <c r="FIB59"/>
      <c r="FIC59"/>
      <c r="FID59"/>
      <c r="FIE59"/>
      <c r="FIF59"/>
      <c r="FIG59"/>
      <c r="FIH59"/>
      <c r="FII59"/>
      <c r="FIJ59"/>
      <c r="FIK59"/>
      <c r="FIL59"/>
      <c r="FIM59"/>
      <c r="FIN59"/>
      <c r="FIO59"/>
      <c r="FIP59"/>
      <c r="FIQ59"/>
      <c r="FIR59"/>
      <c r="FIS59"/>
      <c r="FIT59"/>
      <c r="FIU59"/>
      <c r="FIV59"/>
      <c r="FIW59"/>
      <c r="FIX59"/>
      <c r="FIY59"/>
      <c r="FIZ59"/>
      <c r="FJA59"/>
      <c r="FJB59"/>
      <c r="FJC59"/>
      <c r="FJD59"/>
      <c r="FJE59"/>
      <c r="FJF59"/>
      <c r="FJG59"/>
      <c r="FJH59"/>
      <c r="FJI59"/>
      <c r="FJJ59"/>
      <c r="FJK59"/>
      <c r="FJL59"/>
      <c r="FJM59"/>
      <c r="FJN59"/>
      <c r="FJO59"/>
      <c r="FJP59"/>
      <c r="FJQ59"/>
      <c r="FJR59"/>
      <c r="FJS59"/>
      <c r="FJT59"/>
      <c r="FJU59"/>
      <c r="FJV59"/>
      <c r="FJW59"/>
      <c r="FJX59"/>
      <c r="FJY59"/>
      <c r="FJZ59"/>
      <c r="FKA59"/>
      <c r="FKB59"/>
      <c r="FKC59"/>
      <c r="FKD59"/>
      <c r="FKE59"/>
      <c r="FKF59"/>
      <c r="FKG59"/>
      <c r="FKH59"/>
      <c r="FKI59"/>
      <c r="FKJ59"/>
      <c r="FKK59"/>
      <c r="FKL59"/>
      <c r="FKM59"/>
      <c r="FKN59"/>
      <c r="FKO59"/>
      <c r="FKP59"/>
      <c r="FKQ59"/>
      <c r="FKR59"/>
      <c r="FKS59"/>
      <c r="FKT59"/>
      <c r="FKU59"/>
      <c r="FKV59"/>
      <c r="FKW59"/>
      <c r="FKX59"/>
      <c r="FKY59"/>
      <c r="FKZ59"/>
      <c r="FLA59"/>
      <c r="FLB59"/>
      <c r="FLC59"/>
      <c r="FLD59"/>
      <c r="FLE59"/>
      <c r="FLF59"/>
      <c r="FLG59"/>
      <c r="FLH59"/>
      <c r="FLI59"/>
      <c r="FLJ59"/>
      <c r="FLK59"/>
      <c r="FLL59"/>
      <c r="FLM59"/>
      <c r="FLN59"/>
      <c r="FLO59"/>
      <c r="FLP59"/>
      <c r="FLQ59"/>
      <c r="FLR59"/>
      <c r="FLS59"/>
      <c r="FLT59"/>
      <c r="FLU59"/>
      <c r="FLV59"/>
      <c r="FLW59"/>
      <c r="FLX59"/>
      <c r="FLY59"/>
      <c r="FLZ59"/>
      <c r="FMA59"/>
      <c r="FMB59"/>
      <c r="FMC59"/>
      <c r="FMD59"/>
      <c r="FME59"/>
      <c r="FMF59"/>
      <c r="FMG59"/>
      <c r="FMH59"/>
      <c r="FMI59"/>
      <c r="FMJ59"/>
      <c r="FMK59"/>
      <c r="FML59"/>
      <c r="FMM59"/>
      <c r="FMN59"/>
      <c r="FMO59"/>
      <c r="FMP59"/>
      <c r="FMQ59"/>
      <c r="FMR59"/>
      <c r="FMS59"/>
      <c r="FMT59"/>
      <c r="FMU59"/>
      <c r="FMV59"/>
      <c r="FMW59"/>
      <c r="FMX59"/>
      <c r="FMY59"/>
      <c r="FMZ59"/>
      <c r="FNA59"/>
      <c r="FNB59"/>
      <c r="FNC59"/>
      <c r="FND59"/>
      <c r="FNE59"/>
      <c r="FNF59"/>
      <c r="FNG59"/>
      <c r="FNH59"/>
      <c r="FNI59"/>
      <c r="FNJ59"/>
      <c r="FNK59"/>
      <c r="FNL59"/>
      <c r="FNM59"/>
      <c r="FNN59"/>
      <c r="FNO59"/>
      <c r="FNP59"/>
      <c r="FNQ59"/>
      <c r="FNR59"/>
      <c r="FNS59"/>
      <c r="FNT59"/>
      <c r="FNU59"/>
      <c r="FNV59"/>
      <c r="FNW59"/>
      <c r="FNX59"/>
      <c r="FNY59"/>
      <c r="FNZ59"/>
      <c r="FOA59"/>
      <c r="FOB59"/>
      <c r="FOC59"/>
      <c r="FOD59"/>
      <c r="FOE59"/>
      <c r="FOF59"/>
      <c r="FOG59"/>
      <c r="FOH59"/>
      <c r="FOI59"/>
      <c r="FOJ59"/>
      <c r="FOK59"/>
      <c r="FOL59"/>
      <c r="FOM59"/>
      <c r="FON59"/>
      <c r="FOO59"/>
      <c r="FOP59"/>
      <c r="FOQ59"/>
      <c r="FOR59"/>
      <c r="FOS59"/>
      <c r="FOT59"/>
      <c r="FOU59"/>
      <c r="FOV59"/>
      <c r="FOW59"/>
      <c r="FOX59"/>
      <c r="FOY59"/>
      <c r="FOZ59"/>
      <c r="FPA59"/>
      <c r="FPB59"/>
      <c r="FPC59"/>
      <c r="FPD59"/>
      <c r="FPE59"/>
      <c r="FPF59"/>
      <c r="FPG59"/>
      <c r="FPH59"/>
      <c r="FPI59"/>
      <c r="FPJ59"/>
      <c r="FPK59"/>
      <c r="FPL59"/>
      <c r="FPM59"/>
      <c r="FPN59"/>
      <c r="FPO59"/>
      <c r="FPP59"/>
      <c r="FPQ59"/>
      <c r="FPR59"/>
      <c r="FPS59"/>
      <c r="FPT59"/>
      <c r="FPU59"/>
      <c r="FPV59"/>
      <c r="FPW59"/>
      <c r="FPX59"/>
      <c r="FPY59"/>
      <c r="FPZ59"/>
      <c r="FQA59"/>
      <c r="FQB59"/>
      <c r="FQC59"/>
      <c r="FQD59"/>
      <c r="FQE59"/>
      <c r="FQF59"/>
      <c r="FQG59"/>
      <c r="FQH59"/>
      <c r="FQI59"/>
      <c r="FQJ59"/>
      <c r="FQK59"/>
      <c r="FQL59"/>
      <c r="FQM59"/>
      <c r="FQN59"/>
      <c r="FQO59"/>
      <c r="FQP59"/>
      <c r="FQQ59"/>
      <c r="FQR59"/>
      <c r="FQS59"/>
      <c r="FQT59"/>
      <c r="FQU59"/>
      <c r="FQV59"/>
      <c r="FQW59"/>
      <c r="FQX59"/>
      <c r="FQY59"/>
      <c r="FQZ59"/>
      <c r="FRA59"/>
      <c r="FRB59"/>
      <c r="FRC59"/>
      <c r="FRD59"/>
      <c r="FRE59"/>
      <c r="FRF59"/>
      <c r="FRG59"/>
      <c r="FRH59"/>
      <c r="FRI59"/>
      <c r="FRJ59"/>
      <c r="FRK59"/>
      <c r="FRL59"/>
      <c r="FRM59"/>
      <c r="FRN59"/>
      <c r="FRO59"/>
      <c r="FRP59"/>
      <c r="FRQ59"/>
      <c r="FRR59"/>
      <c r="FRS59"/>
      <c r="FRT59"/>
      <c r="FRU59"/>
      <c r="FRV59"/>
      <c r="FRW59"/>
      <c r="FRX59"/>
      <c r="FRY59"/>
      <c r="FRZ59"/>
      <c r="FSA59"/>
      <c r="FSB59"/>
      <c r="FSC59"/>
      <c r="FSD59"/>
      <c r="FSE59"/>
      <c r="FSF59"/>
      <c r="FSG59"/>
      <c r="FSH59"/>
      <c r="FSI59"/>
      <c r="FSJ59"/>
      <c r="FSK59"/>
      <c r="FSL59"/>
      <c r="FSM59"/>
      <c r="FSN59"/>
      <c r="FSO59"/>
      <c r="FSP59"/>
      <c r="FSQ59"/>
      <c r="FSR59"/>
      <c r="FSS59"/>
      <c r="FST59"/>
      <c r="FSU59"/>
      <c r="FSV59"/>
      <c r="FSW59"/>
      <c r="FSX59"/>
      <c r="FSY59"/>
      <c r="FSZ59"/>
      <c r="FTA59"/>
      <c r="FTB59"/>
      <c r="FTC59"/>
      <c r="FTD59"/>
      <c r="FTE59"/>
      <c r="FTF59"/>
      <c r="FTG59"/>
      <c r="FTH59"/>
      <c r="FTI59"/>
      <c r="FTJ59"/>
      <c r="FTK59"/>
      <c r="FTL59"/>
      <c r="FTM59"/>
      <c r="FTN59"/>
      <c r="FTO59"/>
      <c r="FTP59"/>
      <c r="FTQ59"/>
      <c r="FTR59"/>
      <c r="FTS59"/>
      <c r="FTT59"/>
      <c r="FTU59"/>
      <c r="FTV59"/>
      <c r="FTW59"/>
      <c r="FTX59"/>
      <c r="FTY59"/>
      <c r="FTZ59"/>
      <c r="FUA59"/>
      <c r="FUB59"/>
      <c r="FUC59"/>
      <c r="FUD59"/>
      <c r="FUE59"/>
      <c r="FUF59"/>
      <c r="FUG59"/>
      <c r="FUH59"/>
      <c r="FUI59"/>
      <c r="FUJ59"/>
      <c r="FUK59"/>
      <c r="FUL59"/>
      <c r="FUM59"/>
      <c r="FUN59"/>
      <c r="FUO59"/>
      <c r="FUP59"/>
      <c r="FUQ59"/>
      <c r="FUR59"/>
      <c r="FUS59"/>
      <c r="FUT59"/>
      <c r="FUU59"/>
      <c r="FUV59"/>
      <c r="FUW59"/>
      <c r="FUX59"/>
      <c r="FUY59"/>
      <c r="FUZ59"/>
      <c r="FVA59"/>
      <c r="FVB59"/>
      <c r="FVC59"/>
      <c r="FVD59"/>
      <c r="FVE59"/>
      <c r="FVF59"/>
      <c r="FVG59"/>
      <c r="FVH59"/>
      <c r="FVI59"/>
      <c r="FVJ59"/>
      <c r="FVK59"/>
      <c r="FVL59"/>
      <c r="FVM59"/>
      <c r="FVN59"/>
      <c r="FVO59"/>
      <c r="FVP59"/>
      <c r="FVQ59"/>
      <c r="FVR59"/>
      <c r="FVS59"/>
      <c r="FVT59"/>
      <c r="FVU59"/>
      <c r="FVV59"/>
      <c r="FVW59"/>
      <c r="FVX59"/>
      <c r="FVY59"/>
      <c r="FVZ59"/>
      <c r="FWA59"/>
      <c r="FWB59"/>
      <c r="FWC59"/>
      <c r="FWD59"/>
      <c r="FWE59"/>
      <c r="FWF59"/>
      <c r="FWG59"/>
      <c r="FWH59"/>
      <c r="FWI59"/>
      <c r="FWJ59"/>
      <c r="FWK59"/>
      <c r="FWL59"/>
      <c r="FWM59"/>
      <c r="FWN59"/>
      <c r="FWO59"/>
      <c r="FWP59"/>
      <c r="FWQ59"/>
      <c r="FWR59"/>
      <c r="FWS59"/>
      <c r="FWT59"/>
      <c r="FWU59"/>
      <c r="FWV59"/>
      <c r="FWW59"/>
      <c r="FWX59"/>
      <c r="FWY59"/>
      <c r="FWZ59"/>
      <c r="FXA59"/>
      <c r="FXB59"/>
      <c r="FXC59"/>
      <c r="FXD59"/>
      <c r="FXE59"/>
      <c r="FXF59"/>
      <c r="FXG59"/>
      <c r="FXH59"/>
      <c r="FXI59"/>
      <c r="FXJ59"/>
      <c r="FXK59"/>
      <c r="FXL59"/>
      <c r="FXM59"/>
      <c r="FXN59"/>
      <c r="FXO59"/>
      <c r="FXP59"/>
      <c r="FXQ59"/>
      <c r="FXR59"/>
      <c r="FXS59"/>
      <c r="FXT59"/>
      <c r="FXU59"/>
      <c r="FXV59"/>
      <c r="FXW59"/>
      <c r="FXX59"/>
      <c r="FXY59"/>
      <c r="FXZ59"/>
      <c r="FYA59"/>
      <c r="FYB59"/>
      <c r="FYC59"/>
      <c r="FYD59"/>
      <c r="FYE59"/>
      <c r="FYF59"/>
      <c r="FYG59"/>
      <c r="FYH59"/>
      <c r="FYI59"/>
      <c r="FYJ59"/>
      <c r="FYK59"/>
      <c r="FYL59"/>
      <c r="FYM59"/>
      <c r="FYN59"/>
      <c r="FYO59"/>
      <c r="FYP59"/>
      <c r="FYQ59"/>
      <c r="FYR59"/>
      <c r="FYS59"/>
      <c r="FYT59"/>
      <c r="FYU59"/>
      <c r="FYV59"/>
      <c r="FYW59"/>
      <c r="FYX59"/>
      <c r="FYY59"/>
      <c r="FYZ59"/>
      <c r="FZA59"/>
      <c r="FZB59"/>
      <c r="FZC59"/>
      <c r="FZD59"/>
      <c r="FZE59"/>
      <c r="FZF59"/>
      <c r="FZG59"/>
      <c r="FZH59"/>
      <c r="FZI59"/>
      <c r="FZJ59"/>
      <c r="FZK59"/>
      <c r="FZL59"/>
      <c r="FZM59"/>
      <c r="FZN59"/>
      <c r="FZO59"/>
      <c r="FZP59"/>
      <c r="FZQ59"/>
      <c r="FZR59"/>
      <c r="FZS59"/>
      <c r="FZT59"/>
      <c r="FZU59"/>
      <c r="FZV59"/>
      <c r="FZW59"/>
      <c r="FZX59"/>
      <c r="FZY59"/>
      <c r="FZZ59"/>
      <c r="GAA59"/>
      <c r="GAB59"/>
      <c r="GAC59"/>
      <c r="GAD59"/>
      <c r="GAE59"/>
      <c r="GAF59"/>
      <c r="GAG59"/>
      <c r="GAH59"/>
      <c r="GAI59"/>
      <c r="GAJ59"/>
      <c r="GAK59"/>
      <c r="GAL59"/>
      <c r="GAM59"/>
      <c r="GAN59"/>
      <c r="GAO59"/>
      <c r="GAP59"/>
      <c r="GAQ59"/>
      <c r="GAR59"/>
      <c r="GAS59"/>
      <c r="GAT59"/>
      <c r="GAU59"/>
      <c r="GAV59"/>
      <c r="GAW59"/>
      <c r="GAX59"/>
      <c r="GAY59"/>
      <c r="GAZ59"/>
      <c r="GBA59"/>
      <c r="GBB59"/>
      <c r="GBC59"/>
      <c r="GBD59"/>
      <c r="GBE59"/>
      <c r="GBF59"/>
      <c r="GBG59"/>
      <c r="GBH59"/>
      <c r="GBI59"/>
      <c r="GBJ59"/>
      <c r="GBK59"/>
      <c r="GBL59"/>
      <c r="GBM59"/>
      <c r="GBN59"/>
      <c r="GBO59"/>
      <c r="GBP59"/>
      <c r="GBQ59"/>
      <c r="GBR59"/>
      <c r="GBS59"/>
      <c r="GBT59"/>
      <c r="GBU59"/>
      <c r="GBV59"/>
      <c r="GBW59"/>
      <c r="GBX59"/>
      <c r="GBY59"/>
      <c r="GBZ59"/>
      <c r="GCA59"/>
      <c r="GCB59"/>
      <c r="GCC59"/>
      <c r="GCD59"/>
      <c r="GCE59"/>
      <c r="GCF59"/>
      <c r="GCG59"/>
      <c r="GCH59"/>
      <c r="GCI59"/>
      <c r="GCJ59"/>
      <c r="GCK59"/>
      <c r="GCL59"/>
      <c r="GCM59"/>
      <c r="GCN59"/>
      <c r="GCO59"/>
      <c r="GCP59"/>
      <c r="GCQ59"/>
      <c r="GCR59"/>
      <c r="GCS59"/>
      <c r="GCT59"/>
      <c r="GCU59"/>
      <c r="GCV59"/>
      <c r="GCW59"/>
      <c r="GCX59"/>
      <c r="GCY59"/>
      <c r="GCZ59"/>
      <c r="GDA59"/>
      <c r="GDB59"/>
      <c r="GDC59"/>
      <c r="GDD59"/>
      <c r="GDE59"/>
      <c r="GDF59"/>
      <c r="GDG59"/>
      <c r="GDH59"/>
      <c r="GDI59"/>
      <c r="GDJ59"/>
      <c r="GDK59"/>
      <c r="GDL59"/>
      <c r="GDM59"/>
      <c r="GDN59"/>
      <c r="GDO59"/>
      <c r="GDP59"/>
      <c r="GDQ59"/>
      <c r="GDR59"/>
      <c r="GDS59"/>
      <c r="GDT59"/>
      <c r="GDU59"/>
      <c r="GDV59"/>
      <c r="GDW59"/>
      <c r="GDX59"/>
      <c r="GDY59"/>
      <c r="GDZ59"/>
      <c r="GEA59"/>
      <c r="GEB59"/>
      <c r="GEC59"/>
      <c r="GED59"/>
      <c r="GEE59"/>
      <c r="GEF59"/>
      <c r="GEG59"/>
      <c r="GEH59"/>
      <c r="GEI59"/>
      <c r="GEJ59"/>
      <c r="GEK59"/>
      <c r="GEL59"/>
      <c r="GEM59"/>
      <c r="GEN59"/>
      <c r="GEO59"/>
      <c r="GEP59"/>
      <c r="GEQ59"/>
      <c r="GER59"/>
      <c r="GES59"/>
      <c r="GET59"/>
      <c r="GEU59"/>
      <c r="GEV59"/>
      <c r="GEW59"/>
      <c r="GEX59"/>
      <c r="GEY59"/>
      <c r="GEZ59"/>
      <c r="GFA59"/>
      <c r="GFB59"/>
      <c r="GFC59"/>
      <c r="GFD59"/>
      <c r="GFE59"/>
      <c r="GFF59"/>
      <c r="GFG59"/>
      <c r="GFH59"/>
      <c r="GFI59"/>
      <c r="GFJ59"/>
      <c r="GFK59"/>
      <c r="GFL59"/>
      <c r="GFM59"/>
      <c r="GFN59"/>
      <c r="GFO59"/>
      <c r="GFP59"/>
      <c r="GFQ59"/>
      <c r="GFR59"/>
      <c r="GFS59"/>
      <c r="GFT59"/>
      <c r="GFU59"/>
      <c r="GFV59"/>
      <c r="GFW59"/>
      <c r="GFX59"/>
      <c r="GFY59"/>
      <c r="GFZ59"/>
      <c r="GGA59"/>
      <c r="GGB59"/>
      <c r="GGC59"/>
      <c r="GGD59"/>
      <c r="GGE59"/>
      <c r="GGF59"/>
      <c r="GGG59"/>
      <c r="GGH59"/>
      <c r="GGI59"/>
      <c r="GGJ59"/>
      <c r="GGK59"/>
      <c r="GGL59"/>
      <c r="GGM59"/>
      <c r="GGN59"/>
      <c r="GGO59"/>
      <c r="GGP59"/>
      <c r="GGQ59"/>
      <c r="GGR59"/>
      <c r="GGS59"/>
      <c r="GGT59"/>
      <c r="GGU59"/>
      <c r="GGV59"/>
      <c r="GGW59"/>
      <c r="GGX59"/>
      <c r="GGY59"/>
      <c r="GGZ59"/>
      <c r="GHA59"/>
      <c r="GHB59"/>
      <c r="GHC59"/>
      <c r="GHD59"/>
      <c r="GHE59"/>
      <c r="GHF59"/>
      <c r="GHG59"/>
      <c r="GHH59"/>
      <c r="GHI59"/>
      <c r="GHJ59"/>
      <c r="GHK59"/>
      <c r="GHL59"/>
      <c r="GHM59"/>
      <c r="GHN59"/>
      <c r="GHO59"/>
      <c r="GHP59"/>
      <c r="GHQ59"/>
      <c r="GHR59"/>
      <c r="GHS59"/>
      <c r="GHT59"/>
      <c r="GHU59"/>
      <c r="GHV59"/>
      <c r="GHW59"/>
      <c r="GHX59"/>
      <c r="GHY59"/>
      <c r="GHZ59"/>
      <c r="GIA59"/>
      <c r="GIB59"/>
      <c r="GIC59"/>
      <c r="GID59"/>
      <c r="GIE59"/>
      <c r="GIF59"/>
      <c r="GIG59"/>
      <c r="GIH59"/>
      <c r="GII59"/>
      <c r="GIJ59"/>
      <c r="GIK59"/>
      <c r="GIL59"/>
      <c r="GIM59"/>
      <c r="GIN59"/>
      <c r="GIO59"/>
      <c r="GIP59"/>
      <c r="GIQ59"/>
      <c r="GIR59"/>
      <c r="GIS59"/>
      <c r="GIT59"/>
      <c r="GIU59"/>
      <c r="GIV59"/>
      <c r="GIW59"/>
      <c r="GIX59"/>
      <c r="GIY59"/>
      <c r="GIZ59"/>
      <c r="GJA59"/>
      <c r="GJB59"/>
      <c r="GJC59"/>
      <c r="GJD59"/>
      <c r="GJE59"/>
      <c r="GJF59"/>
      <c r="GJG59"/>
      <c r="GJH59"/>
      <c r="GJI59"/>
      <c r="GJJ59"/>
      <c r="GJK59"/>
      <c r="GJL59"/>
      <c r="GJM59"/>
      <c r="GJN59"/>
      <c r="GJO59"/>
      <c r="GJP59"/>
      <c r="GJQ59"/>
      <c r="GJR59"/>
      <c r="GJS59"/>
      <c r="GJT59"/>
      <c r="GJU59"/>
      <c r="GJV59"/>
      <c r="GJW59"/>
      <c r="GJX59"/>
      <c r="GJY59"/>
      <c r="GJZ59"/>
      <c r="GKA59"/>
      <c r="GKB59"/>
      <c r="GKC59"/>
      <c r="GKD59"/>
      <c r="GKE59"/>
      <c r="GKF59"/>
      <c r="GKG59"/>
      <c r="GKH59"/>
      <c r="GKI59"/>
      <c r="GKJ59"/>
      <c r="GKK59"/>
      <c r="GKL59"/>
      <c r="GKM59"/>
      <c r="GKN59"/>
      <c r="GKO59"/>
      <c r="GKP59"/>
      <c r="GKQ59"/>
      <c r="GKR59"/>
      <c r="GKS59"/>
      <c r="GKT59"/>
      <c r="GKU59"/>
      <c r="GKV59"/>
      <c r="GKW59"/>
      <c r="GKX59"/>
      <c r="GKY59"/>
      <c r="GKZ59"/>
      <c r="GLA59"/>
      <c r="GLB59"/>
      <c r="GLC59"/>
      <c r="GLD59"/>
      <c r="GLE59"/>
      <c r="GLF59"/>
      <c r="GLG59"/>
      <c r="GLH59"/>
      <c r="GLI59"/>
      <c r="GLJ59"/>
      <c r="GLK59"/>
      <c r="GLL59"/>
      <c r="GLM59"/>
      <c r="GLN59"/>
      <c r="GLO59"/>
      <c r="GLP59"/>
      <c r="GLQ59"/>
      <c r="GLR59"/>
      <c r="GLS59"/>
      <c r="GLT59"/>
      <c r="GLU59"/>
      <c r="GLV59"/>
      <c r="GLW59"/>
      <c r="GLX59"/>
      <c r="GLY59"/>
      <c r="GLZ59"/>
      <c r="GMA59"/>
      <c r="GMB59"/>
      <c r="GMC59"/>
      <c r="GMD59"/>
      <c r="GME59"/>
      <c r="GMF59"/>
      <c r="GMG59"/>
      <c r="GMH59"/>
      <c r="GMI59"/>
      <c r="GMJ59"/>
      <c r="GMK59"/>
      <c r="GML59"/>
      <c r="GMM59"/>
      <c r="GMN59"/>
      <c r="GMO59"/>
      <c r="GMP59"/>
      <c r="GMQ59"/>
      <c r="GMR59"/>
      <c r="GMS59"/>
      <c r="GMT59"/>
      <c r="GMU59"/>
      <c r="GMV59"/>
      <c r="GMW59"/>
      <c r="GMX59"/>
      <c r="GMY59"/>
      <c r="GMZ59"/>
      <c r="GNA59"/>
      <c r="GNB59"/>
      <c r="GNC59"/>
      <c r="GND59"/>
      <c r="GNE59"/>
      <c r="GNF59"/>
      <c r="GNG59"/>
      <c r="GNH59"/>
      <c r="GNI59"/>
      <c r="GNJ59"/>
      <c r="GNK59"/>
      <c r="GNL59"/>
      <c r="GNM59"/>
      <c r="GNN59"/>
      <c r="GNO59"/>
      <c r="GNP59"/>
      <c r="GNQ59"/>
      <c r="GNR59"/>
      <c r="GNS59"/>
      <c r="GNT59"/>
      <c r="GNU59"/>
      <c r="GNV59"/>
      <c r="GNW59"/>
      <c r="GNX59"/>
      <c r="GNY59"/>
      <c r="GNZ59"/>
      <c r="GOA59"/>
      <c r="GOB59"/>
      <c r="GOC59"/>
      <c r="GOD59"/>
      <c r="GOE59"/>
      <c r="GOF59"/>
      <c r="GOG59"/>
      <c r="GOH59"/>
      <c r="GOI59"/>
      <c r="GOJ59"/>
      <c r="GOK59"/>
      <c r="GOL59"/>
      <c r="GOM59"/>
      <c r="GON59"/>
      <c r="GOO59"/>
      <c r="GOP59"/>
      <c r="GOQ59"/>
      <c r="GOR59"/>
      <c r="GOS59"/>
      <c r="GOT59"/>
      <c r="GOU59"/>
      <c r="GOV59"/>
      <c r="GOW59"/>
      <c r="GOX59"/>
      <c r="GOY59"/>
      <c r="GOZ59"/>
      <c r="GPA59"/>
      <c r="GPB59"/>
      <c r="GPC59"/>
      <c r="GPD59"/>
      <c r="GPE59"/>
      <c r="GPF59"/>
      <c r="GPG59"/>
      <c r="GPH59"/>
      <c r="GPI59"/>
      <c r="GPJ59"/>
      <c r="GPK59"/>
      <c r="GPL59"/>
      <c r="GPM59"/>
      <c r="GPN59"/>
      <c r="GPO59"/>
      <c r="GPP59"/>
      <c r="GPQ59"/>
      <c r="GPR59"/>
      <c r="GPS59"/>
      <c r="GPT59"/>
      <c r="GPU59"/>
      <c r="GPV59"/>
      <c r="GPW59"/>
      <c r="GPX59"/>
      <c r="GPY59"/>
      <c r="GPZ59"/>
      <c r="GQA59"/>
      <c r="GQB59"/>
      <c r="GQC59"/>
      <c r="GQD59"/>
      <c r="GQE59"/>
      <c r="GQF59"/>
      <c r="GQG59"/>
      <c r="GQH59"/>
      <c r="GQI59"/>
      <c r="GQJ59"/>
      <c r="GQK59"/>
      <c r="GQL59"/>
      <c r="GQM59"/>
      <c r="GQN59"/>
      <c r="GQO59"/>
      <c r="GQP59"/>
      <c r="GQQ59"/>
      <c r="GQR59"/>
      <c r="GQS59"/>
      <c r="GQT59"/>
      <c r="GQU59"/>
      <c r="GQV59"/>
      <c r="GQW59"/>
      <c r="GQX59"/>
      <c r="GQY59"/>
      <c r="GQZ59"/>
      <c r="GRA59"/>
      <c r="GRB59"/>
      <c r="GRC59"/>
      <c r="GRD59"/>
      <c r="GRE59"/>
      <c r="GRF59"/>
      <c r="GRG59"/>
      <c r="GRH59"/>
      <c r="GRI59"/>
      <c r="GRJ59"/>
      <c r="GRK59"/>
      <c r="GRL59"/>
      <c r="GRM59"/>
      <c r="GRN59"/>
      <c r="GRO59"/>
      <c r="GRP59"/>
      <c r="GRQ59"/>
      <c r="GRR59"/>
      <c r="GRS59"/>
      <c r="GRT59"/>
      <c r="GRU59"/>
      <c r="GRV59"/>
      <c r="GRW59"/>
      <c r="GRX59"/>
      <c r="GRY59"/>
      <c r="GRZ59"/>
      <c r="GSA59"/>
      <c r="GSB59"/>
      <c r="GSC59"/>
      <c r="GSD59"/>
      <c r="GSE59"/>
      <c r="GSF59"/>
      <c r="GSG59"/>
      <c r="GSH59"/>
      <c r="GSI59"/>
      <c r="GSJ59"/>
      <c r="GSK59"/>
      <c r="GSL59"/>
      <c r="GSM59"/>
      <c r="GSN59"/>
      <c r="GSO59"/>
      <c r="GSP59"/>
      <c r="GSQ59"/>
      <c r="GSR59"/>
      <c r="GSS59"/>
      <c r="GST59"/>
      <c r="GSU59"/>
      <c r="GSV59"/>
      <c r="GSW59"/>
      <c r="GSX59"/>
      <c r="GSY59"/>
      <c r="GSZ59"/>
      <c r="GTA59"/>
      <c r="GTB59"/>
      <c r="GTC59"/>
      <c r="GTD59"/>
      <c r="GTE59"/>
      <c r="GTF59"/>
      <c r="GTG59"/>
      <c r="GTH59"/>
      <c r="GTI59"/>
      <c r="GTJ59"/>
      <c r="GTK59"/>
      <c r="GTL59"/>
      <c r="GTM59"/>
      <c r="GTN59"/>
      <c r="GTO59"/>
      <c r="GTP59"/>
      <c r="GTQ59"/>
      <c r="GTR59"/>
      <c r="GTS59"/>
      <c r="GTT59"/>
      <c r="GTU59"/>
      <c r="GTV59"/>
      <c r="GTW59"/>
      <c r="GTX59"/>
      <c r="GTY59"/>
      <c r="GTZ59"/>
      <c r="GUA59"/>
      <c r="GUB59"/>
      <c r="GUC59"/>
      <c r="GUD59"/>
      <c r="GUE59"/>
      <c r="GUF59"/>
      <c r="GUG59"/>
      <c r="GUH59"/>
      <c r="GUI59"/>
      <c r="GUJ59"/>
      <c r="GUK59"/>
      <c r="GUL59"/>
      <c r="GUM59"/>
      <c r="GUN59"/>
      <c r="GUO59"/>
      <c r="GUP59"/>
      <c r="GUQ59"/>
      <c r="GUR59"/>
      <c r="GUS59"/>
      <c r="GUT59"/>
      <c r="GUU59"/>
      <c r="GUV59"/>
      <c r="GUW59"/>
      <c r="GUX59"/>
      <c r="GUY59"/>
      <c r="GUZ59"/>
      <c r="GVA59"/>
      <c r="GVB59"/>
      <c r="GVC59"/>
      <c r="GVD59"/>
      <c r="GVE59"/>
      <c r="GVF59"/>
      <c r="GVG59"/>
      <c r="GVH59"/>
      <c r="GVI59"/>
      <c r="GVJ59"/>
      <c r="GVK59"/>
      <c r="GVL59"/>
      <c r="GVM59"/>
      <c r="GVN59"/>
      <c r="GVO59"/>
      <c r="GVP59"/>
      <c r="GVQ59"/>
      <c r="GVR59"/>
      <c r="GVS59"/>
      <c r="GVT59"/>
      <c r="GVU59"/>
      <c r="GVV59"/>
      <c r="GVW59"/>
      <c r="GVX59"/>
      <c r="GVY59"/>
      <c r="GVZ59"/>
      <c r="GWA59"/>
      <c r="GWB59"/>
      <c r="GWC59"/>
      <c r="GWD59"/>
      <c r="GWE59"/>
      <c r="GWF59"/>
      <c r="GWG59"/>
      <c r="GWH59"/>
      <c r="GWI59"/>
      <c r="GWJ59"/>
      <c r="GWK59"/>
      <c r="GWL59"/>
      <c r="GWM59"/>
      <c r="GWN59"/>
      <c r="GWO59"/>
      <c r="GWP59"/>
      <c r="GWQ59"/>
      <c r="GWR59"/>
      <c r="GWS59"/>
      <c r="GWT59"/>
      <c r="GWU59"/>
      <c r="GWV59"/>
      <c r="GWW59"/>
      <c r="GWX59"/>
      <c r="GWY59"/>
      <c r="GWZ59"/>
      <c r="GXA59"/>
      <c r="GXB59"/>
      <c r="GXC59"/>
      <c r="GXD59"/>
      <c r="GXE59"/>
      <c r="GXF59"/>
      <c r="GXG59"/>
      <c r="GXH59"/>
      <c r="GXI59"/>
      <c r="GXJ59"/>
      <c r="GXK59"/>
      <c r="GXL59"/>
      <c r="GXM59"/>
      <c r="GXN59"/>
      <c r="GXO59"/>
      <c r="GXP59"/>
      <c r="GXQ59"/>
      <c r="GXR59"/>
      <c r="GXS59"/>
      <c r="GXT59"/>
      <c r="GXU59"/>
      <c r="GXV59"/>
      <c r="GXW59"/>
      <c r="GXX59"/>
      <c r="GXY59"/>
      <c r="GXZ59"/>
      <c r="GYA59"/>
      <c r="GYB59"/>
      <c r="GYC59"/>
      <c r="GYD59"/>
      <c r="GYE59"/>
      <c r="GYF59"/>
      <c r="GYG59"/>
      <c r="GYH59"/>
      <c r="GYI59"/>
      <c r="GYJ59"/>
      <c r="GYK59"/>
      <c r="GYL59"/>
      <c r="GYM59"/>
      <c r="GYN59"/>
      <c r="GYO59"/>
      <c r="GYP59"/>
      <c r="GYQ59"/>
      <c r="GYR59"/>
      <c r="GYS59"/>
      <c r="GYT59"/>
      <c r="GYU59"/>
      <c r="GYV59"/>
      <c r="GYW59"/>
      <c r="GYX59"/>
      <c r="GYY59"/>
      <c r="GYZ59"/>
      <c r="GZA59"/>
      <c r="GZB59"/>
      <c r="GZC59"/>
      <c r="GZD59"/>
      <c r="GZE59"/>
      <c r="GZF59"/>
      <c r="GZG59"/>
      <c r="GZH59"/>
      <c r="GZI59"/>
      <c r="GZJ59"/>
      <c r="GZK59"/>
      <c r="GZL59"/>
      <c r="GZM59"/>
      <c r="GZN59"/>
      <c r="GZO59"/>
      <c r="GZP59"/>
      <c r="GZQ59"/>
      <c r="GZR59"/>
      <c r="GZS59"/>
      <c r="GZT59"/>
      <c r="GZU59"/>
      <c r="GZV59"/>
      <c r="GZW59"/>
      <c r="GZX59"/>
      <c r="GZY59"/>
      <c r="GZZ59"/>
      <c r="HAA59"/>
      <c r="HAB59"/>
      <c r="HAC59"/>
      <c r="HAD59"/>
      <c r="HAE59"/>
      <c r="HAF59"/>
      <c r="HAG59"/>
      <c r="HAH59"/>
      <c r="HAI59"/>
      <c r="HAJ59"/>
      <c r="HAK59"/>
      <c r="HAL59"/>
      <c r="HAM59"/>
      <c r="HAN59"/>
      <c r="HAO59"/>
      <c r="HAP59"/>
      <c r="HAQ59"/>
      <c r="HAR59"/>
      <c r="HAS59"/>
      <c r="HAT59"/>
      <c r="HAU59"/>
      <c r="HAV59"/>
      <c r="HAW59"/>
      <c r="HAX59"/>
      <c r="HAY59"/>
      <c r="HAZ59"/>
      <c r="HBA59"/>
      <c r="HBB59"/>
      <c r="HBC59"/>
      <c r="HBD59"/>
      <c r="HBE59"/>
      <c r="HBF59"/>
      <c r="HBG59"/>
      <c r="HBH59"/>
      <c r="HBI59"/>
      <c r="HBJ59"/>
      <c r="HBK59"/>
      <c r="HBL59"/>
      <c r="HBM59"/>
      <c r="HBN59"/>
      <c r="HBO59"/>
      <c r="HBP59"/>
      <c r="HBQ59"/>
      <c r="HBR59"/>
      <c r="HBS59"/>
      <c r="HBT59"/>
      <c r="HBU59"/>
      <c r="HBV59"/>
      <c r="HBW59"/>
      <c r="HBX59"/>
      <c r="HBY59"/>
      <c r="HBZ59"/>
      <c r="HCA59"/>
      <c r="HCB59"/>
      <c r="HCC59"/>
      <c r="HCD59"/>
      <c r="HCE59"/>
      <c r="HCF59"/>
      <c r="HCG59"/>
      <c r="HCH59"/>
      <c r="HCI59"/>
      <c r="HCJ59"/>
      <c r="HCK59"/>
      <c r="HCL59"/>
      <c r="HCM59"/>
      <c r="HCN59"/>
      <c r="HCO59"/>
      <c r="HCP59"/>
      <c r="HCQ59"/>
      <c r="HCR59"/>
      <c r="HCS59"/>
      <c r="HCT59"/>
      <c r="HCU59"/>
      <c r="HCV59"/>
      <c r="HCW59"/>
      <c r="HCX59"/>
      <c r="HCY59"/>
      <c r="HCZ59"/>
      <c r="HDA59"/>
      <c r="HDB59"/>
      <c r="HDC59"/>
      <c r="HDD59"/>
      <c r="HDE59"/>
      <c r="HDF59"/>
      <c r="HDG59"/>
      <c r="HDH59"/>
      <c r="HDI59"/>
      <c r="HDJ59"/>
      <c r="HDK59"/>
      <c r="HDL59"/>
      <c r="HDM59"/>
      <c r="HDN59"/>
      <c r="HDO59"/>
      <c r="HDP59"/>
      <c r="HDQ59"/>
      <c r="HDR59"/>
      <c r="HDS59"/>
      <c r="HDT59"/>
      <c r="HDU59"/>
      <c r="HDV59"/>
      <c r="HDW59"/>
      <c r="HDX59"/>
      <c r="HDY59"/>
      <c r="HDZ59"/>
      <c r="HEA59"/>
      <c r="HEB59"/>
      <c r="HEC59"/>
      <c r="HED59"/>
      <c r="HEE59"/>
      <c r="HEF59"/>
      <c r="HEG59"/>
      <c r="HEH59"/>
      <c r="HEI59"/>
      <c r="HEJ59"/>
      <c r="HEK59"/>
      <c r="HEL59"/>
      <c r="HEM59"/>
      <c r="HEN59"/>
      <c r="HEO59"/>
      <c r="HEP59"/>
      <c r="HEQ59"/>
      <c r="HER59"/>
      <c r="HES59"/>
      <c r="HET59"/>
      <c r="HEU59"/>
      <c r="HEV59"/>
      <c r="HEW59"/>
      <c r="HEX59"/>
      <c r="HEY59"/>
      <c r="HEZ59"/>
      <c r="HFA59"/>
      <c r="HFB59"/>
      <c r="HFC59"/>
      <c r="HFD59"/>
      <c r="HFE59"/>
      <c r="HFF59"/>
      <c r="HFG59"/>
      <c r="HFH59"/>
      <c r="HFI59"/>
      <c r="HFJ59"/>
      <c r="HFK59"/>
      <c r="HFL59"/>
      <c r="HFM59"/>
      <c r="HFN59"/>
      <c r="HFO59"/>
      <c r="HFP59"/>
      <c r="HFQ59"/>
      <c r="HFR59"/>
      <c r="HFS59"/>
      <c r="HFT59"/>
      <c r="HFU59"/>
      <c r="HFV59"/>
      <c r="HFW59"/>
      <c r="HFX59"/>
      <c r="HFY59"/>
      <c r="HFZ59"/>
      <c r="HGA59"/>
      <c r="HGB59"/>
      <c r="HGC59"/>
      <c r="HGD59"/>
      <c r="HGE59"/>
      <c r="HGF59"/>
      <c r="HGG59"/>
      <c r="HGH59"/>
      <c r="HGI59"/>
      <c r="HGJ59"/>
      <c r="HGK59"/>
      <c r="HGL59"/>
      <c r="HGM59"/>
      <c r="HGN59"/>
      <c r="HGO59"/>
      <c r="HGP59"/>
      <c r="HGQ59"/>
      <c r="HGR59"/>
      <c r="HGS59"/>
      <c r="HGT59"/>
      <c r="HGU59"/>
      <c r="HGV59"/>
      <c r="HGW59"/>
      <c r="HGX59"/>
      <c r="HGY59"/>
      <c r="HGZ59"/>
      <c r="HHA59"/>
      <c r="HHB59"/>
      <c r="HHC59"/>
      <c r="HHD59"/>
      <c r="HHE59"/>
      <c r="HHF59"/>
      <c r="HHG59"/>
      <c r="HHH59"/>
      <c r="HHI59"/>
      <c r="HHJ59"/>
      <c r="HHK59"/>
      <c r="HHL59"/>
      <c r="HHM59"/>
      <c r="HHN59"/>
      <c r="HHO59"/>
      <c r="HHP59"/>
      <c r="HHQ59"/>
      <c r="HHR59"/>
      <c r="HHS59"/>
      <c r="HHT59"/>
      <c r="HHU59"/>
      <c r="HHV59"/>
      <c r="HHW59"/>
      <c r="HHX59"/>
      <c r="HHY59"/>
      <c r="HHZ59"/>
      <c r="HIA59"/>
      <c r="HIB59"/>
      <c r="HIC59"/>
      <c r="HID59"/>
      <c r="HIE59"/>
      <c r="HIF59"/>
      <c r="HIG59"/>
      <c r="HIH59"/>
      <c r="HII59"/>
      <c r="HIJ59"/>
      <c r="HIK59"/>
      <c r="HIL59"/>
      <c r="HIM59"/>
      <c r="HIN59"/>
      <c r="HIO59"/>
      <c r="HIP59"/>
      <c r="HIQ59"/>
      <c r="HIR59"/>
      <c r="HIS59"/>
      <c r="HIT59"/>
      <c r="HIU59"/>
      <c r="HIV59"/>
      <c r="HIW59"/>
      <c r="HIX59"/>
      <c r="HIY59"/>
      <c r="HIZ59"/>
      <c r="HJA59"/>
      <c r="HJB59"/>
      <c r="HJC59"/>
      <c r="HJD59"/>
      <c r="HJE59"/>
      <c r="HJF59"/>
      <c r="HJG59"/>
      <c r="HJH59"/>
      <c r="HJI59"/>
      <c r="HJJ59"/>
      <c r="HJK59"/>
      <c r="HJL59"/>
      <c r="HJM59"/>
      <c r="HJN59"/>
      <c r="HJO59"/>
      <c r="HJP59"/>
      <c r="HJQ59"/>
      <c r="HJR59"/>
      <c r="HJS59"/>
      <c r="HJT59"/>
      <c r="HJU59"/>
      <c r="HJV59"/>
      <c r="HJW59"/>
      <c r="HJX59"/>
      <c r="HJY59"/>
      <c r="HJZ59"/>
      <c r="HKA59"/>
      <c r="HKB59"/>
      <c r="HKC59"/>
      <c r="HKD59"/>
      <c r="HKE59"/>
      <c r="HKF59"/>
      <c r="HKG59"/>
      <c r="HKH59"/>
      <c r="HKI59"/>
      <c r="HKJ59"/>
      <c r="HKK59"/>
      <c r="HKL59"/>
      <c r="HKM59"/>
      <c r="HKN59"/>
      <c r="HKO59"/>
      <c r="HKP59"/>
      <c r="HKQ59"/>
      <c r="HKR59"/>
      <c r="HKS59"/>
      <c r="HKT59"/>
      <c r="HKU59"/>
      <c r="HKV59"/>
      <c r="HKW59"/>
      <c r="HKX59"/>
      <c r="HKY59"/>
      <c r="HKZ59"/>
      <c r="HLA59"/>
      <c r="HLB59"/>
      <c r="HLC59"/>
      <c r="HLD59"/>
      <c r="HLE59"/>
      <c r="HLF59"/>
      <c r="HLG59"/>
      <c r="HLH59"/>
      <c r="HLI59"/>
      <c r="HLJ59"/>
      <c r="HLK59"/>
      <c r="HLL59"/>
      <c r="HLM59"/>
      <c r="HLN59"/>
      <c r="HLO59"/>
      <c r="HLP59"/>
      <c r="HLQ59"/>
      <c r="HLR59"/>
      <c r="HLS59"/>
      <c r="HLT59"/>
      <c r="HLU59"/>
      <c r="HLV59"/>
      <c r="HLW59"/>
      <c r="HLX59"/>
      <c r="HLY59"/>
      <c r="HLZ59"/>
      <c r="HMA59"/>
      <c r="HMB59"/>
      <c r="HMC59"/>
      <c r="HMD59"/>
      <c r="HME59"/>
      <c r="HMF59"/>
      <c r="HMG59"/>
      <c r="HMH59"/>
      <c r="HMI59"/>
      <c r="HMJ59"/>
      <c r="HMK59"/>
      <c r="HML59"/>
      <c r="HMM59"/>
      <c r="HMN59"/>
      <c r="HMO59"/>
      <c r="HMP59"/>
      <c r="HMQ59"/>
      <c r="HMR59"/>
      <c r="HMS59"/>
      <c r="HMT59"/>
      <c r="HMU59"/>
      <c r="HMV59"/>
      <c r="HMW59"/>
      <c r="HMX59"/>
      <c r="HMY59"/>
      <c r="HMZ59"/>
      <c r="HNA59"/>
      <c r="HNB59"/>
      <c r="HNC59"/>
      <c r="HND59"/>
      <c r="HNE59"/>
      <c r="HNF59"/>
      <c r="HNG59"/>
      <c r="HNH59"/>
      <c r="HNI59"/>
      <c r="HNJ59"/>
      <c r="HNK59"/>
      <c r="HNL59"/>
      <c r="HNM59"/>
      <c r="HNN59"/>
      <c r="HNO59"/>
      <c r="HNP59"/>
      <c r="HNQ59"/>
      <c r="HNR59"/>
      <c r="HNS59"/>
      <c r="HNT59"/>
      <c r="HNU59"/>
      <c r="HNV59"/>
      <c r="HNW59"/>
      <c r="HNX59"/>
      <c r="HNY59"/>
      <c r="HNZ59"/>
      <c r="HOA59"/>
      <c r="HOB59"/>
      <c r="HOC59"/>
      <c r="HOD59"/>
      <c r="HOE59"/>
      <c r="HOF59"/>
      <c r="HOG59"/>
      <c r="HOH59"/>
      <c r="HOI59"/>
      <c r="HOJ59"/>
      <c r="HOK59"/>
      <c r="HOL59"/>
      <c r="HOM59"/>
      <c r="HON59"/>
      <c r="HOO59"/>
      <c r="HOP59"/>
      <c r="HOQ59"/>
      <c r="HOR59"/>
      <c r="HOS59"/>
      <c r="HOT59"/>
      <c r="HOU59"/>
      <c r="HOV59"/>
      <c r="HOW59"/>
      <c r="HOX59"/>
      <c r="HOY59"/>
      <c r="HOZ59"/>
      <c r="HPA59"/>
      <c r="HPB59"/>
      <c r="HPC59"/>
      <c r="HPD59"/>
      <c r="HPE59"/>
      <c r="HPF59"/>
      <c r="HPG59"/>
      <c r="HPH59"/>
      <c r="HPI59"/>
      <c r="HPJ59"/>
      <c r="HPK59"/>
      <c r="HPL59"/>
      <c r="HPM59"/>
      <c r="HPN59"/>
      <c r="HPO59"/>
      <c r="HPP59"/>
      <c r="HPQ59"/>
      <c r="HPR59"/>
      <c r="HPS59"/>
      <c r="HPT59"/>
      <c r="HPU59"/>
      <c r="HPV59"/>
      <c r="HPW59"/>
      <c r="HPX59"/>
      <c r="HPY59"/>
      <c r="HPZ59"/>
      <c r="HQA59"/>
      <c r="HQB59"/>
      <c r="HQC59"/>
      <c r="HQD59"/>
      <c r="HQE59"/>
      <c r="HQF59"/>
      <c r="HQG59"/>
      <c r="HQH59"/>
      <c r="HQI59"/>
      <c r="HQJ59"/>
      <c r="HQK59"/>
      <c r="HQL59"/>
      <c r="HQM59"/>
      <c r="HQN59"/>
      <c r="HQO59"/>
      <c r="HQP59"/>
      <c r="HQQ59"/>
      <c r="HQR59"/>
      <c r="HQS59"/>
      <c r="HQT59"/>
      <c r="HQU59"/>
      <c r="HQV59"/>
      <c r="HQW59"/>
      <c r="HQX59"/>
      <c r="HQY59"/>
      <c r="HQZ59"/>
      <c r="HRA59"/>
      <c r="HRB59"/>
      <c r="HRC59"/>
      <c r="HRD59"/>
      <c r="HRE59"/>
      <c r="HRF59"/>
      <c r="HRG59"/>
      <c r="HRH59"/>
      <c r="HRI59"/>
      <c r="HRJ59"/>
      <c r="HRK59"/>
      <c r="HRL59"/>
      <c r="HRM59"/>
      <c r="HRN59"/>
      <c r="HRO59"/>
      <c r="HRP59"/>
      <c r="HRQ59"/>
      <c r="HRR59"/>
      <c r="HRS59"/>
      <c r="HRT59"/>
      <c r="HRU59"/>
      <c r="HRV59"/>
      <c r="HRW59"/>
      <c r="HRX59"/>
      <c r="HRY59"/>
      <c r="HRZ59"/>
      <c r="HSA59"/>
      <c r="HSB59"/>
      <c r="HSC59"/>
      <c r="HSD59"/>
      <c r="HSE59"/>
      <c r="HSF59"/>
      <c r="HSG59"/>
      <c r="HSH59"/>
      <c r="HSI59"/>
      <c r="HSJ59"/>
      <c r="HSK59"/>
      <c r="HSL59"/>
      <c r="HSM59"/>
      <c r="HSN59"/>
      <c r="HSO59"/>
      <c r="HSP59"/>
      <c r="HSQ59"/>
      <c r="HSR59"/>
      <c r="HSS59"/>
      <c r="HST59"/>
      <c r="HSU59"/>
      <c r="HSV59"/>
      <c r="HSW59"/>
      <c r="HSX59"/>
      <c r="HSY59"/>
      <c r="HSZ59"/>
      <c r="HTA59"/>
      <c r="HTB59"/>
      <c r="HTC59"/>
      <c r="HTD59"/>
      <c r="HTE59"/>
      <c r="HTF59"/>
      <c r="HTG59"/>
      <c r="HTH59"/>
      <c r="HTI59"/>
      <c r="HTJ59"/>
      <c r="HTK59"/>
      <c r="HTL59"/>
      <c r="HTM59"/>
      <c r="HTN59"/>
      <c r="HTO59"/>
      <c r="HTP59"/>
      <c r="HTQ59"/>
      <c r="HTR59"/>
      <c r="HTS59"/>
      <c r="HTT59"/>
      <c r="HTU59"/>
      <c r="HTV59"/>
      <c r="HTW59"/>
      <c r="HTX59"/>
      <c r="HTY59"/>
      <c r="HTZ59"/>
      <c r="HUA59"/>
      <c r="HUB59"/>
      <c r="HUC59"/>
      <c r="HUD59"/>
      <c r="HUE59"/>
      <c r="HUF59"/>
      <c r="HUG59"/>
      <c r="HUH59"/>
      <c r="HUI59"/>
      <c r="HUJ59"/>
      <c r="HUK59"/>
      <c r="HUL59"/>
      <c r="HUM59"/>
      <c r="HUN59"/>
      <c r="HUO59"/>
      <c r="HUP59"/>
      <c r="HUQ59"/>
      <c r="HUR59"/>
      <c r="HUS59"/>
      <c r="HUT59"/>
      <c r="HUU59"/>
      <c r="HUV59"/>
      <c r="HUW59"/>
      <c r="HUX59"/>
      <c r="HUY59"/>
      <c r="HUZ59"/>
      <c r="HVA59"/>
      <c r="HVB59"/>
      <c r="HVC59"/>
      <c r="HVD59"/>
      <c r="HVE59"/>
      <c r="HVF59"/>
      <c r="HVG59"/>
      <c r="HVH59"/>
      <c r="HVI59"/>
      <c r="HVJ59"/>
      <c r="HVK59"/>
      <c r="HVL59"/>
      <c r="HVM59"/>
      <c r="HVN59"/>
      <c r="HVO59"/>
      <c r="HVP59"/>
      <c r="HVQ59"/>
      <c r="HVR59"/>
      <c r="HVS59"/>
      <c r="HVT59"/>
      <c r="HVU59"/>
      <c r="HVV59"/>
      <c r="HVW59"/>
      <c r="HVX59"/>
      <c r="HVY59"/>
      <c r="HVZ59"/>
      <c r="HWA59"/>
      <c r="HWB59"/>
      <c r="HWC59"/>
      <c r="HWD59"/>
      <c r="HWE59"/>
      <c r="HWF59"/>
      <c r="HWG59"/>
      <c r="HWH59"/>
      <c r="HWI59"/>
      <c r="HWJ59"/>
      <c r="HWK59"/>
      <c r="HWL59"/>
      <c r="HWM59"/>
      <c r="HWN59"/>
      <c r="HWO59"/>
      <c r="HWP59"/>
      <c r="HWQ59"/>
      <c r="HWR59"/>
      <c r="HWS59"/>
      <c r="HWT59"/>
      <c r="HWU59"/>
      <c r="HWV59"/>
      <c r="HWW59"/>
      <c r="HWX59"/>
      <c r="HWY59"/>
      <c r="HWZ59"/>
      <c r="HXA59"/>
      <c r="HXB59"/>
      <c r="HXC59"/>
      <c r="HXD59"/>
      <c r="HXE59"/>
      <c r="HXF59"/>
      <c r="HXG59"/>
      <c r="HXH59"/>
      <c r="HXI59"/>
      <c r="HXJ59"/>
      <c r="HXK59"/>
      <c r="HXL59"/>
      <c r="HXM59"/>
      <c r="HXN59"/>
      <c r="HXO59"/>
      <c r="HXP59"/>
      <c r="HXQ59"/>
      <c r="HXR59"/>
      <c r="HXS59"/>
      <c r="HXT59"/>
      <c r="HXU59"/>
      <c r="HXV59"/>
      <c r="HXW59"/>
      <c r="HXX59"/>
      <c r="HXY59"/>
      <c r="HXZ59"/>
      <c r="HYA59"/>
      <c r="HYB59"/>
      <c r="HYC59"/>
      <c r="HYD59"/>
      <c r="HYE59"/>
      <c r="HYF59"/>
      <c r="HYG59"/>
      <c r="HYH59"/>
      <c r="HYI59"/>
      <c r="HYJ59"/>
      <c r="HYK59"/>
      <c r="HYL59"/>
      <c r="HYM59"/>
      <c r="HYN59"/>
      <c r="HYO59"/>
      <c r="HYP59"/>
      <c r="HYQ59"/>
      <c r="HYR59"/>
      <c r="HYS59"/>
      <c r="HYT59"/>
      <c r="HYU59"/>
      <c r="HYV59"/>
      <c r="HYW59"/>
      <c r="HYX59"/>
      <c r="HYY59"/>
      <c r="HYZ59"/>
      <c r="HZA59"/>
      <c r="HZB59"/>
      <c r="HZC59"/>
      <c r="HZD59"/>
      <c r="HZE59"/>
      <c r="HZF59"/>
      <c r="HZG59"/>
      <c r="HZH59"/>
      <c r="HZI59"/>
      <c r="HZJ59"/>
      <c r="HZK59"/>
      <c r="HZL59"/>
      <c r="HZM59"/>
      <c r="HZN59"/>
      <c r="HZO59"/>
      <c r="HZP59"/>
      <c r="HZQ59"/>
      <c r="HZR59"/>
      <c r="HZS59"/>
      <c r="HZT59"/>
      <c r="HZU59"/>
      <c r="HZV59"/>
      <c r="HZW59"/>
      <c r="HZX59"/>
      <c r="HZY59"/>
      <c r="HZZ59"/>
      <c r="IAA59"/>
      <c r="IAB59"/>
      <c r="IAC59"/>
      <c r="IAD59"/>
      <c r="IAE59"/>
      <c r="IAF59"/>
      <c r="IAG59"/>
      <c r="IAH59"/>
      <c r="IAI59"/>
      <c r="IAJ59"/>
      <c r="IAK59"/>
      <c r="IAL59"/>
      <c r="IAM59"/>
      <c r="IAN59"/>
      <c r="IAO59"/>
      <c r="IAP59"/>
      <c r="IAQ59"/>
      <c r="IAR59"/>
      <c r="IAS59"/>
      <c r="IAT59"/>
      <c r="IAU59"/>
      <c r="IAV59"/>
      <c r="IAW59"/>
      <c r="IAX59"/>
      <c r="IAY59"/>
      <c r="IAZ59"/>
      <c r="IBA59"/>
      <c r="IBB59"/>
      <c r="IBC59"/>
      <c r="IBD59"/>
      <c r="IBE59"/>
      <c r="IBF59"/>
      <c r="IBG59"/>
      <c r="IBH59"/>
      <c r="IBI59"/>
      <c r="IBJ59"/>
      <c r="IBK59"/>
      <c r="IBL59"/>
      <c r="IBM59"/>
      <c r="IBN59"/>
      <c r="IBO59"/>
      <c r="IBP59"/>
      <c r="IBQ59"/>
      <c r="IBR59"/>
      <c r="IBS59"/>
      <c r="IBT59"/>
      <c r="IBU59"/>
      <c r="IBV59"/>
      <c r="IBW59"/>
      <c r="IBX59"/>
      <c r="IBY59"/>
      <c r="IBZ59"/>
      <c r="ICA59"/>
      <c r="ICB59"/>
      <c r="ICC59"/>
      <c r="ICD59"/>
      <c r="ICE59"/>
      <c r="ICF59"/>
      <c r="ICG59"/>
      <c r="ICH59"/>
      <c r="ICI59"/>
      <c r="ICJ59"/>
      <c r="ICK59"/>
      <c r="ICL59"/>
      <c r="ICM59"/>
      <c r="ICN59"/>
      <c r="ICO59"/>
      <c r="ICP59"/>
      <c r="ICQ59"/>
      <c r="ICR59"/>
      <c r="ICS59"/>
      <c r="ICT59"/>
      <c r="ICU59"/>
      <c r="ICV59"/>
      <c r="ICW59"/>
      <c r="ICX59"/>
      <c r="ICY59"/>
      <c r="ICZ59"/>
      <c r="IDA59"/>
      <c r="IDB59"/>
      <c r="IDC59"/>
      <c r="IDD59"/>
      <c r="IDE59"/>
      <c r="IDF59"/>
      <c r="IDG59"/>
      <c r="IDH59"/>
      <c r="IDI59"/>
      <c r="IDJ59"/>
      <c r="IDK59"/>
      <c r="IDL59"/>
      <c r="IDM59"/>
      <c r="IDN59"/>
      <c r="IDO59"/>
      <c r="IDP59"/>
      <c r="IDQ59"/>
      <c r="IDR59"/>
      <c r="IDS59"/>
      <c r="IDT59"/>
      <c r="IDU59"/>
      <c r="IDV59"/>
      <c r="IDW59"/>
      <c r="IDX59"/>
      <c r="IDY59"/>
      <c r="IDZ59"/>
      <c r="IEA59"/>
      <c r="IEB59"/>
      <c r="IEC59"/>
      <c r="IED59"/>
      <c r="IEE59"/>
      <c r="IEF59"/>
      <c r="IEG59"/>
      <c r="IEH59"/>
      <c r="IEI59"/>
      <c r="IEJ59"/>
      <c r="IEK59"/>
      <c r="IEL59"/>
      <c r="IEM59"/>
      <c r="IEN59"/>
      <c r="IEO59"/>
      <c r="IEP59"/>
      <c r="IEQ59"/>
      <c r="IER59"/>
      <c r="IES59"/>
      <c r="IET59"/>
      <c r="IEU59"/>
      <c r="IEV59"/>
      <c r="IEW59"/>
      <c r="IEX59"/>
      <c r="IEY59"/>
      <c r="IEZ59"/>
      <c r="IFA59"/>
      <c r="IFB59"/>
      <c r="IFC59"/>
      <c r="IFD59"/>
      <c r="IFE59"/>
      <c r="IFF59"/>
      <c r="IFG59"/>
      <c r="IFH59"/>
      <c r="IFI59"/>
      <c r="IFJ59"/>
      <c r="IFK59"/>
      <c r="IFL59"/>
      <c r="IFM59"/>
      <c r="IFN59"/>
      <c r="IFO59"/>
      <c r="IFP59"/>
      <c r="IFQ59"/>
      <c r="IFR59"/>
      <c r="IFS59"/>
      <c r="IFT59"/>
      <c r="IFU59"/>
      <c r="IFV59"/>
      <c r="IFW59"/>
      <c r="IFX59"/>
      <c r="IFY59"/>
      <c r="IFZ59"/>
      <c r="IGA59"/>
      <c r="IGB59"/>
      <c r="IGC59"/>
      <c r="IGD59"/>
      <c r="IGE59"/>
      <c r="IGF59"/>
      <c r="IGG59"/>
      <c r="IGH59"/>
      <c r="IGI59"/>
      <c r="IGJ59"/>
      <c r="IGK59"/>
      <c r="IGL59"/>
      <c r="IGM59"/>
      <c r="IGN59"/>
      <c r="IGO59"/>
      <c r="IGP59"/>
      <c r="IGQ59"/>
      <c r="IGR59"/>
      <c r="IGS59"/>
      <c r="IGT59"/>
      <c r="IGU59"/>
      <c r="IGV59"/>
      <c r="IGW59"/>
      <c r="IGX59"/>
      <c r="IGY59"/>
      <c r="IGZ59"/>
      <c r="IHA59"/>
      <c r="IHB59"/>
      <c r="IHC59"/>
      <c r="IHD59"/>
      <c r="IHE59"/>
      <c r="IHF59"/>
      <c r="IHG59"/>
      <c r="IHH59"/>
      <c r="IHI59"/>
      <c r="IHJ59"/>
      <c r="IHK59"/>
      <c r="IHL59"/>
      <c r="IHM59"/>
      <c r="IHN59"/>
      <c r="IHO59"/>
      <c r="IHP59"/>
      <c r="IHQ59"/>
      <c r="IHR59"/>
      <c r="IHS59"/>
      <c r="IHT59"/>
      <c r="IHU59"/>
      <c r="IHV59"/>
      <c r="IHW59"/>
      <c r="IHX59"/>
      <c r="IHY59"/>
      <c r="IHZ59"/>
      <c r="IIA59"/>
      <c r="IIB59"/>
      <c r="IIC59"/>
      <c r="IID59"/>
      <c r="IIE59"/>
      <c r="IIF59"/>
      <c r="IIG59"/>
      <c r="IIH59"/>
      <c r="III59"/>
      <c r="IIJ59"/>
      <c r="IIK59"/>
      <c r="IIL59"/>
      <c r="IIM59"/>
      <c r="IIN59"/>
      <c r="IIO59"/>
      <c r="IIP59"/>
      <c r="IIQ59"/>
      <c r="IIR59"/>
      <c r="IIS59"/>
      <c r="IIT59"/>
      <c r="IIU59"/>
      <c r="IIV59"/>
      <c r="IIW59"/>
      <c r="IIX59"/>
      <c r="IIY59"/>
      <c r="IIZ59"/>
      <c r="IJA59"/>
      <c r="IJB59"/>
      <c r="IJC59"/>
      <c r="IJD59"/>
      <c r="IJE59"/>
      <c r="IJF59"/>
      <c r="IJG59"/>
      <c r="IJH59"/>
      <c r="IJI59"/>
      <c r="IJJ59"/>
      <c r="IJK59"/>
      <c r="IJL59"/>
      <c r="IJM59"/>
      <c r="IJN59"/>
      <c r="IJO59"/>
      <c r="IJP59"/>
      <c r="IJQ59"/>
      <c r="IJR59"/>
      <c r="IJS59"/>
      <c r="IJT59"/>
      <c r="IJU59"/>
      <c r="IJV59"/>
      <c r="IJW59"/>
      <c r="IJX59"/>
      <c r="IJY59"/>
      <c r="IJZ59"/>
      <c r="IKA59"/>
      <c r="IKB59"/>
      <c r="IKC59"/>
      <c r="IKD59"/>
      <c r="IKE59"/>
      <c r="IKF59"/>
      <c r="IKG59"/>
      <c r="IKH59"/>
      <c r="IKI59"/>
      <c r="IKJ59"/>
      <c r="IKK59"/>
      <c r="IKL59"/>
      <c r="IKM59"/>
      <c r="IKN59"/>
      <c r="IKO59"/>
      <c r="IKP59"/>
      <c r="IKQ59"/>
      <c r="IKR59"/>
      <c r="IKS59"/>
      <c r="IKT59"/>
      <c r="IKU59"/>
      <c r="IKV59"/>
      <c r="IKW59"/>
      <c r="IKX59"/>
      <c r="IKY59"/>
      <c r="IKZ59"/>
      <c r="ILA59"/>
      <c r="ILB59"/>
      <c r="ILC59"/>
      <c r="ILD59"/>
      <c r="ILE59"/>
      <c r="ILF59"/>
      <c r="ILG59"/>
      <c r="ILH59"/>
      <c r="ILI59"/>
      <c r="ILJ59"/>
      <c r="ILK59"/>
      <c r="ILL59"/>
      <c r="ILM59"/>
      <c r="ILN59"/>
      <c r="ILO59"/>
      <c r="ILP59"/>
      <c r="ILQ59"/>
      <c r="ILR59"/>
      <c r="ILS59"/>
      <c r="ILT59"/>
      <c r="ILU59"/>
      <c r="ILV59"/>
      <c r="ILW59"/>
      <c r="ILX59"/>
      <c r="ILY59"/>
      <c r="ILZ59"/>
      <c r="IMA59"/>
      <c r="IMB59"/>
      <c r="IMC59"/>
      <c r="IMD59"/>
      <c r="IME59"/>
      <c r="IMF59"/>
      <c r="IMG59"/>
      <c r="IMH59"/>
      <c r="IMI59"/>
      <c r="IMJ59"/>
      <c r="IMK59"/>
      <c r="IML59"/>
      <c r="IMM59"/>
      <c r="IMN59"/>
      <c r="IMO59"/>
      <c r="IMP59"/>
      <c r="IMQ59"/>
      <c r="IMR59"/>
      <c r="IMS59"/>
      <c r="IMT59"/>
      <c r="IMU59"/>
      <c r="IMV59"/>
      <c r="IMW59"/>
      <c r="IMX59"/>
      <c r="IMY59"/>
      <c r="IMZ59"/>
      <c r="INA59"/>
      <c r="INB59"/>
      <c r="INC59"/>
      <c r="IND59"/>
      <c r="INE59"/>
      <c r="INF59"/>
      <c r="ING59"/>
      <c r="INH59"/>
      <c r="INI59"/>
      <c r="INJ59"/>
      <c r="INK59"/>
      <c r="INL59"/>
      <c r="INM59"/>
      <c r="INN59"/>
      <c r="INO59"/>
      <c r="INP59"/>
      <c r="INQ59"/>
      <c r="INR59"/>
      <c r="INS59"/>
      <c r="INT59"/>
      <c r="INU59"/>
      <c r="INV59"/>
      <c r="INW59"/>
      <c r="INX59"/>
      <c r="INY59"/>
      <c r="INZ59"/>
      <c r="IOA59"/>
      <c r="IOB59"/>
      <c r="IOC59"/>
      <c r="IOD59"/>
      <c r="IOE59"/>
      <c r="IOF59"/>
      <c r="IOG59"/>
      <c r="IOH59"/>
      <c r="IOI59"/>
      <c r="IOJ59"/>
      <c r="IOK59"/>
      <c r="IOL59"/>
      <c r="IOM59"/>
      <c r="ION59"/>
      <c r="IOO59"/>
      <c r="IOP59"/>
      <c r="IOQ59"/>
      <c r="IOR59"/>
      <c r="IOS59"/>
      <c r="IOT59"/>
      <c r="IOU59"/>
      <c r="IOV59"/>
      <c r="IOW59"/>
      <c r="IOX59"/>
      <c r="IOY59"/>
      <c r="IOZ59"/>
      <c r="IPA59"/>
      <c r="IPB59"/>
      <c r="IPC59"/>
      <c r="IPD59"/>
      <c r="IPE59"/>
      <c r="IPF59"/>
      <c r="IPG59"/>
      <c r="IPH59"/>
      <c r="IPI59"/>
      <c r="IPJ59"/>
      <c r="IPK59"/>
      <c r="IPL59"/>
      <c r="IPM59"/>
      <c r="IPN59"/>
      <c r="IPO59"/>
      <c r="IPP59"/>
      <c r="IPQ59"/>
      <c r="IPR59"/>
      <c r="IPS59"/>
      <c r="IPT59"/>
      <c r="IPU59"/>
      <c r="IPV59"/>
      <c r="IPW59"/>
      <c r="IPX59"/>
      <c r="IPY59"/>
      <c r="IPZ59"/>
      <c r="IQA59"/>
      <c r="IQB59"/>
      <c r="IQC59"/>
      <c r="IQD59"/>
      <c r="IQE59"/>
      <c r="IQF59"/>
      <c r="IQG59"/>
      <c r="IQH59"/>
      <c r="IQI59"/>
      <c r="IQJ59"/>
      <c r="IQK59"/>
      <c r="IQL59"/>
      <c r="IQM59"/>
      <c r="IQN59"/>
      <c r="IQO59"/>
      <c r="IQP59"/>
      <c r="IQQ59"/>
      <c r="IQR59"/>
      <c r="IQS59"/>
      <c r="IQT59"/>
      <c r="IQU59"/>
      <c r="IQV59"/>
      <c r="IQW59"/>
      <c r="IQX59"/>
      <c r="IQY59"/>
      <c r="IQZ59"/>
      <c r="IRA59"/>
      <c r="IRB59"/>
      <c r="IRC59"/>
      <c r="IRD59"/>
      <c r="IRE59"/>
      <c r="IRF59"/>
      <c r="IRG59"/>
      <c r="IRH59"/>
      <c r="IRI59"/>
      <c r="IRJ59"/>
      <c r="IRK59"/>
      <c r="IRL59"/>
      <c r="IRM59"/>
      <c r="IRN59"/>
      <c r="IRO59"/>
      <c r="IRP59"/>
      <c r="IRQ59"/>
      <c r="IRR59"/>
      <c r="IRS59"/>
      <c r="IRT59"/>
      <c r="IRU59"/>
      <c r="IRV59"/>
      <c r="IRW59"/>
      <c r="IRX59"/>
      <c r="IRY59"/>
      <c r="IRZ59"/>
      <c r="ISA59"/>
      <c r="ISB59"/>
      <c r="ISC59"/>
      <c r="ISD59"/>
      <c r="ISE59"/>
      <c r="ISF59"/>
      <c r="ISG59"/>
      <c r="ISH59"/>
      <c r="ISI59"/>
      <c r="ISJ59"/>
      <c r="ISK59"/>
      <c r="ISL59"/>
      <c r="ISM59"/>
      <c r="ISN59"/>
      <c r="ISO59"/>
      <c r="ISP59"/>
      <c r="ISQ59"/>
      <c r="ISR59"/>
      <c r="ISS59"/>
      <c r="IST59"/>
      <c r="ISU59"/>
      <c r="ISV59"/>
      <c r="ISW59"/>
      <c r="ISX59"/>
      <c r="ISY59"/>
      <c r="ISZ59"/>
      <c r="ITA59"/>
      <c r="ITB59"/>
      <c r="ITC59"/>
      <c r="ITD59"/>
      <c r="ITE59"/>
      <c r="ITF59"/>
      <c r="ITG59"/>
      <c r="ITH59"/>
      <c r="ITI59"/>
      <c r="ITJ59"/>
      <c r="ITK59"/>
      <c r="ITL59"/>
      <c r="ITM59"/>
      <c r="ITN59"/>
      <c r="ITO59"/>
      <c r="ITP59"/>
      <c r="ITQ59"/>
      <c r="ITR59"/>
      <c r="ITS59"/>
      <c r="ITT59"/>
      <c r="ITU59"/>
      <c r="ITV59"/>
      <c r="ITW59"/>
      <c r="ITX59"/>
      <c r="ITY59"/>
      <c r="ITZ59"/>
      <c r="IUA59"/>
      <c r="IUB59"/>
      <c r="IUC59"/>
      <c r="IUD59"/>
      <c r="IUE59"/>
      <c r="IUF59"/>
      <c r="IUG59"/>
      <c r="IUH59"/>
      <c r="IUI59"/>
      <c r="IUJ59"/>
      <c r="IUK59"/>
      <c r="IUL59"/>
      <c r="IUM59"/>
      <c r="IUN59"/>
      <c r="IUO59"/>
      <c r="IUP59"/>
      <c r="IUQ59"/>
      <c r="IUR59"/>
      <c r="IUS59"/>
      <c r="IUT59"/>
      <c r="IUU59"/>
      <c r="IUV59"/>
      <c r="IUW59"/>
      <c r="IUX59"/>
      <c r="IUY59"/>
      <c r="IUZ59"/>
      <c r="IVA59"/>
      <c r="IVB59"/>
      <c r="IVC59"/>
      <c r="IVD59"/>
      <c r="IVE59"/>
      <c r="IVF59"/>
      <c r="IVG59"/>
      <c r="IVH59"/>
      <c r="IVI59"/>
      <c r="IVJ59"/>
      <c r="IVK59"/>
      <c r="IVL59"/>
      <c r="IVM59"/>
      <c r="IVN59"/>
      <c r="IVO59"/>
      <c r="IVP59"/>
      <c r="IVQ59"/>
      <c r="IVR59"/>
      <c r="IVS59"/>
      <c r="IVT59"/>
      <c r="IVU59"/>
      <c r="IVV59"/>
      <c r="IVW59"/>
      <c r="IVX59"/>
      <c r="IVY59"/>
      <c r="IVZ59"/>
      <c r="IWA59"/>
      <c r="IWB59"/>
      <c r="IWC59"/>
      <c r="IWD59"/>
      <c r="IWE59"/>
      <c r="IWF59"/>
      <c r="IWG59"/>
      <c r="IWH59"/>
      <c r="IWI59"/>
      <c r="IWJ59"/>
      <c r="IWK59"/>
      <c r="IWL59"/>
      <c r="IWM59"/>
      <c r="IWN59"/>
      <c r="IWO59"/>
      <c r="IWP59"/>
      <c r="IWQ59"/>
      <c r="IWR59"/>
      <c r="IWS59"/>
      <c r="IWT59"/>
      <c r="IWU59"/>
      <c r="IWV59"/>
      <c r="IWW59"/>
      <c r="IWX59"/>
      <c r="IWY59"/>
      <c r="IWZ59"/>
      <c r="IXA59"/>
      <c r="IXB59"/>
      <c r="IXC59"/>
      <c r="IXD59"/>
      <c r="IXE59"/>
      <c r="IXF59"/>
      <c r="IXG59"/>
      <c r="IXH59"/>
      <c r="IXI59"/>
      <c r="IXJ59"/>
      <c r="IXK59"/>
      <c r="IXL59"/>
      <c r="IXM59"/>
      <c r="IXN59"/>
      <c r="IXO59"/>
      <c r="IXP59"/>
      <c r="IXQ59"/>
      <c r="IXR59"/>
      <c r="IXS59"/>
      <c r="IXT59"/>
      <c r="IXU59"/>
      <c r="IXV59"/>
      <c r="IXW59"/>
      <c r="IXX59"/>
      <c r="IXY59"/>
      <c r="IXZ59"/>
      <c r="IYA59"/>
      <c r="IYB59"/>
      <c r="IYC59"/>
      <c r="IYD59"/>
      <c r="IYE59"/>
      <c r="IYF59"/>
      <c r="IYG59"/>
      <c r="IYH59"/>
      <c r="IYI59"/>
      <c r="IYJ59"/>
      <c r="IYK59"/>
      <c r="IYL59"/>
      <c r="IYM59"/>
      <c r="IYN59"/>
      <c r="IYO59"/>
      <c r="IYP59"/>
      <c r="IYQ59"/>
      <c r="IYR59"/>
      <c r="IYS59"/>
      <c r="IYT59"/>
      <c r="IYU59"/>
      <c r="IYV59"/>
      <c r="IYW59"/>
      <c r="IYX59"/>
      <c r="IYY59"/>
      <c r="IYZ59"/>
      <c r="IZA59"/>
      <c r="IZB59"/>
      <c r="IZC59"/>
      <c r="IZD59"/>
      <c r="IZE59"/>
      <c r="IZF59"/>
      <c r="IZG59"/>
      <c r="IZH59"/>
      <c r="IZI59"/>
      <c r="IZJ59"/>
      <c r="IZK59"/>
      <c r="IZL59"/>
      <c r="IZM59"/>
      <c r="IZN59"/>
      <c r="IZO59"/>
      <c r="IZP59"/>
      <c r="IZQ59"/>
      <c r="IZR59"/>
      <c r="IZS59"/>
      <c r="IZT59"/>
      <c r="IZU59"/>
      <c r="IZV59"/>
      <c r="IZW59"/>
      <c r="IZX59"/>
      <c r="IZY59"/>
      <c r="IZZ59"/>
      <c r="JAA59"/>
      <c r="JAB59"/>
      <c r="JAC59"/>
      <c r="JAD59"/>
      <c r="JAE59"/>
      <c r="JAF59"/>
      <c r="JAG59"/>
      <c r="JAH59"/>
      <c r="JAI59"/>
      <c r="JAJ59"/>
      <c r="JAK59"/>
      <c r="JAL59"/>
      <c r="JAM59"/>
      <c r="JAN59"/>
      <c r="JAO59"/>
      <c r="JAP59"/>
      <c r="JAQ59"/>
      <c r="JAR59"/>
      <c r="JAS59"/>
      <c r="JAT59"/>
      <c r="JAU59"/>
      <c r="JAV59"/>
      <c r="JAW59"/>
      <c r="JAX59"/>
      <c r="JAY59"/>
      <c r="JAZ59"/>
      <c r="JBA59"/>
      <c r="JBB59"/>
      <c r="JBC59"/>
      <c r="JBD59"/>
      <c r="JBE59"/>
      <c r="JBF59"/>
      <c r="JBG59"/>
      <c r="JBH59"/>
      <c r="JBI59"/>
      <c r="JBJ59"/>
      <c r="JBK59"/>
      <c r="JBL59"/>
      <c r="JBM59"/>
      <c r="JBN59"/>
      <c r="JBO59"/>
      <c r="JBP59"/>
      <c r="JBQ59"/>
      <c r="JBR59"/>
      <c r="JBS59"/>
      <c r="JBT59"/>
      <c r="JBU59"/>
      <c r="JBV59"/>
      <c r="JBW59"/>
      <c r="JBX59"/>
      <c r="JBY59"/>
      <c r="JBZ59"/>
      <c r="JCA59"/>
      <c r="JCB59"/>
      <c r="JCC59"/>
      <c r="JCD59"/>
      <c r="JCE59"/>
      <c r="JCF59"/>
      <c r="JCG59"/>
      <c r="JCH59"/>
      <c r="JCI59"/>
      <c r="JCJ59"/>
      <c r="JCK59"/>
      <c r="JCL59"/>
      <c r="JCM59"/>
      <c r="JCN59"/>
      <c r="JCO59"/>
      <c r="JCP59"/>
      <c r="JCQ59"/>
      <c r="JCR59"/>
      <c r="JCS59"/>
      <c r="JCT59"/>
      <c r="JCU59"/>
      <c r="JCV59"/>
      <c r="JCW59"/>
      <c r="JCX59"/>
      <c r="JCY59"/>
      <c r="JCZ59"/>
      <c r="JDA59"/>
      <c r="JDB59"/>
      <c r="JDC59"/>
      <c r="JDD59"/>
      <c r="JDE59"/>
      <c r="JDF59"/>
      <c r="JDG59"/>
      <c r="JDH59"/>
      <c r="JDI59"/>
      <c r="JDJ59"/>
      <c r="JDK59"/>
      <c r="JDL59"/>
      <c r="JDM59"/>
      <c r="JDN59"/>
      <c r="JDO59"/>
      <c r="JDP59"/>
      <c r="JDQ59"/>
      <c r="JDR59"/>
      <c r="JDS59"/>
      <c r="JDT59"/>
      <c r="JDU59"/>
      <c r="JDV59"/>
      <c r="JDW59"/>
      <c r="JDX59"/>
      <c r="JDY59"/>
      <c r="JDZ59"/>
      <c r="JEA59"/>
      <c r="JEB59"/>
      <c r="JEC59"/>
      <c r="JED59"/>
      <c r="JEE59"/>
      <c r="JEF59"/>
      <c r="JEG59"/>
      <c r="JEH59"/>
      <c r="JEI59"/>
      <c r="JEJ59"/>
      <c r="JEK59"/>
      <c r="JEL59"/>
      <c r="JEM59"/>
      <c r="JEN59"/>
      <c r="JEO59"/>
      <c r="JEP59"/>
      <c r="JEQ59"/>
      <c r="JER59"/>
      <c r="JES59"/>
      <c r="JET59"/>
      <c r="JEU59"/>
      <c r="JEV59"/>
      <c r="JEW59"/>
      <c r="JEX59"/>
      <c r="JEY59"/>
      <c r="JEZ59"/>
      <c r="JFA59"/>
      <c r="JFB59"/>
      <c r="JFC59"/>
      <c r="JFD59"/>
      <c r="JFE59"/>
      <c r="JFF59"/>
      <c r="JFG59"/>
      <c r="JFH59"/>
      <c r="JFI59"/>
      <c r="JFJ59"/>
      <c r="JFK59"/>
      <c r="JFL59"/>
      <c r="JFM59"/>
      <c r="JFN59"/>
      <c r="JFO59"/>
      <c r="JFP59"/>
      <c r="JFQ59"/>
      <c r="JFR59"/>
      <c r="JFS59"/>
      <c r="JFT59"/>
      <c r="JFU59"/>
      <c r="JFV59"/>
      <c r="JFW59"/>
      <c r="JFX59"/>
      <c r="JFY59"/>
      <c r="JFZ59"/>
      <c r="JGA59"/>
      <c r="JGB59"/>
      <c r="JGC59"/>
      <c r="JGD59"/>
      <c r="JGE59"/>
      <c r="JGF59"/>
      <c r="JGG59"/>
      <c r="JGH59"/>
      <c r="JGI59"/>
      <c r="JGJ59"/>
      <c r="JGK59"/>
      <c r="JGL59"/>
      <c r="JGM59"/>
      <c r="JGN59"/>
      <c r="JGO59"/>
      <c r="JGP59"/>
      <c r="JGQ59"/>
      <c r="JGR59"/>
      <c r="JGS59"/>
      <c r="JGT59"/>
      <c r="JGU59"/>
      <c r="JGV59"/>
      <c r="JGW59"/>
      <c r="JGX59"/>
      <c r="JGY59"/>
      <c r="JGZ59"/>
      <c r="JHA59"/>
      <c r="JHB59"/>
      <c r="JHC59"/>
      <c r="JHD59"/>
      <c r="JHE59"/>
      <c r="JHF59"/>
      <c r="JHG59"/>
      <c r="JHH59"/>
      <c r="JHI59"/>
      <c r="JHJ59"/>
      <c r="JHK59"/>
      <c r="JHL59"/>
      <c r="JHM59"/>
      <c r="JHN59"/>
      <c r="JHO59"/>
      <c r="JHP59"/>
      <c r="JHQ59"/>
      <c r="JHR59"/>
      <c r="JHS59"/>
      <c r="JHT59"/>
      <c r="JHU59"/>
      <c r="JHV59"/>
      <c r="JHW59"/>
      <c r="JHX59"/>
      <c r="JHY59"/>
      <c r="JHZ59"/>
      <c r="JIA59"/>
      <c r="JIB59"/>
      <c r="JIC59"/>
      <c r="JID59"/>
      <c r="JIE59"/>
      <c r="JIF59"/>
      <c r="JIG59"/>
      <c r="JIH59"/>
      <c r="JII59"/>
      <c r="JIJ59"/>
      <c r="JIK59"/>
      <c r="JIL59"/>
      <c r="JIM59"/>
      <c r="JIN59"/>
      <c r="JIO59"/>
      <c r="JIP59"/>
      <c r="JIQ59"/>
      <c r="JIR59"/>
      <c r="JIS59"/>
      <c r="JIT59"/>
      <c r="JIU59"/>
      <c r="JIV59"/>
      <c r="JIW59"/>
      <c r="JIX59"/>
      <c r="JIY59"/>
      <c r="JIZ59"/>
      <c r="JJA59"/>
      <c r="JJB59"/>
      <c r="JJC59"/>
      <c r="JJD59"/>
      <c r="JJE59"/>
      <c r="JJF59"/>
      <c r="JJG59"/>
      <c r="JJH59"/>
      <c r="JJI59"/>
      <c r="JJJ59"/>
      <c r="JJK59"/>
      <c r="JJL59"/>
      <c r="JJM59"/>
      <c r="JJN59"/>
      <c r="JJO59"/>
      <c r="JJP59"/>
      <c r="JJQ59"/>
      <c r="JJR59"/>
      <c r="JJS59"/>
      <c r="JJT59"/>
      <c r="JJU59"/>
      <c r="JJV59"/>
      <c r="JJW59"/>
      <c r="JJX59"/>
      <c r="JJY59"/>
      <c r="JJZ59"/>
      <c r="JKA59"/>
      <c r="JKB59"/>
      <c r="JKC59"/>
      <c r="JKD59"/>
      <c r="JKE59"/>
      <c r="JKF59"/>
      <c r="JKG59"/>
      <c r="JKH59"/>
      <c r="JKI59"/>
      <c r="JKJ59"/>
      <c r="JKK59"/>
      <c r="JKL59"/>
      <c r="JKM59"/>
      <c r="JKN59"/>
      <c r="JKO59"/>
      <c r="JKP59"/>
      <c r="JKQ59"/>
      <c r="JKR59"/>
      <c r="JKS59"/>
      <c r="JKT59"/>
      <c r="JKU59"/>
      <c r="JKV59"/>
      <c r="JKW59"/>
      <c r="JKX59"/>
      <c r="JKY59"/>
      <c r="JKZ59"/>
      <c r="JLA59"/>
      <c r="JLB59"/>
      <c r="JLC59"/>
      <c r="JLD59"/>
      <c r="JLE59"/>
      <c r="JLF59"/>
      <c r="JLG59"/>
      <c r="JLH59"/>
      <c r="JLI59"/>
      <c r="JLJ59"/>
      <c r="JLK59"/>
      <c r="JLL59"/>
      <c r="JLM59"/>
      <c r="JLN59"/>
      <c r="JLO59"/>
      <c r="JLP59"/>
      <c r="JLQ59"/>
      <c r="JLR59"/>
      <c r="JLS59"/>
      <c r="JLT59"/>
      <c r="JLU59"/>
      <c r="JLV59"/>
      <c r="JLW59"/>
      <c r="JLX59"/>
      <c r="JLY59"/>
      <c r="JLZ59"/>
      <c r="JMA59"/>
      <c r="JMB59"/>
      <c r="JMC59"/>
      <c r="JMD59"/>
      <c r="JME59"/>
      <c r="JMF59"/>
      <c r="JMG59"/>
      <c r="JMH59"/>
      <c r="JMI59"/>
      <c r="JMJ59"/>
      <c r="JMK59"/>
      <c r="JML59"/>
      <c r="JMM59"/>
      <c r="JMN59"/>
      <c r="JMO59"/>
      <c r="JMP59"/>
      <c r="JMQ59"/>
      <c r="JMR59"/>
      <c r="JMS59"/>
      <c r="JMT59"/>
      <c r="JMU59"/>
      <c r="JMV59"/>
      <c r="JMW59"/>
      <c r="JMX59"/>
      <c r="JMY59"/>
      <c r="JMZ59"/>
      <c r="JNA59"/>
      <c r="JNB59"/>
      <c r="JNC59"/>
      <c r="JND59"/>
      <c r="JNE59"/>
      <c r="JNF59"/>
      <c r="JNG59"/>
      <c r="JNH59"/>
      <c r="JNI59"/>
      <c r="JNJ59"/>
      <c r="JNK59"/>
      <c r="JNL59"/>
      <c r="JNM59"/>
      <c r="JNN59"/>
      <c r="JNO59"/>
      <c r="JNP59"/>
      <c r="JNQ59"/>
      <c r="JNR59"/>
      <c r="JNS59"/>
      <c r="JNT59"/>
      <c r="JNU59"/>
      <c r="JNV59"/>
      <c r="JNW59"/>
      <c r="JNX59"/>
      <c r="JNY59"/>
      <c r="JNZ59"/>
      <c r="JOA59"/>
      <c r="JOB59"/>
      <c r="JOC59"/>
      <c r="JOD59"/>
      <c r="JOE59"/>
      <c r="JOF59"/>
      <c r="JOG59"/>
      <c r="JOH59"/>
      <c r="JOI59"/>
      <c r="JOJ59"/>
      <c r="JOK59"/>
      <c r="JOL59"/>
      <c r="JOM59"/>
      <c r="JON59"/>
      <c r="JOO59"/>
      <c r="JOP59"/>
      <c r="JOQ59"/>
      <c r="JOR59"/>
      <c r="JOS59"/>
      <c r="JOT59"/>
      <c r="JOU59"/>
      <c r="JOV59"/>
      <c r="JOW59"/>
      <c r="JOX59"/>
      <c r="JOY59"/>
      <c r="JOZ59"/>
      <c r="JPA59"/>
      <c r="JPB59"/>
      <c r="JPC59"/>
      <c r="JPD59"/>
      <c r="JPE59"/>
      <c r="JPF59"/>
      <c r="JPG59"/>
      <c r="JPH59"/>
      <c r="JPI59"/>
      <c r="JPJ59"/>
      <c r="JPK59"/>
      <c r="JPL59"/>
      <c r="JPM59"/>
      <c r="JPN59"/>
      <c r="JPO59"/>
      <c r="JPP59"/>
      <c r="JPQ59"/>
      <c r="JPR59"/>
      <c r="JPS59"/>
      <c r="JPT59"/>
      <c r="JPU59"/>
      <c r="JPV59"/>
      <c r="JPW59"/>
      <c r="JPX59"/>
      <c r="JPY59"/>
      <c r="JPZ59"/>
      <c r="JQA59"/>
      <c r="JQB59"/>
      <c r="JQC59"/>
      <c r="JQD59"/>
      <c r="JQE59"/>
      <c r="JQF59"/>
      <c r="JQG59"/>
      <c r="JQH59"/>
      <c r="JQI59"/>
      <c r="JQJ59"/>
      <c r="JQK59"/>
      <c r="JQL59"/>
      <c r="JQM59"/>
      <c r="JQN59"/>
      <c r="JQO59"/>
      <c r="JQP59"/>
      <c r="JQQ59"/>
      <c r="JQR59"/>
      <c r="JQS59"/>
      <c r="JQT59"/>
      <c r="JQU59"/>
      <c r="JQV59"/>
      <c r="JQW59"/>
      <c r="JQX59"/>
      <c r="JQY59"/>
      <c r="JQZ59"/>
      <c r="JRA59"/>
      <c r="JRB59"/>
      <c r="JRC59"/>
      <c r="JRD59"/>
      <c r="JRE59"/>
      <c r="JRF59"/>
      <c r="JRG59"/>
      <c r="JRH59"/>
      <c r="JRI59"/>
      <c r="JRJ59"/>
      <c r="JRK59"/>
      <c r="JRL59"/>
      <c r="JRM59"/>
      <c r="JRN59"/>
      <c r="JRO59"/>
      <c r="JRP59"/>
      <c r="JRQ59"/>
      <c r="JRR59"/>
      <c r="JRS59"/>
      <c r="JRT59"/>
      <c r="JRU59"/>
      <c r="JRV59"/>
      <c r="JRW59"/>
      <c r="JRX59"/>
      <c r="JRY59"/>
      <c r="JRZ59"/>
      <c r="JSA59"/>
      <c r="JSB59"/>
      <c r="JSC59"/>
      <c r="JSD59"/>
      <c r="JSE59"/>
      <c r="JSF59"/>
      <c r="JSG59"/>
      <c r="JSH59"/>
      <c r="JSI59"/>
      <c r="JSJ59"/>
      <c r="JSK59"/>
      <c r="JSL59"/>
      <c r="JSM59"/>
      <c r="JSN59"/>
      <c r="JSO59"/>
      <c r="JSP59"/>
      <c r="JSQ59"/>
      <c r="JSR59"/>
      <c r="JSS59"/>
      <c r="JST59"/>
      <c r="JSU59"/>
      <c r="JSV59"/>
      <c r="JSW59"/>
      <c r="JSX59"/>
      <c r="JSY59"/>
      <c r="JSZ59"/>
      <c r="JTA59"/>
      <c r="JTB59"/>
      <c r="JTC59"/>
      <c r="JTD59"/>
      <c r="JTE59"/>
      <c r="JTF59"/>
      <c r="JTG59"/>
      <c r="JTH59"/>
      <c r="JTI59"/>
      <c r="JTJ59"/>
      <c r="JTK59"/>
      <c r="JTL59"/>
      <c r="JTM59"/>
      <c r="JTN59"/>
      <c r="JTO59"/>
      <c r="JTP59"/>
      <c r="JTQ59"/>
      <c r="JTR59"/>
      <c r="JTS59"/>
      <c r="JTT59"/>
      <c r="JTU59"/>
      <c r="JTV59"/>
      <c r="JTW59"/>
      <c r="JTX59"/>
      <c r="JTY59"/>
      <c r="JTZ59"/>
      <c r="JUA59"/>
      <c r="JUB59"/>
      <c r="JUC59"/>
      <c r="JUD59"/>
      <c r="JUE59"/>
      <c r="JUF59"/>
      <c r="JUG59"/>
      <c r="JUH59"/>
      <c r="JUI59"/>
      <c r="JUJ59"/>
      <c r="JUK59"/>
      <c r="JUL59"/>
      <c r="JUM59"/>
      <c r="JUN59"/>
      <c r="JUO59"/>
      <c r="JUP59"/>
      <c r="JUQ59"/>
      <c r="JUR59"/>
      <c r="JUS59"/>
      <c r="JUT59"/>
      <c r="JUU59"/>
      <c r="JUV59"/>
      <c r="JUW59"/>
      <c r="JUX59"/>
      <c r="JUY59"/>
      <c r="JUZ59"/>
      <c r="JVA59"/>
      <c r="JVB59"/>
      <c r="JVC59"/>
      <c r="JVD59"/>
      <c r="JVE59"/>
      <c r="JVF59"/>
      <c r="JVG59"/>
      <c r="JVH59"/>
      <c r="JVI59"/>
      <c r="JVJ59"/>
      <c r="JVK59"/>
      <c r="JVL59"/>
      <c r="JVM59"/>
      <c r="JVN59"/>
      <c r="JVO59"/>
      <c r="JVP59"/>
      <c r="JVQ59"/>
      <c r="JVR59"/>
      <c r="JVS59"/>
      <c r="JVT59"/>
      <c r="JVU59"/>
      <c r="JVV59"/>
      <c r="JVW59"/>
      <c r="JVX59"/>
      <c r="JVY59"/>
      <c r="JVZ59"/>
      <c r="JWA59"/>
      <c r="JWB59"/>
      <c r="JWC59"/>
      <c r="JWD59"/>
      <c r="JWE59"/>
      <c r="JWF59"/>
      <c r="JWG59"/>
      <c r="JWH59"/>
      <c r="JWI59"/>
      <c r="JWJ59"/>
      <c r="JWK59"/>
      <c r="JWL59"/>
      <c r="JWM59"/>
      <c r="JWN59"/>
      <c r="JWO59"/>
      <c r="JWP59"/>
      <c r="JWQ59"/>
      <c r="JWR59"/>
      <c r="JWS59"/>
      <c r="JWT59"/>
      <c r="JWU59"/>
      <c r="JWV59"/>
      <c r="JWW59"/>
      <c r="JWX59"/>
      <c r="JWY59"/>
      <c r="JWZ59"/>
      <c r="JXA59"/>
      <c r="JXB59"/>
      <c r="JXC59"/>
      <c r="JXD59"/>
      <c r="JXE59"/>
      <c r="JXF59"/>
      <c r="JXG59"/>
      <c r="JXH59"/>
      <c r="JXI59"/>
      <c r="JXJ59"/>
      <c r="JXK59"/>
      <c r="JXL59"/>
      <c r="JXM59"/>
      <c r="JXN59"/>
      <c r="JXO59"/>
      <c r="JXP59"/>
      <c r="JXQ59"/>
      <c r="JXR59"/>
      <c r="JXS59"/>
      <c r="JXT59"/>
      <c r="JXU59"/>
      <c r="JXV59"/>
      <c r="JXW59"/>
      <c r="JXX59"/>
      <c r="JXY59"/>
      <c r="JXZ59"/>
      <c r="JYA59"/>
      <c r="JYB59"/>
      <c r="JYC59"/>
      <c r="JYD59"/>
      <c r="JYE59"/>
      <c r="JYF59"/>
      <c r="JYG59"/>
      <c r="JYH59"/>
      <c r="JYI59"/>
      <c r="JYJ59"/>
      <c r="JYK59"/>
      <c r="JYL59"/>
      <c r="JYM59"/>
      <c r="JYN59"/>
      <c r="JYO59"/>
      <c r="JYP59"/>
      <c r="JYQ59"/>
      <c r="JYR59"/>
      <c r="JYS59"/>
      <c r="JYT59"/>
      <c r="JYU59"/>
      <c r="JYV59"/>
      <c r="JYW59"/>
      <c r="JYX59"/>
      <c r="JYY59"/>
      <c r="JYZ59"/>
      <c r="JZA59"/>
      <c r="JZB59"/>
      <c r="JZC59"/>
      <c r="JZD59"/>
      <c r="JZE59"/>
      <c r="JZF59"/>
      <c r="JZG59"/>
      <c r="JZH59"/>
      <c r="JZI59"/>
      <c r="JZJ59"/>
      <c r="JZK59"/>
      <c r="JZL59"/>
      <c r="JZM59"/>
      <c r="JZN59"/>
      <c r="JZO59"/>
      <c r="JZP59"/>
      <c r="JZQ59"/>
      <c r="JZR59"/>
      <c r="JZS59"/>
      <c r="JZT59"/>
      <c r="JZU59"/>
      <c r="JZV59"/>
      <c r="JZW59"/>
      <c r="JZX59"/>
      <c r="JZY59"/>
      <c r="JZZ59"/>
      <c r="KAA59"/>
      <c r="KAB59"/>
      <c r="KAC59"/>
      <c r="KAD59"/>
      <c r="KAE59"/>
      <c r="KAF59"/>
      <c r="KAG59"/>
      <c r="KAH59"/>
      <c r="KAI59"/>
      <c r="KAJ59"/>
      <c r="KAK59"/>
      <c r="KAL59"/>
      <c r="KAM59"/>
      <c r="KAN59"/>
      <c r="KAO59"/>
      <c r="KAP59"/>
      <c r="KAQ59"/>
      <c r="KAR59"/>
      <c r="KAS59"/>
      <c r="KAT59"/>
      <c r="KAU59"/>
      <c r="KAV59"/>
      <c r="KAW59"/>
      <c r="KAX59"/>
      <c r="KAY59"/>
      <c r="KAZ59"/>
      <c r="KBA59"/>
      <c r="KBB59"/>
      <c r="KBC59"/>
      <c r="KBD59"/>
      <c r="KBE59"/>
      <c r="KBF59"/>
      <c r="KBG59"/>
      <c r="KBH59"/>
      <c r="KBI59"/>
      <c r="KBJ59"/>
      <c r="KBK59"/>
      <c r="KBL59"/>
      <c r="KBM59"/>
      <c r="KBN59"/>
      <c r="KBO59"/>
      <c r="KBP59"/>
      <c r="KBQ59"/>
      <c r="KBR59"/>
      <c r="KBS59"/>
      <c r="KBT59"/>
      <c r="KBU59"/>
      <c r="KBV59"/>
      <c r="KBW59"/>
      <c r="KBX59"/>
      <c r="KBY59"/>
      <c r="KBZ59"/>
      <c r="KCA59"/>
      <c r="KCB59"/>
      <c r="KCC59"/>
      <c r="KCD59"/>
      <c r="KCE59"/>
      <c r="KCF59"/>
      <c r="KCG59"/>
      <c r="KCH59"/>
      <c r="KCI59"/>
      <c r="KCJ59"/>
      <c r="KCK59"/>
      <c r="KCL59"/>
      <c r="KCM59"/>
      <c r="KCN59"/>
      <c r="KCO59"/>
      <c r="KCP59"/>
      <c r="KCQ59"/>
      <c r="KCR59"/>
      <c r="KCS59"/>
      <c r="KCT59"/>
      <c r="KCU59"/>
      <c r="KCV59"/>
      <c r="KCW59"/>
      <c r="KCX59"/>
      <c r="KCY59"/>
      <c r="KCZ59"/>
      <c r="KDA59"/>
      <c r="KDB59"/>
      <c r="KDC59"/>
      <c r="KDD59"/>
      <c r="KDE59"/>
      <c r="KDF59"/>
      <c r="KDG59"/>
      <c r="KDH59"/>
      <c r="KDI59"/>
      <c r="KDJ59"/>
      <c r="KDK59"/>
      <c r="KDL59"/>
      <c r="KDM59"/>
      <c r="KDN59"/>
      <c r="KDO59"/>
      <c r="KDP59"/>
      <c r="KDQ59"/>
      <c r="KDR59"/>
      <c r="KDS59"/>
      <c r="KDT59"/>
      <c r="KDU59"/>
      <c r="KDV59"/>
      <c r="KDW59"/>
      <c r="KDX59"/>
      <c r="KDY59"/>
      <c r="KDZ59"/>
      <c r="KEA59"/>
      <c r="KEB59"/>
      <c r="KEC59"/>
      <c r="KED59"/>
      <c r="KEE59"/>
      <c r="KEF59"/>
      <c r="KEG59"/>
      <c r="KEH59"/>
      <c r="KEI59"/>
      <c r="KEJ59"/>
      <c r="KEK59"/>
      <c r="KEL59"/>
      <c r="KEM59"/>
      <c r="KEN59"/>
      <c r="KEO59"/>
      <c r="KEP59"/>
      <c r="KEQ59"/>
      <c r="KER59"/>
      <c r="KES59"/>
      <c r="KET59"/>
      <c r="KEU59"/>
      <c r="KEV59"/>
      <c r="KEW59"/>
      <c r="KEX59"/>
      <c r="KEY59"/>
      <c r="KEZ59"/>
      <c r="KFA59"/>
      <c r="KFB59"/>
      <c r="KFC59"/>
      <c r="KFD59"/>
      <c r="KFE59"/>
      <c r="KFF59"/>
      <c r="KFG59"/>
      <c r="KFH59"/>
      <c r="KFI59"/>
      <c r="KFJ59"/>
      <c r="KFK59"/>
      <c r="KFL59"/>
      <c r="KFM59"/>
      <c r="KFN59"/>
      <c r="KFO59"/>
      <c r="KFP59"/>
      <c r="KFQ59"/>
      <c r="KFR59"/>
      <c r="KFS59"/>
      <c r="KFT59"/>
      <c r="KFU59"/>
      <c r="KFV59"/>
      <c r="KFW59"/>
      <c r="KFX59"/>
      <c r="KFY59"/>
      <c r="KFZ59"/>
      <c r="KGA59"/>
      <c r="KGB59"/>
      <c r="KGC59"/>
      <c r="KGD59"/>
      <c r="KGE59"/>
      <c r="KGF59"/>
      <c r="KGG59"/>
      <c r="KGH59"/>
      <c r="KGI59"/>
      <c r="KGJ59"/>
      <c r="KGK59"/>
      <c r="KGL59"/>
      <c r="KGM59"/>
      <c r="KGN59"/>
      <c r="KGO59"/>
      <c r="KGP59"/>
      <c r="KGQ59"/>
      <c r="KGR59"/>
      <c r="KGS59"/>
      <c r="KGT59"/>
      <c r="KGU59"/>
      <c r="KGV59"/>
      <c r="KGW59"/>
      <c r="KGX59"/>
      <c r="KGY59"/>
      <c r="KGZ59"/>
      <c r="KHA59"/>
      <c r="KHB59"/>
      <c r="KHC59"/>
      <c r="KHD59"/>
      <c r="KHE59"/>
      <c r="KHF59"/>
      <c r="KHG59"/>
      <c r="KHH59"/>
      <c r="KHI59"/>
      <c r="KHJ59"/>
      <c r="KHK59"/>
      <c r="KHL59"/>
      <c r="KHM59"/>
      <c r="KHN59"/>
      <c r="KHO59"/>
      <c r="KHP59"/>
      <c r="KHQ59"/>
      <c r="KHR59"/>
      <c r="KHS59"/>
      <c r="KHT59"/>
      <c r="KHU59"/>
      <c r="KHV59"/>
      <c r="KHW59"/>
      <c r="KHX59"/>
      <c r="KHY59"/>
      <c r="KHZ59"/>
      <c r="KIA59"/>
      <c r="KIB59"/>
      <c r="KIC59"/>
      <c r="KID59"/>
      <c r="KIE59"/>
      <c r="KIF59"/>
      <c r="KIG59"/>
      <c r="KIH59"/>
      <c r="KII59"/>
      <c r="KIJ59"/>
      <c r="KIK59"/>
      <c r="KIL59"/>
      <c r="KIM59"/>
      <c r="KIN59"/>
      <c r="KIO59"/>
      <c r="KIP59"/>
      <c r="KIQ59"/>
      <c r="KIR59"/>
      <c r="KIS59"/>
      <c r="KIT59"/>
      <c r="KIU59"/>
      <c r="KIV59"/>
      <c r="KIW59"/>
      <c r="KIX59"/>
      <c r="KIY59"/>
      <c r="KIZ59"/>
      <c r="KJA59"/>
      <c r="KJB59"/>
      <c r="KJC59"/>
      <c r="KJD59"/>
      <c r="KJE59"/>
      <c r="KJF59"/>
      <c r="KJG59"/>
      <c r="KJH59"/>
      <c r="KJI59"/>
      <c r="KJJ59"/>
      <c r="KJK59"/>
      <c r="KJL59"/>
      <c r="KJM59"/>
      <c r="KJN59"/>
      <c r="KJO59"/>
      <c r="KJP59"/>
      <c r="KJQ59"/>
      <c r="KJR59"/>
      <c r="KJS59"/>
      <c r="KJT59"/>
      <c r="KJU59"/>
      <c r="KJV59"/>
      <c r="KJW59"/>
      <c r="KJX59"/>
      <c r="KJY59"/>
      <c r="KJZ59"/>
      <c r="KKA59"/>
      <c r="KKB59"/>
      <c r="KKC59"/>
      <c r="KKD59"/>
      <c r="KKE59"/>
      <c r="KKF59"/>
      <c r="KKG59"/>
      <c r="KKH59"/>
      <c r="KKI59"/>
      <c r="KKJ59"/>
      <c r="KKK59"/>
      <c r="KKL59"/>
      <c r="KKM59"/>
      <c r="KKN59"/>
      <c r="KKO59"/>
      <c r="KKP59"/>
      <c r="KKQ59"/>
      <c r="KKR59"/>
      <c r="KKS59"/>
      <c r="KKT59"/>
      <c r="KKU59"/>
      <c r="KKV59"/>
      <c r="KKW59"/>
      <c r="KKX59"/>
      <c r="KKY59"/>
      <c r="KKZ59"/>
      <c r="KLA59"/>
      <c r="KLB59"/>
      <c r="KLC59"/>
      <c r="KLD59"/>
      <c r="KLE59"/>
      <c r="KLF59"/>
      <c r="KLG59"/>
      <c r="KLH59"/>
      <c r="KLI59"/>
      <c r="KLJ59"/>
      <c r="KLK59"/>
      <c r="KLL59"/>
      <c r="KLM59"/>
      <c r="KLN59"/>
      <c r="KLO59"/>
      <c r="KLP59"/>
      <c r="KLQ59"/>
      <c r="KLR59"/>
      <c r="KLS59"/>
      <c r="KLT59"/>
      <c r="KLU59"/>
      <c r="KLV59"/>
      <c r="KLW59"/>
      <c r="KLX59"/>
      <c r="KLY59"/>
      <c r="KLZ59"/>
      <c r="KMA59"/>
      <c r="KMB59"/>
      <c r="KMC59"/>
      <c r="KMD59"/>
      <c r="KME59"/>
      <c r="KMF59"/>
      <c r="KMG59"/>
      <c r="KMH59"/>
      <c r="KMI59"/>
      <c r="KMJ59"/>
      <c r="KMK59"/>
      <c r="KML59"/>
      <c r="KMM59"/>
      <c r="KMN59"/>
      <c r="KMO59"/>
      <c r="KMP59"/>
      <c r="KMQ59"/>
      <c r="KMR59"/>
      <c r="KMS59"/>
      <c r="KMT59"/>
      <c r="KMU59"/>
      <c r="KMV59"/>
      <c r="KMW59"/>
      <c r="KMX59"/>
      <c r="KMY59"/>
      <c r="KMZ59"/>
      <c r="KNA59"/>
      <c r="KNB59"/>
      <c r="KNC59"/>
      <c r="KND59"/>
      <c r="KNE59"/>
      <c r="KNF59"/>
      <c r="KNG59"/>
      <c r="KNH59"/>
      <c r="KNI59"/>
      <c r="KNJ59"/>
      <c r="KNK59"/>
      <c r="KNL59"/>
      <c r="KNM59"/>
      <c r="KNN59"/>
      <c r="KNO59"/>
      <c r="KNP59"/>
      <c r="KNQ59"/>
      <c r="KNR59"/>
      <c r="KNS59"/>
      <c r="KNT59"/>
      <c r="KNU59"/>
      <c r="KNV59"/>
      <c r="KNW59"/>
      <c r="KNX59"/>
      <c r="KNY59"/>
      <c r="KNZ59"/>
      <c r="KOA59"/>
      <c r="KOB59"/>
      <c r="KOC59"/>
      <c r="KOD59"/>
      <c r="KOE59"/>
      <c r="KOF59"/>
      <c r="KOG59"/>
      <c r="KOH59"/>
      <c r="KOI59"/>
      <c r="KOJ59"/>
      <c r="KOK59"/>
      <c r="KOL59"/>
      <c r="KOM59"/>
      <c r="KON59"/>
      <c r="KOO59"/>
      <c r="KOP59"/>
      <c r="KOQ59"/>
      <c r="KOR59"/>
      <c r="KOS59"/>
      <c r="KOT59"/>
      <c r="KOU59"/>
      <c r="KOV59"/>
      <c r="KOW59"/>
      <c r="KOX59"/>
      <c r="KOY59"/>
      <c r="KOZ59"/>
      <c r="KPA59"/>
      <c r="KPB59"/>
      <c r="KPC59"/>
      <c r="KPD59"/>
      <c r="KPE59"/>
      <c r="KPF59"/>
      <c r="KPG59"/>
      <c r="KPH59"/>
      <c r="KPI59"/>
      <c r="KPJ59"/>
      <c r="KPK59"/>
      <c r="KPL59"/>
      <c r="KPM59"/>
      <c r="KPN59"/>
      <c r="KPO59"/>
      <c r="KPP59"/>
      <c r="KPQ59"/>
      <c r="KPR59"/>
      <c r="KPS59"/>
      <c r="KPT59"/>
      <c r="KPU59"/>
      <c r="KPV59"/>
      <c r="KPW59"/>
      <c r="KPX59"/>
      <c r="KPY59"/>
      <c r="KPZ59"/>
      <c r="KQA59"/>
      <c r="KQB59"/>
      <c r="KQC59"/>
      <c r="KQD59"/>
      <c r="KQE59"/>
      <c r="KQF59"/>
      <c r="KQG59"/>
      <c r="KQH59"/>
      <c r="KQI59"/>
      <c r="KQJ59"/>
      <c r="KQK59"/>
      <c r="KQL59"/>
      <c r="KQM59"/>
      <c r="KQN59"/>
      <c r="KQO59"/>
      <c r="KQP59"/>
      <c r="KQQ59"/>
      <c r="KQR59"/>
      <c r="KQS59"/>
      <c r="KQT59"/>
      <c r="KQU59"/>
      <c r="KQV59"/>
      <c r="KQW59"/>
      <c r="KQX59"/>
      <c r="KQY59"/>
      <c r="KQZ59"/>
      <c r="KRA59"/>
      <c r="KRB59"/>
      <c r="KRC59"/>
      <c r="KRD59"/>
      <c r="KRE59"/>
      <c r="KRF59"/>
      <c r="KRG59"/>
      <c r="KRH59"/>
      <c r="KRI59"/>
      <c r="KRJ59"/>
      <c r="KRK59"/>
      <c r="KRL59"/>
      <c r="KRM59"/>
      <c r="KRN59"/>
      <c r="KRO59"/>
      <c r="KRP59"/>
      <c r="KRQ59"/>
      <c r="KRR59"/>
      <c r="KRS59"/>
      <c r="KRT59"/>
      <c r="KRU59"/>
      <c r="KRV59"/>
      <c r="KRW59"/>
      <c r="KRX59"/>
      <c r="KRY59"/>
      <c r="KRZ59"/>
      <c r="KSA59"/>
      <c r="KSB59"/>
      <c r="KSC59"/>
      <c r="KSD59"/>
      <c r="KSE59"/>
      <c r="KSF59"/>
      <c r="KSG59"/>
      <c r="KSH59"/>
      <c r="KSI59"/>
      <c r="KSJ59"/>
      <c r="KSK59"/>
      <c r="KSL59"/>
      <c r="KSM59"/>
      <c r="KSN59"/>
      <c r="KSO59"/>
      <c r="KSP59"/>
      <c r="KSQ59"/>
      <c r="KSR59"/>
      <c r="KSS59"/>
      <c r="KST59"/>
      <c r="KSU59"/>
      <c r="KSV59"/>
      <c r="KSW59"/>
      <c r="KSX59"/>
      <c r="KSY59"/>
      <c r="KSZ59"/>
      <c r="KTA59"/>
      <c r="KTB59"/>
      <c r="KTC59"/>
      <c r="KTD59"/>
      <c r="KTE59"/>
      <c r="KTF59"/>
      <c r="KTG59"/>
      <c r="KTH59"/>
      <c r="KTI59"/>
      <c r="KTJ59"/>
      <c r="KTK59"/>
      <c r="KTL59"/>
      <c r="KTM59"/>
      <c r="KTN59"/>
      <c r="KTO59"/>
      <c r="KTP59"/>
      <c r="KTQ59"/>
      <c r="KTR59"/>
      <c r="KTS59"/>
      <c r="KTT59"/>
      <c r="KTU59"/>
      <c r="KTV59"/>
      <c r="KTW59"/>
      <c r="KTX59"/>
      <c r="KTY59"/>
      <c r="KTZ59"/>
      <c r="KUA59"/>
      <c r="KUB59"/>
      <c r="KUC59"/>
      <c r="KUD59"/>
      <c r="KUE59"/>
      <c r="KUF59"/>
      <c r="KUG59"/>
      <c r="KUH59"/>
      <c r="KUI59"/>
      <c r="KUJ59"/>
      <c r="KUK59"/>
      <c r="KUL59"/>
      <c r="KUM59"/>
      <c r="KUN59"/>
      <c r="KUO59"/>
      <c r="KUP59"/>
      <c r="KUQ59"/>
      <c r="KUR59"/>
      <c r="KUS59"/>
      <c r="KUT59"/>
      <c r="KUU59"/>
      <c r="KUV59"/>
      <c r="KUW59"/>
      <c r="KUX59"/>
      <c r="KUY59"/>
      <c r="KUZ59"/>
      <c r="KVA59"/>
      <c r="KVB59"/>
      <c r="KVC59"/>
      <c r="KVD59"/>
      <c r="KVE59"/>
      <c r="KVF59"/>
      <c r="KVG59"/>
      <c r="KVH59"/>
      <c r="KVI59"/>
      <c r="KVJ59"/>
      <c r="KVK59"/>
      <c r="KVL59"/>
      <c r="KVM59"/>
      <c r="KVN59"/>
      <c r="KVO59"/>
      <c r="KVP59"/>
      <c r="KVQ59"/>
      <c r="KVR59"/>
      <c r="KVS59"/>
      <c r="KVT59"/>
      <c r="KVU59"/>
      <c r="KVV59"/>
      <c r="KVW59"/>
      <c r="KVX59"/>
      <c r="KVY59"/>
      <c r="KVZ59"/>
      <c r="KWA59"/>
      <c r="KWB59"/>
      <c r="KWC59"/>
      <c r="KWD59"/>
      <c r="KWE59"/>
      <c r="KWF59"/>
      <c r="KWG59"/>
      <c r="KWH59"/>
      <c r="KWI59"/>
      <c r="KWJ59"/>
      <c r="KWK59"/>
      <c r="KWL59"/>
      <c r="KWM59"/>
      <c r="KWN59"/>
      <c r="KWO59"/>
      <c r="KWP59"/>
      <c r="KWQ59"/>
      <c r="KWR59"/>
      <c r="KWS59"/>
      <c r="KWT59"/>
      <c r="KWU59"/>
      <c r="KWV59"/>
      <c r="KWW59"/>
      <c r="KWX59"/>
      <c r="KWY59"/>
      <c r="KWZ59"/>
      <c r="KXA59"/>
      <c r="KXB59"/>
      <c r="KXC59"/>
      <c r="KXD59"/>
      <c r="KXE59"/>
      <c r="KXF59"/>
      <c r="KXG59"/>
      <c r="KXH59"/>
      <c r="KXI59"/>
      <c r="KXJ59"/>
      <c r="KXK59"/>
      <c r="KXL59"/>
      <c r="KXM59"/>
      <c r="KXN59"/>
      <c r="KXO59"/>
      <c r="KXP59"/>
      <c r="KXQ59"/>
      <c r="KXR59"/>
      <c r="KXS59"/>
      <c r="KXT59"/>
      <c r="KXU59"/>
      <c r="KXV59"/>
      <c r="KXW59"/>
      <c r="KXX59"/>
      <c r="KXY59"/>
      <c r="KXZ59"/>
      <c r="KYA59"/>
      <c r="KYB59"/>
      <c r="KYC59"/>
      <c r="KYD59"/>
      <c r="KYE59"/>
      <c r="KYF59"/>
      <c r="KYG59"/>
      <c r="KYH59"/>
      <c r="KYI59"/>
      <c r="KYJ59"/>
      <c r="KYK59"/>
      <c r="KYL59"/>
      <c r="KYM59"/>
      <c r="KYN59"/>
      <c r="KYO59"/>
      <c r="KYP59"/>
      <c r="KYQ59"/>
      <c r="KYR59"/>
      <c r="KYS59"/>
      <c r="KYT59"/>
      <c r="KYU59"/>
      <c r="KYV59"/>
      <c r="KYW59"/>
      <c r="KYX59"/>
      <c r="KYY59"/>
      <c r="KYZ59"/>
      <c r="KZA59"/>
      <c r="KZB59"/>
      <c r="KZC59"/>
      <c r="KZD59"/>
      <c r="KZE59"/>
      <c r="KZF59"/>
      <c r="KZG59"/>
      <c r="KZH59"/>
      <c r="KZI59"/>
      <c r="KZJ59"/>
      <c r="KZK59"/>
      <c r="KZL59"/>
      <c r="KZM59"/>
      <c r="KZN59"/>
      <c r="KZO59"/>
      <c r="KZP59"/>
      <c r="KZQ59"/>
      <c r="KZR59"/>
      <c r="KZS59"/>
      <c r="KZT59"/>
      <c r="KZU59"/>
      <c r="KZV59"/>
      <c r="KZW59"/>
      <c r="KZX59"/>
      <c r="KZY59"/>
      <c r="KZZ59"/>
      <c r="LAA59"/>
      <c r="LAB59"/>
      <c r="LAC59"/>
      <c r="LAD59"/>
      <c r="LAE59"/>
      <c r="LAF59"/>
      <c r="LAG59"/>
      <c r="LAH59"/>
      <c r="LAI59"/>
      <c r="LAJ59"/>
      <c r="LAK59"/>
      <c r="LAL59"/>
      <c r="LAM59"/>
      <c r="LAN59"/>
      <c r="LAO59"/>
      <c r="LAP59"/>
      <c r="LAQ59"/>
      <c r="LAR59"/>
      <c r="LAS59"/>
      <c r="LAT59"/>
      <c r="LAU59"/>
      <c r="LAV59"/>
      <c r="LAW59"/>
      <c r="LAX59"/>
      <c r="LAY59"/>
      <c r="LAZ59"/>
      <c r="LBA59"/>
      <c r="LBB59"/>
      <c r="LBC59"/>
      <c r="LBD59"/>
      <c r="LBE59"/>
      <c r="LBF59"/>
      <c r="LBG59"/>
      <c r="LBH59"/>
      <c r="LBI59"/>
      <c r="LBJ59"/>
      <c r="LBK59"/>
      <c r="LBL59"/>
      <c r="LBM59"/>
      <c r="LBN59"/>
      <c r="LBO59"/>
      <c r="LBP59"/>
      <c r="LBQ59"/>
      <c r="LBR59"/>
      <c r="LBS59"/>
      <c r="LBT59"/>
      <c r="LBU59"/>
      <c r="LBV59"/>
      <c r="LBW59"/>
      <c r="LBX59"/>
      <c r="LBY59"/>
      <c r="LBZ59"/>
      <c r="LCA59"/>
      <c r="LCB59"/>
      <c r="LCC59"/>
      <c r="LCD59"/>
      <c r="LCE59"/>
      <c r="LCF59"/>
      <c r="LCG59"/>
      <c r="LCH59"/>
      <c r="LCI59"/>
      <c r="LCJ59"/>
      <c r="LCK59"/>
      <c r="LCL59"/>
      <c r="LCM59"/>
      <c r="LCN59"/>
      <c r="LCO59"/>
      <c r="LCP59"/>
      <c r="LCQ59"/>
      <c r="LCR59"/>
      <c r="LCS59"/>
      <c r="LCT59"/>
      <c r="LCU59"/>
      <c r="LCV59"/>
      <c r="LCW59"/>
      <c r="LCX59"/>
      <c r="LCY59"/>
      <c r="LCZ59"/>
      <c r="LDA59"/>
      <c r="LDB59"/>
      <c r="LDC59"/>
      <c r="LDD59"/>
      <c r="LDE59"/>
      <c r="LDF59"/>
      <c r="LDG59"/>
      <c r="LDH59"/>
      <c r="LDI59"/>
      <c r="LDJ59"/>
      <c r="LDK59"/>
      <c r="LDL59"/>
      <c r="LDM59"/>
      <c r="LDN59"/>
      <c r="LDO59"/>
      <c r="LDP59"/>
      <c r="LDQ59"/>
      <c r="LDR59"/>
      <c r="LDS59"/>
      <c r="LDT59"/>
      <c r="LDU59"/>
      <c r="LDV59"/>
      <c r="LDW59"/>
      <c r="LDX59"/>
      <c r="LDY59"/>
      <c r="LDZ59"/>
      <c r="LEA59"/>
      <c r="LEB59"/>
      <c r="LEC59"/>
      <c r="LED59"/>
      <c r="LEE59"/>
      <c r="LEF59"/>
      <c r="LEG59"/>
      <c r="LEH59"/>
      <c r="LEI59"/>
      <c r="LEJ59"/>
      <c r="LEK59"/>
      <c r="LEL59"/>
      <c r="LEM59"/>
      <c r="LEN59"/>
      <c r="LEO59"/>
      <c r="LEP59"/>
      <c r="LEQ59"/>
      <c r="LER59"/>
      <c r="LES59"/>
      <c r="LET59"/>
      <c r="LEU59"/>
      <c r="LEV59"/>
      <c r="LEW59"/>
      <c r="LEX59"/>
      <c r="LEY59"/>
      <c r="LEZ59"/>
      <c r="LFA59"/>
      <c r="LFB59"/>
      <c r="LFC59"/>
      <c r="LFD59"/>
      <c r="LFE59"/>
      <c r="LFF59"/>
      <c r="LFG59"/>
      <c r="LFH59"/>
      <c r="LFI59"/>
      <c r="LFJ59"/>
      <c r="LFK59"/>
      <c r="LFL59"/>
      <c r="LFM59"/>
      <c r="LFN59"/>
      <c r="LFO59"/>
      <c r="LFP59"/>
      <c r="LFQ59"/>
      <c r="LFR59"/>
      <c r="LFS59"/>
      <c r="LFT59"/>
      <c r="LFU59"/>
      <c r="LFV59"/>
      <c r="LFW59"/>
      <c r="LFX59"/>
      <c r="LFY59"/>
      <c r="LFZ59"/>
      <c r="LGA59"/>
      <c r="LGB59"/>
      <c r="LGC59"/>
      <c r="LGD59"/>
      <c r="LGE59"/>
      <c r="LGF59"/>
      <c r="LGG59"/>
      <c r="LGH59"/>
      <c r="LGI59"/>
      <c r="LGJ59"/>
      <c r="LGK59"/>
      <c r="LGL59"/>
      <c r="LGM59"/>
      <c r="LGN59"/>
      <c r="LGO59"/>
      <c r="LGP59"/>
      <c r="LGQ59"/>
      <c r="LGR59"/>
      <c r="LGS59"/>
      <c r="LGT59"/>
      <c r="LGU59"/>
      <c r="LGV59"/>
      <c r="LGW59"/>
      <c r="LGX59"/>
      <c r="LGY59"/>
      <c r="LGZ59"/>
      <c r="LHA59"/>
      <c r="LHB59"/>
      <c r="LHC59"/>
      <c r="LHD59"/>
      <c r="LHE59"/>
      <c r="LHF59"/>
      <c r="LHG59"/>
      <c r="LHH59"/>
      <c r="LHI59"/>
      <c r="LHJ59"/>
      <c r="LHK59"/>
      <c r="LHL59"/>
      <c r="LHM59"/>
      <c r="LHN59"/>
      <c r="LHO59"/>
      <c r="LHP59"/>
      <c r="LHQ59"/>
      <c r="LHR59"/>
      <c r="LHS59"/>
      <c r="LHT59"/>
      <c r="LHU59"/>
      <c r="LHV59"/>
      <c r="LHW59"/>
      <c r="LHX59"/>
      <c r="LHY59"/>
      <c r="LHZ59"/>
      <c r="LIA59"/>
      <c r="LIB59"/>
      <c r="LIC59"/>
      <c r="LID59"/>
      <c r="LIE59"/>
      <c r="LIF59"/>
      <c r="LIG59"/>
      <c r="LIH59"/>
      <c r="LII59"/>
      <c r="LIJ59"/>
      <c r="LIK59"/>
      <c r="LIL59"/>
      <c r="LIM59"/>
      <c r="LIN59"/>
      <c r="LIO59"/>
      <c r="LIP59"/>
      <c r="LIQ59"/>
      <c r="LIR59"/>
      <c r="LIS59"/>
      <c r="LIT59"/>
      <c r="LIU59"/>
      <c r="LIV59"/>
      <c r="LIW59"/>
      <c r="LIX59"/>
      <c r="LIY59"/>
      <c r="LIZ59"/>
      <c r="LJA59"/>
      <c r="LJB59"/>
      <c r="LJC59"/>
      <c r="LJD59"/>
      <c r="LJE59"/>
      <c r="LJF59"/>
      <c r="LJG59"/>
      <c r="LJH59"/>
      <c r="LJI59"/>
      <c r="LJJ59"/>
      <c r="LJK59"/>
      <c r="LJL59"/>
      <c r="LJM59"/>
      <c r="LJN59"/>
      <c r="LJO59"/>
      <c r="LJP59"/>
      <c r="LJQ59"/>
      <c r="LJR59"/>
      <c r="LJS59"/>
      <c r="LJT59"/>
      <c r="LJU59"/>
      <c r="LJV59"/>
      <c r="LJW59"/>
      <c r="LJX59"/>
      <c r="LJY59"/>
      <c r="LJZ59"/>
      <c r="LKA59"/>
      <c r="LKB59"/>
      <c r="LKC59"/>
      <c r="LKD59"/>
      <c r="LKE59"/>
      <c r="LKF59"/>
      <c r="LKG59"/>
      <c r="LKH59"/>
      <c r="LKI59"/>
      <c r="LKJ59"/>
      <c r="LKK59"/>
      <c r="LKL59"/>
      <c r="LKM59"/>
      <c r="LKN59"/>
      <c r="LKO59"/>
      <c r="LKP59"/>
      <c r="LKQ59"/>
      <c r="LKR59"/>
      <c r="LKS59"/>
      <c r="LKT59"/>
      <c r="LKU59"/>
      <c r="LKV59"/>
      <c r="LKW59"/>
      <c r="LKX59"/>
      <c r="LKY59"/>
      <c r="LKZ59"/>
      <c r="LLA59"/>
      <c r="LLB59"/>
      <c r="LLC59"/>
      <c r="LLD59"/>
      <c r="LLE59"/>
      <c r="LLF59"/>
      <c r="LLG59"/>
      <c r="LLH59"/>
      <c r="LLI59"/>
      <c r="LLJ59"/>
      <c r="LLK59"/>
      <c r="LLL59"/>
      <c r="LLM59"/>
      <c r="LLN59"/>
      <c r="LLO59"/>
      <c r="LLP59"/>
      <c r="LLQ59"/>
      <c r="LLR59"/>
      <c r="LLS59"/>
      <c r="LLT59"/>
      <c r="LLU59"/>
      <c r="LLV59"/>
      <c r="LLW59"/>
      <c r="LLX59"/>
      <c r="LLY59"/>
      <c r="LLZ59"/>
      <c r="LMA59"/>
      <c r="LMB59"/>
      <c r="LMC59"/>
      <c r="LMD59"/>
      <c r="LME59"/>
      <c r="LMF59"/>
      <c r="LMG59"/>
      <c r="LMH59"/>
      <c r="LMI59"/>
      <c r="LMJ59"/>
      <c r="LMK59"/>
      <c r="LML59"/>
      <c r="LMM59"/>
      <c r="LMN59"/>
      <c r="LMO59"/>
      <c r="LMP59"/>
      <c r="LMQ59"/>
      <c r="LMR59"/>
      <c r="LMS59"/>
      <c r="LMT59"/>
      <c r="LMU59"/>
      <c r="LMV59"/>
      <c r="LMW59"/>
      <c r="LMX59"/>
      <c r="LMY59"/>
      <c r="LMZ59"/>
      <c r="LNA59"/>
      <c r="LNB59"/>
      <c r="LNC59"/>
      <c r="LND59"/>
      <c r="LNE59"/>
      <c r="LNF59"/>
      <c r="LNG59"/>
      <c r="LNH59"/>
      <c r="LNI59"/>
      <c r="LNJ59"/>
      <c r="LNK59"/>
      <c r="LNL59"/>
      <c r="LNM59"/>
      <c r="LNN59"/>
      <c r="LNO59"/>
      <c r="LNP59"/>
      <c r="LNQ59"/>
      <c r="LNR59"/>
      <c r="LNS59"/>
      <c r="LNT59"/>
      <c r="LNU59"/>
      <c r="LNV59"/>
      <c r="LNW59"/>
      <c r="LNX59"/>
      <c r="LNY59"/>
      <c r="LNZ59"/>
      <c r="LOA59"/>
      <c r="LOB59"/>
      <c r="LOC59"/>
      <c r="LOD59"/>
      <c r="LOE59"/>
      <c r="LOF59"/>
      <c r="LOG59"/>
      <c r="LOH59"/>
      <c r="LOI59"/>
      <c r="LOJ59"/>
      <c r="LOK59"/>
      <c r="LOL59"/>
      <c r="LOM59"/>
      <c r="LON59"/>
      <c r="LOO59"/>
      <c r="LOP59"/>
      <c r="LOQ59"/>
      <c r="LOR59"/>
      <c r="LOS59"/>
      <c r="LOT59"/>
      <c r="LOU59"/>
      <c r="LOV59"/>
      <c r="LOW59"/>
      <c r="LOX59"/>
      <c r="LOY59"/>
      <c r="LOZ59"/>
      <c r="LPA59"/>
      <c r="LPB59"/>
      <c r="LPC59"/>
      <c r="LPD59"/>
      <c r="LPE59"/>
      <c r="LPF59"/>
      <c r="LPG59"/>
      <c r="LPH59"/>
      <c r="LPI59"/>
      <c r="LPJ59"/>
      <c r="LPK59"/>
      <c r="LPL59"/>
      <c r="LPM59"/>
      <c r="LPN59"/>
      <c r="LPO59"/>
      <c r="LPP59"/>
      <c r="LPQ59"/>
      <c r="LPR59"/>
      <c r="LPS59"/>
      <c r="LPT59"/>
      <c r="LPU59"/>
      <c r="LPV59"/>
      <c r="LPW59"/>
      <c r="LPX59"/>
      <c r="LPY59"/>
      <c r="LPZ59"/>
      <c r="LQA59"/>
      <c r="LQB59"/>
      <c r="LQC59"/>
      <c r="LQD59"/>
      <c r="LQE59"/>
      <c r="LQF59"/>
      <c r="LQG59"/>
      <c r="LQH59"/>
      <c r="LQI59"/>
      <c r="LQJ59"/>
      <c r="LQK59"/>
      <c r="LQL59"/>
      <c r="LQM59"/>
      <c r="LQN59"/>
      <c r="LQO59"/>
      <c r="LQP59"/>
      <c r="LQQ59"/>
      <c r="LQR59"/>
      <c r="LQS59"/>
      <c r="LQT59"/>
      <c r="LQU59"/>
      <c r="LQV59"/>
      <c r="LQW59"/>
      <c r="LQX59"/>
      <c r="LQY59"/>
      <c r="LQZ59"/>
      <c r="LRA59"/>
      <c r="LRB59"/>
      <c r="LRC59"/>
      <c r="LRD59"/>
      <c r="LRE59"/>
      <c r="LRF59"/>
      <c r="LRG59"/>
      <c r="LRH59"/>
      <c r="LRI59"/>
      <c r="LRJ59"/>
      <c r="LRK59"/>
      <c r="LRL59"/>
      <c r="LRM59"/>
      <c r="LRN59"/>
      <c r="LRO59"/>
      <c r="LRP59"/>
      <c r="LRQ59"/>
      <c r="LRR59"/>
      <c r="LRS59"/>
      <c r="LRT59"/>
      <c r="LRU59"/>
      <c r="LRV59"/>
      <c r="LRW59"/>
      <c r="LRX59"/>
      <c r="LRY59"/>
      <c r="LRZ59"/>
      <c r="LSA59"/>
      <c r="LSB59"/>
      <c r="LSC59"/>
      <c r="LSD59"/>
      <c r="LSE59"/>
      <c r="LSF59"/>
      <c r="LSG59"/>
      <c r="LSH59"/>
      <c r="LSI59"/>
      <c r="LSJ59"/>
      <c r="LSK59"/>
      <c r="LSL59"/>
      <c r="LSM59"/>
      <c r="LSN59"/>
      <c r="LSO59"/>
      <c r="LSP59"/>
      <c r="LSQ59"/>
      <c r="LSR59"/>
      <c r="LSS59"/>
      <c r="LST59"/>
      <c r="LSU59"/>
      <c r="LSV59"/>
      <c r="LSW59"/>
      <c r="LSX59"/>
      <c r="LSY59"/>
      <c r="LSZ59"/>
      <c r="LTA59"/>
      <c r="LTB59"/>
      <c r="LTC59"/>
      <c r="LTD59"/>
      <c r="LTE59"/>
      <c r="LTF59"/>
      <c r="LTG59"/>
      <c r="LTH59"/>
      <c r="LTI59"/>
      <c r="LTJ59"/>
      <c r="LTK59"/>
      <c r="LTL59"/>
      <c r="LTM59"/>
      <c r="LTN59"/>
      <c r="LTO59"/>
      <c r="LTP59"/>
      <c r="LTQ59"/>
      <c r="LTR59"/>
      <c r="LTS59"/>
      <c r="LTT59"/>
      <c r="LTU59"/>
      <c r="LTV59"/>
      <c r="LTW59"/>
      <c r="LTX59"/>
      <c r="LTY59"/>
      <c r="LTZ59"/>
      <c r="LUA59"/>
      <c r="LUB59"/>
      <c r="LUC59"/>
      <c r="LUD59"/>
      <c r="LUE59"/>
      <c r="LUF59"/>
      <c r="LUG59"/>
      <c r="LUH59"/>
      <c r="LUI59"/>
      <c r="LUJ59"/>
      <c r="LUK59"/>
      <c r="LUL59"/>
      <c r="LUM59"/>
      <c r="LUN59"/>
      <c r="LUO59"/>
      <c r="LUP59"/>
      <c r="LUQ59"/>
      <c r="LUR59"/>
      <c r="LUS59"/>
      <c r="LUT59"/>
      <c r="LUU59"/>
      <c r="LUV59"/>
      <c r="LUW59"/>
      <c r="LUX59"/>
      <c r="LUY59"/>
      <c r="LUZ59"/>
      <c r="LVA59"/>
      <c r="LVB59"/>
      <c r="LVC59"/>
      <c r="LVD59"/>
      <c r="LVE59"/>
      <c r="LVF59"/>
      <c r="LVG59"/>
      <c r="LVH59"/>
      <c r="LVI59"/>
      <c r="LVJ59"/>
      <c r="LVK59"/>
      <c r="LVL59"/>
      <c r="LVM59"/>
      <c r="LVN59"/>
      <c r="LVO59"/>
      <c r="LVP59"/>
      <c r="LVQ59"/>
      <c r="LVR59"/>
      <c r="LVS59"/>
      <c r="LVT59"/>
      <c r="LVU59"/>
      <c r="LVV59"/>
      <c r="LVW59"/>
      <c r="LVX59"/>
      <c r="LVY59"/>
      <c r="LVZ59"/>
      <c r="LWA59"/>
      <c r="LWB59"/>
      <c r="LWC59"/>
      <c r="LWD59"/>
      <c r="LWE59"/>
      <c r="LWF59"/>
      <c r="LWG59"/>
      <c r="LWH59"/>
      <c r="LWI59"/>
      <c r="LWJ59"/>
      <c r="LWK59"/>
      <c r="LWL59"/>
      <c r="LWM59"/>
      <c r="LWN59"/>
      <c r="LWO59"/>
      <c r="LWP59"/>
      <c r="LWQ59"/>
      <c r="LWR59"/>
      <c r="LWS59"/>
      <c r="LWT59"/>
      <c r="LWU59"/>
      <c r="LWV59"/>
      <c r="LWW59"/>
      <c r="LWX59"/>
      <c r="LWY59"/>
      <c r="LWZ59"/>
      <c r="LXA59"/>
      <c r="LXB59"/>
      <c r="LXC59"/>
      <c r="LXD59"/>
      <c r="LXE59"/>
      <c r="LXF59"/>
      <c r="LXG59"/>
      <c r="LXH59"/>
      <c r="LXI59"/>
      <c r="LXJ59"/>
      <c r="LXK59"/>
      <c r="LXL59"/>
      <c r="LXM59"/>
      <c r="LXN59"/>
      <c r="LXO59"/>
      <c r="LXP59"/>
      <c r="LXQ59"/>
      <c r="LXR59"/>
      <c r="LXS59"/>
      <c r="LXT59"/>
      <c r="LXU59"/>
      <c r="LXV59"/>
      <c r="LXW59"/>
      <c r="LXX59"/>
      <c r="LXY59"/>
      <c r="LXZ59"/>
      <c r="LYA59"/>
      <c r="LYB59"/>
      <c r="LYC59"/>
      <c r="LYD59"/>
      <c r="LYE59"/>
      <c r="LYF59"/>
      <c r="LYG59"/>
      <c r="LYH59"/>
      <c r="LYI59"/>
      <c r="LYJ59"/>
      <c r="LYK59"/>
      <c r="LYL59"/>
      <c r="LYM59"/>
      <c r="LYN59"/>
      <c r="LYO59"/>
      <c r="LYP59"/>
      <c r="LYQ59"/>
      <c r="LYR59"/>
      <c r="LYS59"/>
      <c r="LYT59"/>
      <c r="LYU59"/>
      <c r="LYV59"/>
      <c r="LYW59"/>
      <c r="LYX59"/>
      <c r="LYY59"/>
      <c r="LYZ59"/>
      <c r="LZA59"/>
      <c r="LZB59"/>
      <c r="LZC59"/>
      <c r="LZD59"/>
      <c r="LZE59"/>
      <c r="LZF59"/>
      <c r="LZG59"/>
      <c r="LZH59"/>
      <c r="LZI59"/>
      <c r="LZJ59"/>
      <c r="LZK59"/>
      <c r="LZL59"/>
      <c r="LZM59"/>
      <c r="LZN59"/>
      <c r="LZO59"/>
      <c r="LZP59"/>
      <c r="LZQ59"/>
      <c r="LZR59"/>
      <c r="LZS59"/>
      <c r="LZT59"/>
      <c r="LZU59"/>
      <c r="LZV59"/>
      <c r="LZW59"/>
      <c r="LZX59"/>
      <c r="LZY59"/>
      <c r="LZZ59"/>
      <c r="MAA59"/>
      <c r="MAB59"/>
      <c r="MAC59"/>
      <c r="MAD59"/>
      <c r="MAE59"/>
      <c r="MAF59"/>
      <c r="MAG59"/>
      <c r="MAH59"/>
      <c r="MAI59"/>
      <c r="MAJ59"/>
      <c r="MAK59"/>
      <c r="MAL59"/>
      <c r="MAM59"/>
      <c r="MAN59"/>
      <c r="MAO59"/>
      <c r="MAP59"/>
      <c r="MAQ59"/>
      <c r="MAR59"/>
      <c r="MAS59"/>
      <c r="MAT59"/>
      <c r="MAU59"/>
      <c r="MAV59"/>
      <c r="MAW59"/>
      <c r="MAX59"/>
      <c r="MAY59"/>
      <c r="MAZ59"/>
      <c r="MBA59"/>
      <c r="MBB59"/>
      <c r="MBC59"/>
      <c r="MBD59"/>
      <c r="MBE59"/>
      <c r="MBF59"/>
      <c r="MBG59"/>
      <c r="MBH59"/>
      <c r="MBI59"/>
      <c r="MBJ59"/>
      <c r="MBK59"/>
      <c r="MBL59"/>
      <c r="MBM59"/>
      <c r="MBN59"/>
      <c r="MBO59"/>
      <c r="MBP59"/>
      <c r="MBQ59"/>
      <c r="MBR59"/>
      <c r="MBS59"/>
      <c r="MBT59"/>
      <c r="MBU59"/>
      <c r="MBV59"/>
      <c r="MBW59"/>
      <c r="MBX59"/>
      <c r="MBY59"/>
      <c r="MBZ59"/>
      <c r="MCA59"/>
      <c r="MCB59"/>
      <c r="MCC59"/>
      <c r="MCD59"/>
      <c r="MCE59"/>
      <c r="MCF59"/>
      <c r="MCG59"/>
      <c r="MCH59"/>
      <c r="MCI59"/>
      <c r="MCJ59"/>
      <c r="MCK59"/>
      <c r="MCL59"/>
      <c r="MCM59"/>
      <c r="MCN59"/>
      <c r="MCO59"/>
      <c r="MCP59"/>
      <c r="MCQ59"/>
      <c r="MCR59"/>
      <c r="MCS59"/>
      <c r="MCT59"/>
      <c r="MCU59"/>
      <c r="MCV59"/>
      <c r="MCW59"/>
      <c r="MCX59"/>
      <c r="MCY59"/>
      <c r="MCZ59"/>
      <c r="MDA59"/>
      <c r="MDB59"/>
      <c r="MDC59"/>
      <c r="MDD59"/>
      <c r="MDE59"/>
      <c r="MDF59"/>
      <c r="MDG59"/>
      <c r="MDH59"/>
      <c r="MDI59"/>
      <c r="MDJ59"/>
      <c r="MDK59"/>
      <c r="MDL59"/>
      <c r="MDM59"/>
      <c r="MDN59"/>
      <c r="MDO59"/>
      <c r="MDP59"/>
      <c r="MDQ59"/>
      <c r="MDR59"/>
      <c r="MDS59"/>
      <c r="MDT59"/>
      <c r="MDU59"/>
      <c r="MDV59"/>
      <c r="MDW59"/>
      <c r="MDX59"/>
      <c r="MDY59"/>
      <c r="MDZ59"/>
      <c r="MEA59"/>
      <c r="MEB59"/>
      <c r="MEC59"/>
      <c r="MED59"/>
      <c r="MEE59"/>
      <c r="MEF59"/>
      <c r="MEG59"/>
      <c r="MEH59"/>
      <c r="MEI59"/>
      <c r="MEJ59"/>
      <c r="MEK59"/>
      <c r="MEL59"/>
      <c r="MEM59"/>
      <c r="MEN59"/>
      <c r="MEO59"/>
      <c r="MEP59"/>
      <c r="MEQ59"/>
      <c r="MER59"/>
      <c r="MES59"/>
      <c r="MET59"/>
      <c r="MEU59"/>
      <c r="MEV59"/>
      <c r="MEW59"/>
      <c r="MEX59"/>
      <c r="MEY59"/>
      <c r="MEZ59"/>
      <c r="MFA59"/>
      <c r="MFB59"/>
      <c r="MFC59"/>
      <c r="MFD59"/>
      <c r="MFE59"/>
      <c r="MFF59"/>
      <c r="MFG59"/>
      <c r="MFH59"/>
      <c r="MFI59"/>
      <c r="MFJ59"/>
      <c r="MFK59"/>
      <c r="MFL59"/>
      <c r="MFM59"/>
      <c r="MFN59"/>
      <c r="MFO59"/>
      <c r="MFP59"/>
      <c r="MFQ59"/>
      <c r="MFR59"/>
      <c r="MFS59"/>
      <c r="MFT59"/>
      <c r="MFU59"/>
      <c r="MFV59"/>
      <c r="MFW59"/>
      <c r="MFX59"/>
      <c r="MFY59"/>
      <c r="MFZ59"/>
      <c r="MGA59"/>
      <c r="MGB59"/>
      <c r="MGC59"/>
      <c r="MGD59"/>
      <c r="MGE59"/>
      <c r="MGF59"/>
      <c r="MGG59"/>
      <c r="MGH59"/>
      <c r="MGI59"/>
      <c r="MGJ59"/>
      <c r="MGK59"/>
      <c r="MGL59"/>
      <c r="MGM59"/>
      <c r="MGN59"/>
      <c r="MGO59"/>
      <c r="MGP59"/>
      <c r="MGQ59"/>
      <c r="MGR59"/>
      <c r="MGS59"/>
      <c r="MGT59"/>
      <c r="MGU59"/>
      <c r="MGV59"/>
      <c r="MGW59"/>
      <c r="MGX59"/>
      <c r="MGY59"/>
      <c r="MGZ59"/>
      <c r="MHA59"/>
      <c r="MHB59"/>
      <c r="MHC59"/>
      <c r="MHD59"/>
      <c r="MHE59"/>
      <c r="MHF59"/>
      <c r="MHG59"/>
      <c r="MHH59"/>
      <c r="MHI59"/>
      <c r="MHJ59"/>
      <c r="MHK59"/>
      <c r="MHL59"/>
      <c r="MHM59"/>
      <c r="MHN59"/>
      <c r="MHO59"/>
      <c r="MHP59"/>
      <c r="MHQ59"/>
      <c r="MHR59"/>
      <c r="MHS59"/>
      <c r="MHT59"/>
      <c r="MHU59"/>
      <c r="MHV59"/>
      <c r="MHW59"/>
      <c r="MHX59"/>
      <c r="MHY59"/>
      <c r="MHZ59"/>
      <c r="MIA59"/>
      <c r="MIB59"/>
      <c r="MIC59"/>
      <c r="MID59"/>
      <c r="MIE59"/>
      <c r="MIF59"/>
      <c r="MIG59"/>
      <c r="MIH59"/>
      <c r="MII59"/>
      <c r="MIJ59"/>
      <c r="MIK59"/>
      <c r="MIL59"/>
      <c r="MIM59"/>
      <c r="MIN59"/>
      <c r="MIO59"/>
      <c r="MIP59"/>
      <c r="MIQ59"/>
      <c r="MIR59"/>
      <c r="MIS59"/>
      <c r="MIT59"/>
      <c r="MIU59"/>
      <c r="MIV59"/>
      <c r="MIW59"/>
      <c r="MIX59"/>
      <c r="MIY59"/>
      <c r="MIZ59"/>
      <c r="MJA59"/>
      <c r="MJB59"/>
      <c r="MJC59"/>
      <c r="MJD59"/>
      <c r="MJE59"/>
      <c r="MJF59"/>
      <c r="MJG59"/>
      <c r="MJH59"/>
      <c r="MJI59"/>
      <c r="MJJ59"/>
      <c r="MJK59"/>
      <c r="MJL59"/>
      <c r="MJM59"/>
      <c r="MJN59"/>
      <c r="MJO59"/>
      <c r="MJP59"/>
      <c r="MJQ59"/>
      <c r="MJR59"/>
      <c r="MJS59"/>
      <c r="MJT59"/>
      <c r="MJU59"/>
      <c r="MJV59"/>
      <c r="MJW59"/>
      <c r="MJX59"/>
      <c r="MJY59"/>
      <c r="MJZ59"/>
      <c r="MKA59"/>
      <c r="MKB59"/>
      <c r="MKC59"/>
      <c r="MKD59"/>
      <c r="MKE59"/>
      <c r="MKF59"/>
      <c r="MKG59"/>
      <c r="MKH59"/>
      <c r="MKI59"/>
      <c r="MKJ59"/>
      <c r="MKK59"/>
      <c r="MKL59"/>
      <c r="MKM59"/>
      <c r="MKN59"/>
      <c r="MKO59"/>
      <c r="MKP59"/>
      <c r="MKQ59"/>
      <c r="MKR59"/>
      <c r="MKS59"/>
      <c r="MKT59"/>
      <c r="MKU59"/>
      <c r="MKV59"/>
      <c r="MKW59"/>
      <c r="MKX59"/>
      <c r="MKY59"/>
      <c r="MKZ59"/>
      <c r="MLA59"/>
      <c r="MLB59"/>
      <c r="MLC59"/>
      <c r="MLD59"/>
      <c r="MLE59"/>
      <c r="MLF59"/>
      <c r="MLG59"/>
      <c r="MLH59"/>
      <c r="MLI59"/>
      <c r="MLJ59"/>
      <c r="MLK59"/>
      <c r="MLL59"/>
      <c r="MLM59"/>
      <c r="MLN59"/>
      <c r="MLO59"/>
      <c r="MLP59"/>
      <c r="MLQ59"/>
      <c r="MLR59"/>
      <c r="MLS59"/>
      <c r="MLT59"/>
      <c r="MLU59"/>
      <c r="MLV59"/>
      <c r="MLW59"/>
      <c r="MLX59"/>
      <c r="MLY59"/>
      <c r="MLZ59"/>
      <c r="MMA59"/>
      <c r="MMB59"/>
      <c r="MMC59"/>
      <c r="MMD59"/>
      <c r="MME59"/>
      <c r="MMF59"/>
      <c r="MMG59"/>
      <c r="MMH59"/>
      <c r="MMI59"/>
      <c r="MMJ59"/>
      <c r="MMK59"/>
      <c r="MML59"/>
      <c r="MMM59"/>
      <c r="MMN59"/>
      <c r="MMO59"/>
      <c r="MMP59"/>
      <c r="MMQ59"/>
      <c r="MMR59"/>
      <c r="MMS59"/>
      <c r="MMT59"/>
      <c r="MMU59"/>
      <c r="MMV59"/>
      <c r="MMW59"/>
      <c r="MMX59"/>
      <c r="MMY59"/>
      <c r="MMZ59"/>
      <c r="MNA59"/>
      <c r="MNB59"/>
      <c r="MNC59"/>
      <c r="MND59"/>
      <c r="MNE59"/>
      <c r="MNF59"/>
      <c r="MNG59"/>
      <c r="MNH59"/>
      <c r="MNI59"/>
      <c r="MNJ59"/>
      <c r="MNK59"/>
      <c r="MNL59"/>
      <c r="MNM59"/>
      <c r="MNN59"/>
      <c r="MNO59"/>
      <c r="MNP59"/>
      <c r="MNQ59"/>
      <c r="MNR59"/>
      <c r="MNS59"/>
      <c r="MNT59"/>
      <c r="MNU59"/>
      <c r="MNV59"/>
      <c r="MNW59"/>
      <c r="MNX59"/>
      <c r="MNY59"/>
      <c r="MNZ59"/>
      <c r="MOA59"/>
      <c r="MOB59"/>
      <c r="MOC59"/>
      <c r="MOD59"/>
      <c r="MOE59"/>
      <c r="MOF59"/>
      <c r="MOG59"/>
      <c r="MOH59"/>
      <c r="MOI59"/>
      <c r="MOJ59"/>
      <c r="MOK59"/>
      <c r="MOL59"/>
      <c r="MOM59"/>
      <c r="MON59"/>
      <c r="MOO59"/>
      <c r="MOP59"/>
      <c r="MOQ59"/>
      <c r="MOR59"/>
      <c r="MOS59"/>
      <c r="MOT59"/>
      <c r="MOU59"/>
      <c r="MOV59"/>
      <c r="MOW59"/>
      <c r="MOX59"/>
      <c r="MOY59"/>
      <c r="MOZ59"/>
      <c r="MPA59"/>
      <c r="MPB59"/>
      <c r="MPC59"/>
      <c r="MPD59"/>
      <c r="MPE59"/>
      <c r="MPF59"/>
      <c r="MPG59"/>
      <c r="MPH59"/>
      <c r="MPI59"/>
      <c r="MPJ59"/>
      <c r="MPK59"/>
      <c r="MPL59"/>
      <c r="MPM59"/>
      <c r="MPN59"/>
      <c r="MPO59"/>
      <c r="MPP59"/>
      <c r="MPQ59"/>
      <c r="MPR59"/>
      <c r="MPS59"/>
      <c r="MPT59"/>
      <c r="MPU59"/>
      <c r="MPV59"/>
      <c r="MPW59"/>
      <c r="MPX59"/>
      <c r="MPY59"/>
      <c r="MPZ59"/>
      <c r="MQA59"/>
      <c r="MQB59"/>
      <c r="MQC59"/>
      <c r="MQD59"/>
      <c r="MQE59"/>
      <c r="MQF59"/>
      <c r="MQG59"/>
      <c r="MQH59"/>
      <c r="MQI59"/>
      <c r="MQJ59"/>
      <c r="MQK59"/>
      <c r="MQL59"/>
      <c r="MQM59"/>
      <c r="MQN59"/>
      <c r="MQO59"/>
      <c r="MQP59"/>
      <c r="MQQ59"/>
      <c r="MQR59"/>
      <c r="MQS59"/>
      <c r="MQT59"/>
      <c r="MQU59"/>
      <c r="MQV59"/>
      <c r="MQW59"/>
      <c r="MQX59"/>
      <c r="MQY59"/>
      <c r="MQZ59"/>
      <c r="MRA59"/>
      <c r="MRB59"/>
      <c r="MRC59"/>
      <c r="MRD59"/>
      <c r="MRE59"/>
      <c r="MRF59"/>
      <c r="MRG59"/>
      <c r="MRH59"/>
      <c r="MRI59"/>
      <c r="MRJ59"/>
      <c r="MRK59"/>
      <c r="MRL59"/>
      <c r="MRM59"/>
      <c r="MRN59"/>
      <c r="MRO59"/>
      <c r="MRP59"/>
      <c r="MRQ59"/>
      <c r="MRR59"/>
      <c r="MRS59"/>
      <c r="MRT59"/>
      <c r="MRU59"/>
      <c r="MRV59"/>
      <c r="MRW59"/>
      <c r="MRX59"/>
      <c r="MRY59"/>
      <c r="MRZ59"/>
      <c r="MSA59"/>
      <c r="MSB59"/>
      <c r="MSC59"/>
      <c r="MSD59"/>
      <c r="MSE59"/>
      <c r="MSF59"/>
      <c r="MSG59"/>
      <c r="MSH59"/>
      <c r="MSI59"/>
      <c r="MSJ59"/>
      <c r="MSK59"/>
      <c r="MSL59"/>
      <c r="MSM59"/>
      <c r="MSN59"/>
      <c r="MSO59"/>
      <c r="MSP59"/>
      <c r="MSQ59"/>
      <c r="MSR59"/>
      <c r="MSS59"/>
      <c r="MST59"/>
      <c r="MSU59"/>
      <c r="MSV59"/>
      <c r="MSW59"/>
      <c r="MSX59"/>
      <c r="MSY59"/>
      <c r="MSZ59"/>
      <c r="MTA59"/>
      <c r="MTB59"/>
      <c r="MTC59"/>
      <c r="MTD59"/>
      <c r="MTE59"/>
      <c r="MTF59"/>
      <c r="MTG59"/>
      <c r="MTH59"/>
      <c r="MTI59"/>
      <c r="MTJ59"/>
      <c r="MTK59"/>
      <c r="MTL59"/>
      <c r="MTM59"/>
      <c r="MTN59"/>
      <c r="MTO59"/>
      <c r="MTP59"/>
      <c r="MTQ59"/>
      <c r="MTR59"/>
      <c r="MTS59"/>
      <c r="MTT59"/>
      <c r="MTU59"/>
      <c r="MTV59"/>
      <c r="MTW59"/>
      <c r="MTX59"/>
      <c r="MTY59"/>
      <c r="MTZ59"/>
      <c r="MUA59"/>
      <c r="MUB59"/>
      <c r="MUC59"/>
      <c r="MUD59"/>
      <c r="MUE59"/>
      <c r="MUF59"/>
      <c r="MUG59"/>
      <c r="MUH59"/>
      <c r="MUI59"/>
      <c r="MUJ59"/>
      <c r="MUK59"/>
      <c r="MUL59"/>
      <c r="MUM59"/>
      <c r="MUN59"/>
      <c r="MUO59"/>
      <c r="MUP59"/>
      <c r="MUQ59"/>
      <c r="MUR59"/>
      <c r="MUS59"/>
      <c r="MUT59"/>
      <c r="MUU59"/>
      <c r="MUV59"/>
      <c r="MUW59"/>
      <c r="MUX59"/>
      <c r="MUY59"/>
      <c r="MUZ59"/>
      <c r="MVA59"/>
      <c r="MVB59"/>
      <c r="MVC59"/>
      <c r="MVD59"/>
      <c r="MVE59"/>
      <c r="MVF59"/>
      <c r="MVG59"/>
      <c r="MVH59"/>
      <c r="MVI59"/>
      <c r="MVJ59"/>
      <c r="MVK59"/>
      <c r="MVL59"/>
      <c r="MVM59"/>
      <c r="MVN59"/>
      <c r="MVO59"/>
      <c r="MVP59"/>
      <c r="MVQ59"/>
      <c r="MVR59"/>
      <c r="MVS59"/>
      <c r="MVT59"/>
      <c r="MVU59"/>
      <c r="MVV59"/>
      <c r="MVW59"/>
      <c r="MVX59"/>
      <c r="MVY59"/>
      <c r="MVZ59"/>
      <c r="MWA59"/>
      <c r="MWB59"/>
      <c r="MWC59"/>
      <c r="MWD59"/>
      <c r="MWE59"/>
      <c r="MWF59"/>
      <c r="MWG59"/>
      <c r="MWH59"/>
      <c r="MWI59"/>
      <c r="MWJ59"/>
      <c r="MWK59"/>
      <c r="MWL59"/>
      <c r="MWM59"/>
      <c r="MWN59"/>
      <c r="MWO59"/>
      <c r="MWP59"/>
      <c r="MWQ59"/>
      <c r="MWR59"/>
      <c r="MWS59"/>
      <c r="MWT59"/>
      <c r="MWU59"/>
      <c r="MWV59"/>
      <c r="MWW59"/>
      <c r="MWX59"/>
      <c r="MWY59"/>
      <c r="MWZ59"/>
      <c r="MXA59"/>
      <c r="MXB59"/>
      <c r="MXC59"/>
      <c r="MXD59"/>
      <c r="MXE59"/>
      <c r="MXF59"/>
      <c r="MXG59"/>
      <c r="MXH59"/>
      <c r="MXI59"/>
      <c r="MXJ59"/>
      <c r="MXK59"/>
      <c r="MXL59"/>
      <c r="MXM59"/>
      <c r="MXN59"/>
      <c r="MXO59"/>
      <c r="MXP59"/>
      <c r="MXQ59"/>
      <c r="MXR59"/>
      <c r="MXS59"/>
      <c r="MXT59"/>
      <c r="MXU59"/>
      <c r="MXV59"/>
      <c r="MXW59"/>
      <c r="MXX59"/>
      <c r="MXY59"/>
      <c r="MXZ59"/>
      <c r="MYA59"/>
      <c r="MYB59"/>
      <c r="MYC59"/>
      <c r="MYD59"/>
      <c r="MYE59"/>
      <c r="MYF59"/>
      <c r="MYG59"/>
      <c r="MYH59"/>
      <c r="MYI59"/>
      <c r="MYJ59"/>
      <c r="MYK59"/>
      <c r="MYL59"/>
      <c r="MYM59"/>
      <c r="MYN59"/>
      <c r="MYO59"/>
      <c r="MYP59"/>
      <c r="MYQ59"/>
      <c r="MYR59"/>
      <c r="MYS59"/>
      <c r="MYT59"/>
      <c r="MYU59"/>
      <c r="MYV59"/>
      <c r="MYW59"/>
      <c r="MYX59"/>
      <c r="MYY59"/>
      <c r="MYZ59"/>
      <c r="MZA59"/>
      <c r="MZB59"/>
      <c r="MZC59"/>
      <c r="MZD59"/>
      <c r="MZE59"/>
      <c r="MZF59"/>
      <c r="MZG59"/>
      <c r="MZH59"/>
      <c r="MZI59"/>
      <c r="MZJ59"/>
      <c r="MZK59"/>
      <c r="MZL59"/>
      <c r="MZM59"/>
      <c r="MZN59"/>
      <c r="MZO59"/>
      <c r="MZP59"/>
      <c r="MZQ59"/>
      <c r="MZR59"/>
      <c r="MZS59"/>
      <c r="MZT59"/>
      <c r="MZU59"/>
      <c r="MZV59"/>
      <c r="MZW59"/>
      <c r="MZX59"/>
      <c r="MZY59"/>
      <c r="MZZ59"/>
      <c r="NAA59"/>
      <c r="NAB59"/>
      <c r="NAC59"/>
      <c r="NAD59"/>
      <c r="NAE59"/>
      <c r="NAF59"/>
      <c r="NAG59"/>
      <c r="NAH59"/>
      <c r="NAI59"/>
      <c r="NAJ59"/>
      <c r="NAK59"/>
      <c r="NAL59"/>
      <c r="NAM59"/>
      <c r="NAN59"/>
      <c r="NAO59"/>
      <c r="NAP59"/>
      <c r="NAQ59"/>
      <c r="NAR59"/>
      <c r="NAS59"/>
      <c r="NAT59"/>
      <c r="NAU59"/>
      <c r="NAV59"/>
      <c r="NAW59"/>
      <c r="NAX59"/>
      <c r="NAY59"/>
      <c r="NAZ59"/>
      <c r="NBA59"/>
      <c r="NBB59"/>
      <c r="NBC59"/>
      <c r="NBD59"/>
      <c r="NBE59"/>
      <c r="NBF59"/>
      <c r="NBG59"/>
      <c r="NBH59"/>
      <c r="NBI59"/>
      <c r="NBJ59"/>
      <c r="NBK59"/>
      <c r="NBL59"/>
      <c r="NBM59"/>
      <c r="NBN59"/>
      <c r="NBO59"/>
      <c r="NBP59"/>
      <c r="NBQ59"/>
      <c r="NBR59"/>
      <c r="NBS59"/>
      <c r="NBT59"/>
      <c r="NBU59"/>
      <c r="NBV59"/>
      <c r="NBW59"/>
      <c r="NBX59"/>
      <c r="NBY59"/>
      <c r="NBZ59"/>
      <c r="NCA59"/>
      <c r="NCB59"/>
      <c r="NCC59"/>
      <c r="NCD59"/>
      <c r="NCE59"/>
      <c r="NCF59"/>
      <c r="NCG59"/>
      <c r="NCH59"/>
      <c r="NCI59"/>
      <c r="NCJ59"/>
      <c r="NCK59"/>
      <c r="NCL59"/>
      <c r="NCM59"/>
      <c r="NCN59"/>
      <c r="NCO59"/>
      <c r="NCP59"/>
      <c r="NCQ59"/>
      <c r="NCR59"/>
      <c r="NCS59"/>
      <c r="NCT59"/>
      <c r="NCU59"/>
      <c r="NCV59"/>
      <c r="NCW59"/>
      <c r="NCX59"/>
      <c r="NCY59"/>
      <c r="NCZ59"/>
      <c r="NDA59"/>
      <c r="NDB59"/>
      <c r="NDC59"/>
      <c r="NDD59"/>
      <c r="NDE59"/>
      <c r="NDF59"/>
      <c r="NDG59"/>
      <c r="NDH59"/>
      <c r="NDI59"/>
      <c r="NDJ59"/>
      <c r="NDK59"/>
      <c r="NDL59"/>
      <c r="NDM59"/>
      <c r="NDN59"/>
      <c r="NDO59"/>
      <c r="NDP59"/>
      <c r="NDQ59"/>
      <c r="NDR59"/>
      <c r="NDS59"/>
      <c r="NDT59"/>
      <c r="NDU59"/>
      <c r="NDV59"/>
      <c r="NDW59"/>
      <c r="NDX59"/>
      <c r="NDY59"/>
      <c r="NDZ59"/>
      <c r="NEA59"/>
      <c r="NEB59"/>
      <c r="NEC59"/>
      <c r="NED59"/>
      <c r="NEE59"/>
      <c r="NEF59"/>
      <c r="NEG59"/>
      <c r="NEH59"/>
      <c r="NEI59"/>
      <c r="NEJ59"/>
      <c r="NEK59"/>
      <c r="NEL59"/>
      <c r="NEM59"/>
      <c r="NEN59"/>
      <c r="NEO59"/>
      <c r="NEP59"/>
      <c r="NEQ59"/>
      <c r="NER59"/>
      <c r="NES59"/>
      <c r="NET59"/>
      <c r="NEU59"/>
      <c r="NEV59"/>
      <c r="NEW59"/>
      <c r="NEX59"/>
      <c r="NEY59"/>
      <c r="NEZ59"/>
      <c r="NFA59"/>
      <c r="NFB59"/>
      <c r="NFC59"/>
      <c r="NFD59"/>
      <c r="NFE59"/>
      <c r="NFF59"/>
      <c r="NFG59"/>
      <c r="NFH59"/>
      <c r="NFI59"/>
      <c r="NFJ59"/>
      <c r="NFK59"/>
      <c r="NFL59"/>
      <c r="NFM59"/>
      <c r="NFN59"/>
      <c r="NFO59"/>
      <c r="NFP59"/>
      <c r="NFQ59"/>
      <c r="NFR59"/>
      <c r="NFS59"/>
      <c r="NFT59"/>
      <c r="NFU59"/>
      <c r="NFV59"/>
      <c r="NFW59"/>
      <c r="NFX59"/>
      <c r="NFY59"/>
      <c r="NFZ59"/>
      <c r="NGA59"/>
      <c r="NGB59"/>
      <c r="NGC59"/>
      <c r="NGD59"/>
      <c r="NGE59"/>
      <c r="NGF59"/>
      <c r="NGG59"/>
      <c r="NGH59"/>
      <c r="NGI59"/>
      <c r="NGJ59"/>
      <c r="NGK59"/>
      <c r="NGL59"/>
      <c r="NGM59"/>
      <c r="NGN59"/>
      <c r="NGO59"/>
      <c r="NGP59"/>
      <c r="NGQ59"/>
      <c r="NGR59"/>
      <c r="NGS59"/>
      <c r="NGT59"/>
      <c r="NGU59"/>
      <c r="NGV59"/>
      <c r="NGW59"/>
      <c r="NGX59"/>
      <c r="NGY59"/>
      <c r="NGZ59"/>
      <c r="NHA59"/>
      <c r="NHB59"/>
      <c r="NHC59"/>
      <c r="NHD59"/>
      <c r="NHE59"/>
      <c r="NHF59"/>
      <c r="NHG59"/>
      <c r="NHH59"/>
      <c r="NHI59"/>
      <c r="NHJ59"/>
      <c r="NHK59"/>
      <c r="NHL59"/>
      <c r="NHM59"/>
      <c r="NHN59"/>
      <c r="NHO59"/>
      <c r="NHP59"/>
      <c r="NHQ59"/>
      <c r="NHR59"/>
      <c r="NHS59"/>
      <c r="NHT59"/>
      <c r="NHU59"/>
      <c r="NHV59"/>
      <c r="NHW59"/>
      <c r="NHX59"/>
      <c r="NHY59"/>
      <c r="NHZ59"/>
      <c r="NIA59"/>
      <c r="NIB59"/>
      <c r="NIC59"/>
      <c r="NID59"/>
      <c r="NIE59"/>
      <c r="NIF59"/>
      <c r="NIG59"/>
      <c r="NIH59"/>
      <c r="NII59"/>
      <c r="NIJ59"/>
      <c r="NIK59"/>
      <c r="NIL59"/>
      <c r="NIM59"/>
      <c r="NIN59"/>
      <c r="NIO59"/>
      <c r="NIP59"/>
      <c r="NIQ59"/>
      <c r="NIR59"/>
      <c r="NIS59"/>
      <c r="NIT59"/>
      <c r="NIU59"/>
      <c r="NIV59"/>
      <c r="NIW59"/>
      <c r="NIX59"/>
      <c r="NIY59"/>
      <c r="NIZ59"/>
      <c r="NJA59"/>
      <c r="NJB59"/>
      <c r="NJC59"/>
      <c r="NJD59"/>
      <c r="NJE59"/>
      <c r="NJF59"/>
      <c r="NJG59"/>
      <c r="NJH59"/>
      <c r="NJI59"/>
      <c r="NJJ59"/>
      <c r="NJK59"/>
      <c r="NJL59"/>
      <c r="NJM59"/>
      <c r="NJN59"/>
      <c r="NJO59"/>
      <c r="NJP59"/>
      <c r="NJQ59"/>
      <c r="NJR59"/>
      <c r="NJS59"/>
      <c r="NJT59"/>
      <c r="NJU59"/>
      <c r="NJV59"/>
      <c r="NJW59"/>
      <c r="NJX59"/>
      <c r="NJY59"/>
      <c r="NJZ59"/>
      <c r="NKA59"/>
      <c r="NKB59"/>
      <c r="NKC59"/>
      <c r="NKD59"/>
      <c r="NKE59"/>
      <c r="NKF59"/>
      <c r="NKG59"/>
      <c r="NKH59"/>
      <c r="NKI59"/>
      <c r="NKJ59"/>
      <c r="NKK59"/>
      <c r="NKL59"/>
      <c r="NKM59"/>
      <c r="NKN59"/>
      <c r="NKO59"/>
      <c r="NKP59"/>
      <c r="NKQ59"/>
      <c r="NKR59"/>
      <c r="NKS59"/>
      <c r="NKT59"/>
      <c r="NKU59"/>
      <c r="NKV59"/>
      <c r="NKW59"/>
      <c r="NKX59"/>
      <c r="NKY59"/>
      <c r="NKZ59"/>
      <c r="NLA59"/>
      <c r="NLB59"/>
      <c r="NLC59"/>
      <c r="NLD59"/>
      <c r="NLE59"/>
      <c r="NLF59"/>
      <c r="NLG59"/>
      <c r="NLH59"/>
      <c r="NLI59"/>
      <c r="NLJ59"/>
      <c r="NLK59"/>
      <c r="NLL59"/>
      <c r="NLM59"/>
      <c r="NLN59"/>
      <c r="NLO59"/>
      <c r="NLP59"/>
      <c r="NLQ59"/>
      <c r="NLR59"/>
      <c r="NLS59"/>
      <c r="NLT59"/>
      <c r="NLU59"/>
      <c r="NLV59"/>
      <c r="NLW59"/>
      <c r="NLX59"/>
      <c r="NLY59"/>
      <c r="NLZ59"/>
      <c r="NMA59"/>
      <c r="NMB59"/>
      <c r="NMC59"/>
      <c r="NMD59"/>
      <c r="NME59"/>
      <c r="NMF59"/>
      <c r="NMG59"/>
      <c r="NMH59"/>
      <c r="NMI59"/>
      <c r="NMJ59"/>
      <c r="NMK59"/>
      <c r="NML59"/>
      <c r="NMM59"/>
      <c r="NMN59"/>
      <c r="NMO59"/>
      <c r="NMP59"/>
      <c r="NMQ59"/>
      <c r="NMR59"/>
      <c r="NMS59"/>
      <c r="NMT59"/>
      <c r="NMU59"/>
      <c r="NMV59"/>
      <c r="NMW59"/>
      <c r="NMX59"/>
      <c r="NMY59"/>
      <c r="NMZ59"/>
      <c r="NNA59"/>
      <c r="NNB59"/>
      <c r="NNC59"/>
      <c r="NND59"/>
      <c r="NNE59"/>
      <c r="NNF59"/>
      <c r="NNG59"/>
      <c r="NNH59"/>
      <c r="NNI59"/>
      <c r="NNJ59"/>
      <c r="NNK59"/>
      <c r="NNL59"/>
      <c r="NNM59"/>
      <c r="NNN59"/>
      <c r="NNO59"/>
      <c r="NNP59"/>
      <c r="NNQ59"/>
      <c r="NNR59"/>
      <c r="NNS59"/>
      <c r="NNT59"/>
      <c r="NNU59"/>
      <c r="NNV59"/>
      <c r="NNW59"/>
      <c r="NNX59"/>
      <c r="NNY59"/>
      <c r="NNZ59"/>
      <c r="NOA59"/>
      <c r="NOB59"/>
      <c r="NOC59"/>
      <c r="NOD59"/>
      <c r="NOE59"/>
      <c r="NOF59"/>
      <c r="NOG59"/>
      <c r="NOH59"/>
      <c r="NOI59"/>
      <c r="NOJ59"/>
      <c r="NOK59"/>
      <c r="NOL59"/>
      <c r="NOM59"/>
      <c r="NON59"/>
      <c r="NOO59"/>
      <c r="NOP59"/>
      <c r="NOQ59"/>
      <c r="NOR59"/>
      <c r="NOS59"/>
      <c r="NOT59"/>
      <c r="NOU59"/>
      <c r="NOV59"/>
      <c r="NOW59"/>
      <c r="NOX59"/>
      <c r="NOY59"/>
      <c r="NOZ59"/>
      <c r="NPA59"/>
      <c r="NPB59"/>
      <c r="NPC59"/>
      <c r="NPD59"/>
      <c r="NPE59"/>
      <c r="NPF59"/>
      <c r="NPG59"/>
      <c r="NPH59"/>
      <c r="NPI59"/>
      <c r="NPJ59"/>
      <c r="NPK59"/>
      <c r="NPL59"/>
      <c r="NPM59"/>
      <c r="NPN59"/>
      <c r="NPO59"/>
      <c r="NPP59"/>
      <c r="NPQ59"/>
      <c r="NPR59"/>
      <c r="NPS59"/>
      <c r="NPT59"/>
      <c r="NPU59"/>
      <c r="NPV59"/>
      <c r="NPW59"/>
      <c r="NPX59"/>
      <c r="NPY59"/>
      <c r="NPZ59"/>
      <c r="NQA59"/>
      <c r="NQB59"/>
      <c r="NQC59"/>
      <c r="NQD59"/>
      <c r="NQE59"/>
      <c r="NQF59"/>
      <c r="NQG59"/>
      <c r="NQH59"/>
      <c r="NQI59"/>
      <c r="NQJ59"/>
      <c r="NQK59"/>
      <c r="NQL59"/>
      <c r="NQM59"/>
      <c r="NQN59"/>
      <c r="NQO59"/>
      <c r="NQP59"/>
      <c r="NQQ59"/>
      <c r="NQR59"/>
      <c r="NQS59"/>
      <c r="NQT59"/>
      <c r="NQU59"/>
      <c r="NQV59"/>
      <c r="NQW59"/>
      <c r="NQX59"/>
      <c r="NQY59"/>
      <c r="NQZ59"/>
      <c r="NRA59"/>
      <c r="NRB59"/>
      <c r="NRC59"/>
      <c r="NRD59"/>
      <c r="NRE59"/>
      <c r="NRF59"/>
      <c r="NRG59"/>
      <c r="NRH59"/>
      <c r="NRI59"/>
      <c r="NRJ59"/>
      <c r="NRK59"/>
      <c r="NRL59"/>
      <c r="NRM59"/>
      <c r="NRN59"/>
      <c r="NRO59"/>
      <c r="NRP59"/>
      <c r="NRQ59"/>
      <c r="NRR59"/>
      <c r="NRS59"/>
      <c r="NRT59"/>
      <c r="NRU59"/>
      <c r="NRV59"/>
      <c r="NRW59"/>
      <c r="NRX59"/>
      <c r="NRY59"/>
      <c r="NRZ59"/>
      <c r="NSA59"/>
      <c r="NSB59"/>
      <c r="NSC59"/>
      <c r="NSD59"/>
      <c r="NSE59"/>
      <c r="NSF59"/>
      <c r="NSG59"/>
      <c r="NSH59"/>
      <c r="NSI59"/>
      <c r="NSJ59"/>
      <c r="NSK59"/>
      <c r="NSL59"/>
      <c r="NSM59"/>
      <c r="NSN59"/>
      <c r="NSO59"/>
      <c r="NSP59"/>
      <c r="NSQ59"/>
      <c r="NSR59"/>
      <c r="NSS59"/>
      <c r="NST59"/>
      <c r="NSU59"/>
      <c r="NSV59"/>
      <c r="NSW59"/>
      <c r="NSX59"/>
      <c r="NSY59"/>
      <c r="NSZ59"/>
      <c r="NTA59"/>
      <c r="NTB59"/>
      <c r="NTC59"/>
      <c r="NTD59"/>
      <c r="NTE59"/>
      <c r="NTF59"/>
      <c r="NTG59"/>
      <c r="NTH59"/>
      <c r="NTI59"/>
      <c r="NTJ59"/>
      <c r="NTK59"/>
      <c r="NTL59"/>
      <c r="NTM59"/>
      <c r="NTN59"/>
      <c r="NTO59"/>
      <c r="NTP59"/>
      <c r="NTQ59"/>
      <c r="NTR59"/>
      <c r="NTS59"/>
      <c r="NTT59"/>
      <c r="NTU59"/>
      <c r="NTV59"/>
      <c r="NTW59"/>
      <c r="NTX59"/>
      <c r="NTY59"/>
      <c r="NTZ59"/>
      <c r="NUA59"/>
      <c r="NUB59"/>
      <c r="NUC59"/>
      <c r="NUD59"/>
      <c r="NUE59"/>
      <c r="NUF59"/>
      <c r="NUG59"/>
      <c r="NUH59"/>
      <c r="NUI59"/>
      <c r="NUJ59"/>
      <c r="NUK59"/>
      <c r="NUL59"/>
      <c r="NUM59"/>
      <c r="NUN59"/>
      <c r="NUO59"/>
      <c r="NUP59"/>
      <c r="NUQ59"/>
      <c r="NUR59"/>
      <c r="NUS59"/>
      <c r="NUT59"/>
      <c r="NUU59"/>
      <c r="NUV59"/>
      <c r="NUW59"/>
      <c r="NUX59"/>
      <c r="NUY59"/>
      <c r="NUZ59"/>
      <c r="NVA59"/>
      <c r="NVB59"/>
      <c r="NVC59"/>
      <c r="NVD59"/>
      <c r="NVE59"/>
      <c r="NVF59"/>
      <c r="NVG59"/>
      <c r="NVH59"/>
      <c r="NVI59"/>
      <c r="NVJ59"/>
      <c r="NVK59"/>
      <c r="NVL59"/>
      <c r="NVM59"/>
      <c r="NVN59"/>
      <c r="NVO59"/>
      <c r="NVP59"/>
      <c r="NVQ59"/>
      <c r="NVR59"/>
      <c r="NVS59"/>
      <c r="NVT59"/>
      <c r="NVU59"/>
      <c r="NVV59"/>
      <c r="NVW59"/>
      <c r="NVX59"/>
      <c r="NVY59"/>
      <c r="NVZ59"/>
      <c r="NWA59"/>
      <c r="NWB59"/>
      <c r="NWC59"/>
      <c r="NWD59"/>
      <c r="NWE59"/>
      <c r="NWF59"/>
      <c r="NWG59"/>
      <c r="NWH59"/>
      <c r="NWI59"/>
      <c r="NWJ59"/>
      <c r="NWK59"/>
      <c r="NWL59"/>
      <c r="NWM59"/>
      <c r="NWN59"/>
      <c r="NWO59"/>
      <c r="NWP59"/>
      <c r="NWQ59"/>
      <c r="NWR59"/>
      <c r="NWS59"/>
      <c r="NWT59"/>
      <c r="NWU59"/>
      <c r="NWV59"/>
      <c r="NWW59"/>
      <c r="NWX59"/>
      <c r="NWY59"/>
      <c r="NWZ59"/>
      <c r="NXA59"/>
      <c r="NXB59"/>
      <c r="NXC59"/>
      <c r="NXD59"/>
      <c r="NXE59"/>
      <c r="NXF59"/>
      <c r="NXG59"/>
      <c r="NXH59"/>
      <c r="NXI59"/>
      <c r="NXJ59"/>
      <c r="NXK59"/>
      <c r="NXL59"/>
      <c r="NXM59"/>
      <c r="NXN59"/>
      <c r="NXO59"/>
      <c r="NXP59"/>
      <c r="NXQ59"/>
      <c r="NXR59"/>
      <c r="NXS59"/>
      <c r="NXT59"/>
      <c r="NXU59"/>
      <c r="NXV59"/>
      <c r="NXW59"/>
      <c r="NXX59"/>
      <c r="NXY59"/>
      <c r="NXZ59"/>
      <c r="NYA59"/>
      <c r="NYB59"/>
      <c r="NYC59"/>
      <c r="NYD59"/>
      <c r="NYE59"/>
      <c r="NYF59"/>
      <c r="NYG59"/>
      <c r="NYH59"/>
      <c r="NYI59"/>
      <c r="NYJ59"/>
      <c r="NYK59"/>
      <c r="NYL59"/>
      <c r="NYM59"/>
      <c r="NYN59"/>
      <c r="NYO59"/>
      <c r="NYP59"/>
      <c r="NYQ59"/>
      <c r="NYR59"/>
      <c r="NYS59"/>
      <c r="NYT59"/>
      <c r="NYU59"/>
      <c r="NYV59"/>
      <c r="NYW59"/>
      <c r="NYX59"/>
      <c r="NYY59"/>
      <c r="NYZ59"/>
      <c r="NZA59"/>
      <c r="NZB59"/>
      <c r="NZC59"/>
      <c r="NZD59"/>
      <c r="NZE59"/>
      <c r="NZF59"/>
      <c r="NZG59"/>
      <c r="NZH59"/>
      <c r="NZI59"/>
      <c r="NZJ59"/>
      <c r="NZK59"/>
      <c r="NZL59"/>
      <c r="NZM59"/>
      <c r="NZN59"/>
      <c r="NZO59"/>
      <c r="NZP59"/>
      <c r="NZQ59"/>
      <c r="NZR59"/>
      <c r="NZS59"/>
      <c r="NZT59"/>
      <c r="NZU59"/>
      <c r="NZV59"/>
      <c r="NZW59"/>
      <c r="NZX59"/>
      <c r="NZY59"/>
      <c r="NZZ59"/>
      <c r="OAA59"/>
      <c r="OAB59"/>
      <c r="OAC59"/>
      <c r="OAD59"/>
      <c r="OAE59"/>
      <c r="OAF59"/>
      <c r="OAG59"/>
      <c r="OAH59"/>
      <c r="OAI59"/>
      <c r="OAJ59"/>
      <c r="OAK59"/>
      <c r="OAL59"/>
      <c r="OAM59"/>
      <c r="OAN59"/>
      <c r="OAO59"/>
      <c r="OAP59"/>
      <c r="OAQ59"/>
      <c r="OAR59"/>
      <c r="OAS59"/>
      <c r="OAT59"/>
      <c r="OAU59"/>
      <c r="OAV59"/>
      <c r="OAW59"/>
      <c r="OAX59"/>
      <c r="OAY59"/>
      <c r="OAZ59"/>
      <c r="OBA59"/>
      <c r="OBB59"/>
      <c r="OBC59"/>
      <c r="OBD59"/>
      <c r="OBE59"/>
      <c r="OBF59"/>
      <c r="OBG59"/>
      <c r="OBH59"/>
      <c r="OBI59"/>
      <c r="OBJ59"/>
      <c r="OBK59"/>
      <c r="OBL59"/>
      <c r="OBM59"/>
      <c r="OBN59"/>
      <c r="OBO59"/>
      <c r="OBP59"/>
      <c r="OBQ59"/>
      <c r="OBR59"/>
      <c r="OBS59"/>
      <c r="OBT59"/>
      <c r="OBU59"/>
      <c r="OBV59"/>
      <c r="OBW59"/>
      <c r="OBX59"/>
      <c r="OBY59"/>
      <c r="OBZ59"/>
      <c r="OCA59"/>
      <c r="OCB59"/>
      <c r="OCC59"/>
      <c r="OCD59"/>
      <c r="OCE59"/>
      <c r="OCF59"/>
      <c r="OCG59"/>
      <c r="OCH59"/>
      <c r="OCI59"/>
      <c r="OCJ59"/>
      <c r="OCK59"/>
      <c r="OCL59"/>
      <c r="OCM59"/>
      <c r="OCN59"/>
      <c r="OCO59"/>
      <c r="OCP59"/>
      <c r="OCQ59"/>
      <c r="OCR59"/>
      <c r="OCS59"/>
      <c r="OCT59"/>
      <c r="OCU59"/>
      <c r="OCV59"/>
      <c r="OCW59"/>
      <c r="OCX59"/>
      <c r="OCY59"/>
      <c r="OCZ59"/>
      <c r="ODA59"/>
      <c r="ODB59"/>
      <c r="ODC59"/>
      <c r="ODD59"/>
      <c r="ODE59"/>
      <c r="ODF59"/>
      <c r="ODG59"/>
      <c r="ODH59"/>
      <c r="ODI59"/>
      <c r="ODJ59"/>
      <c r="ODK59"/>
      <c r="ODL59"/>
      <c r="ODM59"/>
      <c r="ODN59"/>
      <c r="ODO59"/>
      <c r="ODP59"/>
      <c r="ODQ59"/>
      <c r="ODR59"/>
      <c r="ODS59"/>
      <c r="ODT59"/>
      <c r="ODU59"/>
      <c r="ODV59"/>
      <c r="ODW59"/>
      <c r="ODX59"/>
      <c r="ODY59"/>
      <c r="ODZ59"/>
      <c r="OEA59"/>
      <c r="OEB59"/>
      <c r="OEC59"/>
      <c r="OED59"/>
      <c r="OEE59"/>
      <c r="OEF59"/>
      <c r="OEG59"/>
      <c r="OEH59"/>
      <c r="OEI59"/>
      <c r="OEJ59"/>
      <c r="OEK59"/>
      <c r="OEL59"/>
      <c r="OEM59"/>
      <c r="OEN59"/>
      <c r="OEO59"/>
      <c r="OEP59"/>
      <c r="OEQ59"/>
      <c r="OER59"/>
      <c r="OES59"/>
      <c r="OET59"/>
      <c r="OEU59"/>
      <c r="OEV59"/>
      <c r="OEW59"/>
      <c r="OEX59"/>
      <c r="OEY59"/>
      <c r="OEZ59"/>
      <c r="OFA59"/>
      <c r="OFB59"/>
      <c r="OFC59"/>
      <c r="OFD59"/>
      <c r="OFE59"/>
      <c r="OFF59"/>
      <c r="OFG59"/>
      <c r="OFH59"/>
      <c r="OFI59"/>
      <c r="OFJ59"/>
      <c r="OFK59"/>
      <c r="OFL59"/>
      <c r="OFM59"/>
      <c r="OFN59"/>
      <c r="OFO59"/>
      <c r="OFP59"/>
      <c r="OFQ59"/>
      <c r="OFR59"/>
      <c r="OFS59"/>
      <c r="OFT59"/>
      <c r="OFU59"/>
      <c r="OFV59"/>
      <c r="OFW59"/>
      <c r="OFX59"/>
      <c r="OFY59"/>
      <c r="OFZ59"/>
      <c r="OGA59"/>
      <c r="OGB59"/>
      <c r="OGC59"/>
      <c r="OGD59"/>
      <c r="OGE59"/>
      <c r="OGF59"/>
      <c r="OGG59"/>
      <c r="OGH59"/>
      <c r="OGI59"/>
      <c r="OGJ59"/>
      <c r="OGK59"/>
      <c r="OGL59"/>
      <c r="OGM59"/>
      <c r="OGN59"/>
      <c r="OGO59"/>
      <c r="OGP59"/>
      <c r="OGQ59"/>
      <c r="OGR59"/>
      <c r="OGS59"/>
      <c r="OGT59"/>
      <c r="OGU59"/>
      <c r="OGV59"/>
      <c r="OGW59"/>
      <c r="OGX59"/>
      <c r="OGY59"/>
      <c r="OGZ59"/>
      <c r="OHA59"/>
      <c r="OHB59"/>
      <c r="OHC59"/>
      <c r="OHD59"/>
      <c r="OHE59"/>
      <c r="OHF59"/>
      <c r="OHG59"/>
      <c r="OHH59"/>
      <c r="OHI59"/>
      <c r="OHJ59"/>
      <c r="OHK59"/>
      <c r="OHL59"/>
      <c r="OHM59"/>
      <c r="OHN59"/>
      <c r="OHO59"/>
      <c r="OHP59"/>
      <c r="OHQ59"/>
      <c r="OHR59"/>
      <c r="OHS59"/>
      <c r="OHT59"/>
      <c r="OHU59"/>
      <c r="OHV59"/>
      <c r="OHW59"/>
      <c r="OHX59"/>
      <c r="OHY59"/>
      <c r="OHZ59"/>
      <c r="OIA59"/>
      <c r="OIB59"/>
      <c r="OIC59"/>
      <c r="OID59"/>
      <c r="OIE59"/>
      <c r="OIF59"/>
      <c r="OIG59"/>
      <c r="OIH59"/>
      <c r="OII59"/>
      <c r="OIJ59"/>
      <c r="OIK59"/>
      <c r="OIL59"/>
      <c r="OIM59"/>
      <c r="OIN59"/>
      <c r="OIO59"/>
      <c r="OIP59"/>
      <c r="OIQ59"/>
      <c r="OIR59"/>
      <c r="OIS59"/>
      <c r="OIT59"/>
      <c r="OIU59"/>
      <c r="OIV59"/>
      <c r="OIW59"/>
      <c r="OIX59"/>
      <c r="OIY59"/>
      <c r="OIZ59"/>
      <c r="OJA59"/>
      <c r="OJB59"/>
      <c r="OJC59"/>
      <c r="OJD59"/>
      <c r="OJE59"/>
      <c r="OJF59"/>
      <c r="OJG59"/>
      <c r="OJH59"/>
      <c r="OJI59"/>
      <c r="OJJ59"/>
      <c r="OJK59"/>
      <c r="OJL59"/>
      <c r="OJM59"/>
      <c r="OJN59"/>
      <c r="OJO59"/>
      <c r="OJP59"/>
      <c r="OJQ59"/>
      <c r="OJR59"/>
      <c r="OJS59"/>
      <c r="OJT59"/>
      <c r="OJU59"/>
      <c r="OJV59"/>
      <c r="OJW59"/>
      <c r="OJX59"/>
      <c r="OJY59"/>
      <c r="OJZ59"/>
      <c r="OKA59"/>
      <c r="OKB59"/>
      <c r="OKC59"/>
      <c r="OKD59"/>
      <c r="OKE59"/>
      <c r="OKF59"/>
      <c r="OKG59"/>
      <c r="OKH59"/>
      <c r="OKI59"/>
      <c r="OKJ59"/>
      <c r="OKK59"/>
      <c r="OKL59"/>
      <c r="OKM59"/>
      <c r="OKN59"/>
      <c r="OKO59"/>
      <c r="OKP59"/>
      <c r="OKQ59"/>
      <c r="OKR59"/>
      <c r="OKS59"/>
      <c r="OKT59"/>
      <c r="OKU59"/>
      <c r="OKV59"/>
      <c r="OKW59"/>
      <c r="OKX59"/>
      <c r="OKY59"/>
      <c r="OKZ59"/>
      <c r="OLA59"/>
      <c r="OLB59"/>
      <c r="OLC59"/>
      <c r="OLD59"/>
      <c r="OLE59"/>
      <c r="OLF59"/>
      <c r="OLG59"/>
      <c r="OLH59"/>
      <c r="OLI59"/>
      <c r="OLJ59"/>
      <c r="OLK59"/>
      <c r="OLL59"/>
      <c r="OLM59"/>
      <c r="OLN59"/>
      <c r="OLO59"/>
      <c r="OLP59"/>
      <c r="OLQ59"/>
      <c r="OLR59"/>
      <c r="OLS59"/>
      <c r="OLT59"/>
      <c r="OLU59"/>
      <c r="OLV59"/>
      <c r="OLW59"/>
      <c r="OLX59"/>
      <c r="OLY59"/>
      <c r="OLZ59"/>
      <c r="OMA59"/>
      <c r="OMB59"/>
      <c r="OMC59"/>
      <c r="OMD59"/>
      <c r="OME59"/>
      <c r="OMF59"/>
      <c r="OMG59"/>
      <c r="OMH59"/>
      <c r="OMI59"/>
      <c r="OMJ59"/>
      <c r="OMK59"/>
      <c r="OML59"/>
      <c r="OMM59"/>
      <c r="OMN59"/>
      <c r="OMO59"/>
      <c r="OMP59"/>
      <c r="OMQ59"/>
      <c r="OMR59"/>
      <c r="OMS59"/>
      <c r="OMT59"/>
      <c r="OMU59"/>
      <c r="OMV59"/>
      <c r="OMW59"/>
      <c r="OMX59"/>
      <c r="OMY59"/>
      <c r="OMZ59"/>
      <c r="ONA59"/>
      <c r="ONB59"/>
      <c r="ONC59"/>
      <c r="OND59"/>
      <c r="ONE59"/>
      <c r="ONF59"/>
      <c r="ONG59"/>
      <c r="ONH59"/>
      <c r="ONI59"/>
      <c r="ONJ59"/>
      <c r="ONK59"/>
      <c r="ONL59"/>
      <c r="ONM59"/>
      <c r="ONN59"/>
      <c r="ONO59"/>
      <c r="ONP59"/>
      <c r="ONQ59"/>
      <c r="ONR59"/>
      <c r="ONS59"/>
      <c r="ONT59"/>
      <c r="ONU59"/>
      <c r="ONV59"/>
      <c r="ONW59"/>
      <c r="ONX59"/>
      <c r="ONY59"/>
      <c r="ONZ59"/>
      <c r="OOA59"/>
      <c r="OOB59"/>
      <c r="OOC59"/>
      <c r="OOD59"/>
      <c r="OOE59"/>
      <c r="OOF59"/>
      <c r="OOG59"/>
      <c r="OOH59"/>
      <c r="OOI59"/>
      <c r="OOJ59"/>
      <c r="OOK59"/>
      <c r="OOL59"/>
      <c r="OOM59"/>
      <c r="OON59"/>
      <c r="OOO59"/>
      <c r="OOP59"/>
      <c r="OOQ59"/>
      <c r="OOR59"/>
      <c r="OOS59"/>
      <c r="OOT59"/>
      <c r="OOU59"/>
      <c r="OOV59"/>
      <c r="OOW59"/>
      <c r="OOX59"/>
      <c r="OOY59"/>
      <c r="OOZ59"/>
      <c r="OPA59"/>
      <c r="OPB59"/>
      <c r="OPC59"/>
      <c r="OPD59"/>
      <c r="OPE59"/>
      <c r="OPF59"/>
      <c r="OPG59"/>
      <c r="OPH59"/>
      <c r="OPI59"/>
      <c r="OPJ59"/>
      <c r="OPK59"/>
      <c r="OPL59"/>
      <c r="OPM59"/>
      <c r="OPN59"/>
      <c r="OPO59"/>
      <c r="OPP59"/>
      <c r="OPQ59"/>
      <c r="OPR59"/>
      <c r="OPS59"/>
      <c r="OPT59"/>
      <c r="OPU59"/>
      <c r="OPV59"/>
      <c r="OPW59"/>
      <c r="OPX59"/>
      <c r="OPY59"/>
      <c r="OPZ59"/>
      <c r="OQA59"/>
      <c r="OQB59"/>
      <c r="OQC59"/>
      <c r="OQD59"/>
      <c r="OQE59"/>
      <c r="OQF59"/>
      <c r="OQG59"/>
      <c r="OQH59"/>
      <c r="OQI59"/>
      <c r="OQJ59"/>
      <c r="OQK59"/>
      <c r="OQL59"/>
      <c r="OQM59"/>
      <c r="OQN59"/>
      <c r="OQO59"/>
      <c r="OQP59"/>
      <c r="OQQ59"/>
      <c r="OQR59"/>
      <c r="OQS59"/>
      <c r="OQT59"/>
      <c r="OQU59"/>
      <c r="OQV59"/>
      <c r="OQW59"/>
      <c r="OQX59"/>
      <c r="OQY59"/>
      <c r="OQZ59"/>
      <c r="ORA59"/>
      <c r="ORB59"/>
      <c r="ORC59"/>
      <c r="ORD59"/>
      <c r="ORE59"/>
      <c r="ORF59"/>
      <c r="ORG59"/>
      <c r="ORH59"/>
      <c r="ORI59"/>
      <c r="ORJ59"/>
      <c r="ORK59"/>
      <c r="ORL59"/>
      <c r="ORM59"/>
      <c r="ORN59"/>
      <c r="ORO59"/>
      <c r="ORP59"/>
      <c r="ORQ59"/>
      <c r="ORR59"/>
      <c r="ORS59"/>
      <c r="ORT59"/>
      <c r="ORU59"/>
      <c r="ORV59"/>
      <c r="ORW59"/>
      <c r="ORX59"/>
      <c r="ORY59"/>
      <c r="ORZ59"/>
      <c r="OSA59"/>
      <c r="OSB59"/>
      <c r="OSC59"/>
      <c r="OSD59"/>
      <c r="OSE59"/>
      <c r="OSF59"/>
      <c r="OSG59"/>
      <c r="OSH59"/>
      <c r="OSI59"/>
      <c r="OSJ59"/>
      <c r="OSK59"/>
      <c r="OSL59"/>
      <c r="OSM59"/>
      <c r="OSN59"/>
      <c r="OSO59"/>
      <c r="OSP59"/>
      <c r="OSQ59"/>
      <c r="OSR59"/>
      <c r="OSS59"/>
      <c r="OST59"/>
      <c r="OSU59"/>
      <c r="OSV59"/>
      <c r="OSW59"/>
      <c r="OSX59"/>
      <c r="OSY59"/>
      <c r="OSZ59"/>
      <c r="OTA59"/>
      <c r="OTB59"/>
      <c r="OTC59"/>
      <c r="OTD59"/>
      <c r="OTE59"/>
      <c r="OTF59"/>
      <c r="OTG59"/>
      <c r="OTH59"/>
      <c r="OTI59"/>
      <c r="OTJ59"/>
      <c r="OTK59"/>
      <c r="OTL59"/>
      <c r="OTM59"/>
      <c r="OTN59"/>
      <c r="OTO59"/>
      <c r="OTP59"/>
      <c r="OTQ59"/>
      <c r="OTR59"/>
      <c r="OTS59"/>
      <c r="OTT59"/>
      <c r="OTU59"/>
      <c r="OTV59"/>
      <c r="OTW59"/>
      <c r="OTX59"/>
      <c r="OTY59"/>
      <c r="OTZ59"/>
      <c r="OUA59"/>
      <c r="OUB59"/>
      <c r="OUC59"/>
      <c r="OUD59"/>
      <c r="OUE59"/>
      <c r="OUF59"/>
      <c r="OUG59"/>
      <c r="OUH59"/>
      <c r="OUI59"/>
      <c r="OUJ59"/>
      <c r="OUK59"/>
      <c r="OUL59"/>
      <c r="OUM59"/>
      <c r="OUN59"/>
      <c r="OUO59"/>
      <c r="OUP59"/>
      <c r="OUQ59"/>
      <c r="OUR59"/>
      <c r="OUS59"/>
      <c r="OUT59"/>
      <c r="OUU59"/>
      <c r="OUV59"/>
      <c r="OUW59"/>
      <c r="OUX59"/>
      <c r="OUY59"/>
      <c r="OUZ59"/>
      <c r="OVA59"/>
      <c r="OVB59"/>
      <c r="OVC59"/>
      <c r="OVD59"/>
      <c r="OVE59"/>
      <c r="OVF59"/>
      <c r="OVG59"/>
      <c r="OVH59"/>
      <c r="OVI59"/>
      <c r="OVJ59"/>
      <c r="OVK59"/>
      <c r="OVL59"/>
      <c r="OVM59"/>
      <c r="OVN59"/>
      <c r="OVO59"/>
      <c r="OVP59"/>
      <c r="OVQ59"/>
      <c r="OVR59"/>
      <c r="OVS59"/>
      <c r="OVT59"/>
      <c r="OVU59"/>
      <c r="OVV59"/>
      <c r="OVW59"/>
      <c r="OVX59"/>
      <c r="OVY59"/>
      <c r="OVZ59"/>
      <c r="OWA59"/>
      <c r="OWB59"/>
      <c r="OWC59"/>
      <c r="OWD59"/>
      <c r="OWE59"/>
      <c r="OWF59"/>
      <c r="OWG59"/>
      <c r="OWH59"/>
      <c r="OWI59"/>
      <c r="OWJ59"/>
      <c r="OWK59"/>
      <c r="OWL59"/>
      <c r="OWM59"/>
      <c r="OWN59"/>
      <c r="OWO59"/>
      <c r="OWP59"/>
      <c r="OWQ59"/>
      <c r="OWR59"/>
      <c r="OWS59"/>
      <c r="OWT59"/>
      <c r="OWU59"/>
      <c r="OWV59"/>
      <c r="OWW59"/>
      <c r="OWX59"/>
      <c r="OWY59"/>
      <c r="OWZ59"/>
      <c r="OXA59"/>
      <c r="OXB59"/>
      <c r="OXC59"/>
      <c r="OXD59"/>
      <c r="OXE59"/>
      <c r="OXF59"/>
      <c r="OXG59"/>
      <c r="OXH59"/>
      <c r="OXI59"/>
      <c r="OXJ59"/>
      <c r="OXK59"/>
      <c r="OXL59"/>
      <c r="OXM59"/>
      <c r="OXN59"/>
      <c r="OXO59"/>
      <c r="OXP59"/>
      <c r="OXQ59"/>
      <c r="OXR59"/>
      <c r="OXS59"/>
      <c r="OXT59"/>
      <c r="OXU59"/>
      <c r="OXV59"/>
      <c r="OXW59"/>
      <c r="OXX59"/>
      <c r="OXY59"/>
      <c r="OXZ59"/>
      <c r="OYA59"/>
      <c r="OYB59"/>
      <c r="OYC59"/>
      <c r="OYD59"/>
      <c r="OYE59"/>
      <c r="OYF59"/>
      <c r="OYG59"/>
      <c r="OYH59"/>
      <c r="OYI59"/>
      <c r="OYJ59"/>
      <c r="OYK59"/>
      <c r="OYL59"/>
      <c r="OYM59"/>
      <c r="OYN59"/>
      <c r="OYO59"/>
      <c r="OYP59"/>
      <c r="OYQ59"/>
      <c r="OYR59"/>
      <c r="OYS59"/>
      <c r="OYT59"/>
      <c r="OYU59"/>
      <c r="OYV59"/>
      <c r="OYW59"/>
      <c r="OYX59"/>
      <c r="OYY59"/>
      <c r="OYZ59"/>
      <c r="OZA59"/>
      <c r="OZB59"/>
      <c r="OZC59"/>
      <c r="OZD59"/>
      <c r="OZE59"/>
      <c r="OZF59"/>
      <c r="OZG59"/>
      <c r="OZH59"/>
      <c r="OZI59"/>
      <c r="OZJ59"/>
      <c r="OZK59"/>
      <c r="OZL59"/>
      <c r="OZM59"/>
      <c r="OZN59"/>
      <c r="OZO59"/>
      <c r="OZP59"/>
      <c r="OZQ59"/>
      <c r="OZR59"/>
      <c r="OZS59"/>
      <c r="OZT59"/>
      <c r="OZU59"/>
      <c r="OZV59"/>
      <c r="OZW59"/>
      <c r="OZX59"/>
      <c r="OZY59"/>
      <c r="OZZ59"/>
      <c r="PAA59"/>
      <c r="PAB59"/>
      <c r="PAC59"/>
      <c r="PAD59"/>
      <c r="PAE59"/>
      <c r="PAF59"/>
      <c r="PAG59"/>
      <c r="PAH59"/>
      <c r="PAI59"/>
      <c r="PAJ59"/>
      <c r="PAK59"/>
      <c r="PAL59"/>
      <c r="PAM59"/>
      <c r="PAN59"/>
      <c r="PAO59"/>
      <c r="PAP59"/>
      <c r="PAQ59"/>
      <c r="PAR59"/>
      <c r="PAS59"/>
      <c r="PAT59"/>
      <c r="PAU59"/>
      <c r="PAV59"/>
      <c r="PAW59"/>
      <c r="PAX59"/>
      <c r="PAY59"/>
      <c r="PAZ59"/>
      <c r="PBA59"/>
      <c r="PBB59"/>
      <c r="PBC59"/>
      <c r="PBD59"/>
      <c r="PBE59"/>
      <c r="PBF59"/>
      <c r="PBG59"/>
      <c r="PBH59"/>
      <c r="PBI59"/>
      <c r="PBJ59"/>
      <c r="PBK59"/>
      <c r="PBL59"/>
      <c r="PBM59"/>
      <c r="PBN59"/>
      <c r="PBO59"/>
      <c r="PBP59"/>
      <c r="PBQ59"/>
      <c r="PBR59"/>
      <c r="PBS59"/>
      <c r="PBT59"/>
      <c r="PBU59"/>
      <c r="PBV59"/>
      <c r="PBW59"/>
      <c r="PBX59"/>
      <c r="PBY59"/>
      <c r="PBZ59"/>
      <c r="PCA59"/>
      <c r="PCB59"/>
      <c r="PCC59"/>
      <c r="PCD59"/>
      <c r="PCE59"/>
      <c r="PCF59"/>
      <c r="PCG59"/>
      <c r="PCH59"/>
      <c r="PCI59"/>
      <c r="PCJ59"/>
      <c r="PCK59"/>
      <c r="PCL59"/>
      <c r="PCM59"/>
      <c r="PCN59"/>
      <c r="PCO59"/>
      <c r="PCP59"/>
      <c r="PCQ59"/>
      <c r="PCR59"/>
      <c r="PCS59"/>
      <c r="PCT59"/>
      <c r="PCU59"/>
      <c r="PCV59"/>
      <c r="PCW59"/>
      <c r="PCX59"/>
      <c r="PCY59"/>
      <c r="PCZ59"/>
      <c r="PDA59"/>
      <c r="PDB59"/>
      <c r="PDC59"/>
      <c r="PDD59"/>
      <c r="PDE59"/>
      <c r="PDF59"/>
      <c r="PDG59"/>
      <c r="PDH59"/>
      <c r="PDI59"/>
      <c r="PDJ59"/>
      <c r="PDK59"/>
      <c r="PDL59"/>
      <c r="PDM59"/>
      <c r="PDN59"/>
      <c r="PDO59"/>
      <c r="PDP59"/>
      <c r="PDQ59"/>
      <c r="PDR59"/>
      <c r="PDS59"/>
      <c r="PDT59"/>
      <c r="PDU59"/>
      <c r="PDV59"/>
      <c r="PDW59"/>
      <c r="PDX59"/>
      <c r="PDY59"/>
      <c r="PDZ59"/>
      <c r="PEA59"/>
      <c r="PEB59"/>
      <c r="PEC59"/>
      <c r="PED59"/>
      <c r="PEE59"/>
      <c r="PEF59"/>
      <c r="PEG59"/>
      <c r="PEH59"/>
      <c r="PEI59"/>
      <c r="PEJ59"/>
      <c r="PEK59"/>
      <c r="PEL59"/>
      <c r="PEM59"/>
      <c r="PEN59"/>
      <c r="PEO59"/>
      <c r="PEP59"/>
      <c r="PEQ59"/>
      <c r="PER59"/>
      <c r="PES59"/>
      <c r="PET59"/>
      <c r="PEU59"/>
      <c r="PEV59"/>
      <c r="PEW59"/>
      <c r="PEX59"/>
      <c r="PEY59"/>
      <c r="PEZ59"/>
      <c r="PFA59"/>
      <c r="PFB59"/>
      <c r="PFC59"/>
      <c r="PFD59"/>
      <c r="PFE59"/>
      <c r="PFF59"/>
      <c r="PFG59"/>
      <c r="PFH59"/>
      <c r="PFI59"/>
      <c r="PFJ59"/>
      <c r="PFK59"/>
      <c r="PFL59"/>
      <c r="PFM59"/>
      <c r="PFN59"/>
      <c r="PFO59"/>
      <c r="PFP59"/>
      <c r="PFQ59"/>
      <c r="PFR59"/>
      <c r="PFS59"/>
      <c r="PFT59"/>
      <c r="PFU59"/>
      <c r="PFV59"/>
      <c r="PFW59"/>
      <c r="PFX59"/>
      <c r="PFY59"/>
      <c r="PFZ59"/>
      <c r="PGA59"/>
      <c r="PGB59"/>
      <c r="PGC59"/>
      <c r="PGD59"/>
      <c r="PGE59"/>
      <c r="PGF59"/>
      <c r="PGG59"/>
      <c r="PGH59"/>
      <c r="PGI59"/>
      <c r="PGJ59"/>
      <c r="PGK59"/>
      <c r="PGL59"/>
      <c r="PGM59"/>
      <c r="PGN59"/>
      <c r="PGO59"/>
      <c r="PGP59"/>
      <c r="PGQ59"/>
      <c r="PGR59"/>
      <c r="PGS59"/>
      <c r="PGT59"/>
      <c r="PGU59"/>
      <c r="PGV59"/>
      <c r="PGW59"/>
      <c r="PGX59"/>
      <c r="PGY59"/>
      <c r="PGZ59"/>
      <c r="PHA59"/>
      <c r="PHB59"/>
      <c r="PHC59"/>
      <c r="PHD59"/>
      <c r="PHE59"/>
      <c r="PHF59"/>
      <c r="PHG59"/>
      <c r="PHH59"/>
      <c r="PHI59"/>
      <c r="PHJ59"/>
      <c r="PHK59"/>
      <c r="PHL59"/>
      <c r="PHM59"/>
      <c r="PHN59"/>
      <c r="PHO59"/>
      <c r="PHP59"/>
      <c r="PHQ59"/>
      <c r="PHR59"/>
      <c r="PHS59"/>
      <c r="PHT59"/>
      <c r="PHU59"/>
      <c r="PHV59"/>
      <c r="PHW59"/>
      <c r="PHX59"/>
      <c r="PHY59"/>
      <c r="PHZ59"/>
      <c r="PIA59"/>
      <c r="PIB59"/>
      <c r="PIC59"/>
      <c r="PID59"/>
      <c r="PIE59"/>
      <c r="PIF59"/>
      <c r="PIG59"/>
      <c r="PIH59"/>
      <c r="PII59"/>
      <c r="PIJ59"/>
      <c r="PIK59"/>
      <c r="PIL59"/>
      <c r="PIM59"/>
      <c r="PIN59"/>
      <c r="PIO59"/>
      <c r="PIP59"/>
      <c r="PIQ59"/>
      <c r="PIR59"/>
      <c r="PIS59"/>
      <c r="PIT59"/>
      <c r="PIU59"/>
      <c r="PIV59"/>
      <c r="PIW59"/>
      <c r="PIX59"/>
      <c r="PIY59"/>
      <c r="PIZ59"/>
      <c r="PJA59"/>
      <c r="PJB59"/>
      <c r="PJC59"/>
      <c r="PJD59"/>
      <c r="PJE59"/>
      <c r="PJF59"/>
      <c r="PJG59"/>
      <c r="PJH59"/>
      <c r="PJI59"/>
      <c r="PJJ59"/>
      <c r="PJK59"/>
      <c r="PJL59"/>
      <c r="PJM59"/>
      <c r="PJN59"/>
      <c r="PJO59"/>
      <c r="PJP59"/>
      <c r="PJQ59"/>
      <c r="PJR59"/>
      <c r="PJS59"/>
      <c r="PJT59"/>
      <c r="PJU59"/>
      <c r="PJV59"/>
      <c r="PJW59"/>
      <c r="PJX59"/>
      <c r="PJY59"/>
      <c r="PJZ59"/>
      <c r="PKA59"/>
      <c r="PKB59"/>
      <c r="PKC59"/>
      <c r="PKD59"/>
      <c r="PKE59"/>
      <c r="PKF59"/>
      <c r="PKG59"/>
      <c r="PKH59"/>
      <c r="PKI59"/>
      <c r="PKJ59"/>
      <c r="PKK59"/>
      <c r="PKL59"/>
      <c r="PKM59"/>
      <c r="PKN59"/>
      <c r="PKO59"/>
      <c r="PKP59"/>
      <c r="PKQ59"/>
      <c r="PKR59"/>
      <c r="PKS59"/>
      <c r="PKT59"/>
      <c r="PKU59"/>
      <c r="PKV59"/>
      <c r="PKW59"/>
      <c r="PKX59"/>
      <c r="PKY59"/>
      <c r="PKZ59"/>
      <c r="PLA59"/>
      <c r="PLB59"/>
      <c r="PLC59"/>
      <c r="PLD59"/>
      <c r="PLE59"/>
      <c r="PLF59"/>
      <c r="PLG59"/>
      <c r="PLH59"/>
      <c r="PLI59"/>
      <c r="PLJ59"/>
      <c r="PLK59"/>
      <c r="PLL59"/>
      <c r="PLM59"/>
      <c r="PLN59"/>
      <c r="PLO59"/>
      <c r="PLP59"/>
      <c r="PLQ59"/>
      <c r="PLR59"/>
      <c r="PLS59"/>
      <c r="PLT59"/>
      <c r="PLU59"/>
      <c r="PLV59"/>
      <c r="PLW59"/>
      <c r="PLX59"/>
      <c r="PLY59"/>
      <c r="PLZ59"/>
      <c r="PMA59"/>
      <c r="PMB59"/>
      <c r="PMC59"/>
      <c r="PMD59"/>
      <c r="PME59"/>
      <c r="PMF59"/>
      <c r="PMG59"/>
      <c r="PMH59"/>
      <c r="PMI59"/>
      <c r="PMJ59"/>
      <c r="PMK59"/>
      <c r="PML59"/>
      <c r="PMM59"/>
      <c r="PMN59"/>
      <c r="PMO59"/>
      <c r="PMP59"/>
      <c r="PMQ59"/>
      <c r="PMR59"/>
      <c r="PMS59"/>
      <c r="PMT59"/>
      <c r="PMU59"/>
      <c r="PMV59"/>
      <c r="PMW59"/>
      <c r="PMX59"/>
      <c r="PMY59"/>
      <c r="PMZ59"/>
      <c r="PNA59"/>
      <c r="PNB59"/>
      <c r="PNC59"/>
      <c r="PND59"/>
      <c r="PNE59"/>
      <c r="PNF59"/>
      <c r="PNG59"/>
      <c r="PNH59"/>
      <c r="PNI59"/>
      <c r="PNJ59"/>
      <c r="PNK59"/>
      <c r="PNL59"/>
      <c r="PNM59"/>
      <c r="PNN59"/>
      <c r="PNO59"/>
      <c r="PNP59"/>
      <c r="PNQ59"/>
      <c r="PNR59"/>
      <c r="PNS59"/>
      <c r="PNT59"/>
      <c r="PNU59"/>
      <c r="PNV59"/>
      <c r="PNW59"/>
      <c r="PNX59"/>
      <c r="PNY59"/>
      <c r="PNZ59"/>
      <c r="POA59"/>
      <c r="POB59"/>
      <c r="POC59"/>
      <c r="POD59"/>
      <c r="POE59"/>
      <c r="POF59"/>
      <c r="POG59"/>
      <c r="POH59"/>
      <c r="POI59"/>
      <c r="POJ59"/>
      <c r="POK59"/>
      <c r="POL59"/>
      <c r="POM59"/>
      <c r="PON59"/>
      <c r="POO59"/>
      <c r="POP59"/>
      <c r="POQ59"/>
      <c r="POR59"/>
      <c r="POS59"/>
      <c r="POT59"/>
      <c r="POU59"/>
      <c r="POV59"/>
      <c r="POW59"/>
      <c r="POX59"/>
      <c r="POY59"/>
      <c r="POZ59"/>
      <c r="PPA59"/>
      <c r="PPB59"/>
      <c r="PPC59"/>
      <c r="PPD59"/>
      <c r="PPE59"/>
      <c r="PPF59"/>
      <c r="PPG59"/>
      <c r="PPH59"/>
      <c r="PPI59"/>
      <c r="PPJ59"/>
      <c r="PPK59"/>
      <c r="PPL59"/>
      <c r="PPM59"/>
      <c r="PPN59"/>
      <c r="PPO59"/>
      <c r="PPP59"/>
      <c r="PPQ59"/>
      <c r="PPR59"/>
      <c r="PPS59"/>
      <c r="PPT59"/>
      <c r="PPU59"/>
      <c r="PPV59"/>
      <c r="PPW59"/>
      <c r="PPX59"/>
      <c r="PPY59"/>
      <c r="PPZ59"/>
      <c r="PQA59"/>
      <c r="PQB59"/>
      <c r="PQC59"/>
      <c r="PQD59"/>
      <c r="PQE59"/>
      <c r="PQF59"/>
      <c r="PQG59"/>
      <c r="PQH59"/>
      <c r="PQI59"/>
      <c r="PQJ59"/>
      <c r="PQK59"/>
      <c r="PQL59"/>
      <c r="PQM59"/>
      <c r="PQN59"/>
      <c r="PQO59"/>
      <c r="PQP59"/>
      <c r="PQQ59"/>
      <c r="PQR59"/>
      <c r="PQS59"/>
      <c r="PQT59"/>
      <c r="PQU59"/>
      <c r="PQV59"/>
      <c r="PQW59"/>
      <c r="PQX59"/>
      <c r="PQY59"/>
      <c r="PQZ59"/>
      <c r="PRA59"/>
      <c r="PRB59"/>
      <c r="PRC59"/>
      <c r="PRD59"/>
      <c r="PRE59"/>
      <c r="PRF59"/>
      <c r="PRG59"/>
      <c r="PRH59"/>
      <c r="PRI59"/>
      <c r="PRJ59"/>
      <c r="PRK59"/>
      <c r="PRL59"/>
      <c r="PRM59"/>
      <c r="PRN59"/>
      <c r="PRO59"/>
      <c r="PRP59"/>
      <c r="PRQ59"/>
      <c r="PRR59"/>
      <c r="PRS59"/>
      <c r="PRT59"/>
      <c r="PRU59"/>
      <c r="PRV59"/>
      <c r="PRW59"/>
      <c r="PRX59"/>
      <c r="PRY59"/>
      <c r="PRZ59"/>
      <c r="PSA59"/>
      <c r="PSB59"/>
      <c r="PSC59"/>
      <c r="PSD59"/>
      <c r="PSE59"/>
      <c r="PSF59"/>
      <c r="PSG59"/>
      <c r="PSH59"/>
      <c r="PSI59"/>
      <c r="PSJ59"/>
      <c r="PSK59"/>
      <c r="PSL59"/>
      <c r="PSM59"/>
      <c r="PSN59"/>
      <c r="PSO59"/>
      <c r="PSP59"/>
      <c r="PSQ59"/>
      <c r="PSR59"/>
      <c r="PSS59"/>
      <c r="PST59"/>
      <c r="PSU59"/>
      <c r="PSV59"/>
      <c r="PSW59"/>
      <c r="PSX59"/>
      <c r="PSY59"/>
      <c r="PSZ59"/>
      <c r="PTA59"/>
      <c r="PTB59"/>
      <c r="PTC59"/>
      <c r="PTD59"/>
      <c r="PTE59"/>
      <c r="PTF59"/>
      <c r="PTG59"/>
      <c r="PTH59"/>
      <c r="PTI59"/>
      <c r="PTJ59"/>
      <c r="PTK59"/>
      <c r="PTL59"/>
      <c r="PTM59"/>
      <c r="PTN59"/>
      <c r="PTO59"/>
      <c r="PTP59"/>
      <c r="PTQ59"/>
      <c r="PTR59"/>
      <c r="PTS59"/>
      <c r="PTT59"/>
      <c r="PTU59"/>
      <c r="PTV59"/>
      <c r="PTW59"/>
      <c r="PTX59"/>
      <c r="PTY59"/>
      <c r="PTZ59"/>
      <c r="PUA59"/>
      <c r="PUB59"/>
      <c r="PUC59"/>
      <c r="PUD59"/>
      <c r="PUE59"/>
      <c r="PUF59"/>
      <c r="PUG59"/>
      <c r="PUH59"/>
      <c r="PUI59"/>
      <c r="PUJ59"/>
      <c r="PUK59"/>
      <c r="PUL59"/>
      <c r="PUM59"/>
      <c r="PUN59"/>
      <c r="PUO59"/>
      <c r="PUP59"/>
      <c r="PUQ59"/>
      <c r="PUR59"/>
      <c r="PUS59"/>
      <c r="PUT59"/>
      <c r="PUU59"/>
      <c r="PUV59"/>
      <c r="PUW59"/>
      <c r="PUX59"/>
      <c r="PUY59"/>
      <c r="PUZ59"/>
      <c r="PVA59"/>
      <c r="PVB59"/>
      <c r="PVC59"/>
      <c r="PVD59"/>
      <c r="PVE59"/>
      <c r="PVF59"/>
      <c r="PVG59"/>
      <c r="PVH59"/>
      <c r="PVI59"/>
      <c r="PVJ59"/>
      <c r="PVK59"/>
      <c r="PVL59"/>
      <c r="PVM59"/>
      <c r="PVN59"/>
      <c r="PVO59"/>
      <c r="PVP59"/>
      <c r="PVQ59"/>
      <c r="PVR59"/>
      <c r="PVS59"/>
      <c r="PVT59"/>
      <c r="PVU59"/>
      <c r="PVV59"/>
      <c r="PVW59"/>
      <c r="PVX59"/>
      <c r="PVY59"/>
      <c r="PVZ59"/>
      <c r="PWA59"/>
      <c r="PWB59"/>
      <c r="PWC59"/>
      <c r="PWD59"/>
      <c r="PWE59"/>
      <c r="PWF59"/>
      <c r="PWG59"/>
      <c r="PWH59"/>
      <c r="PWI59"/>
      <c r="PWJ59"/>
      <c r="PWK59"/>
      <c r="PWL59"/>
      <c r="PWM59"/>
      <c r="PWN59"/>
      <c r="PWO59"/>
      <c r="PWP59"/>
      <c r="PWQ59"/>
      <c r="PWR59"/>
      <c r="PWS59"/>
      <c r="PWT59"/>
      <c r="PWU59"/>
      <c r="PWV59"/>
      <c r="PWW59"/>
      <c r="PWX59"/>
      <c r="PWY59"/>
      <c r="PWZ59"/>
      <c r="PXA59"/>
      <c r="PXB59"/>
      <c r="PXC59"/>
      <c r="PXD59"/>
      <c r="PXE59"/>
      <c r="PXF59"/>
      <c r="PXG59"/>
      <c r="PXH59"/>
      <c r="PXI59"/>
      <c r="PXJ59"/>
      <c r="PXK59"/>
      <c r="PXL59"/>
      <c r="PXM59"/>
      <c r="PXN59"/>
      <c r="PXO59"/>
      <c r="PXP59"/>
      <c r="PXQ59"/>
      <c r="PXR59"/>
      <c r="PXS59"/>
      <c r="PXT59"/>
      <c r="PXU59"/>
      <c r="PXV59"/>
      <c r="PXW59"/>
      <c r="PXX59"/>
      <c r="PXY59"/>
      <c r="PXZ59"/>
      <c r="PYA59"/>
      <c r="PYB59"/>
      <c r="PYC59"/>
      <c r="PYD59"/>
      <c r="PYE59"/>
      <c r="PYF59"/>
      <c r="PYG59"/>
      <c r="PYH59"/>
      <c r="PYI59"/>
      <c r="PYJ59"/>
      <c r="PYK59"/>
      <c r="PYL59"/>
      <c r="PYM59"/>
      <c r="PYN59"/>
      <c r="PYO59"/>
      <c r="PYP59"/>
      <c r="PYQ59"/>
      <c r="PYR59"/>
      <c r="PYS59"/>
      <c r="PYT59"/>
      <c r="PYU59"/>
      <c r="PYV59"/>
      <c r="PYW59"/>
      <c r="PYX59"/>
      <c r="PYY59"/>
      <c r="PYZ59"/>
      <c r="PZA59"/>
      <c r="PZB59"/>
      <c r="PZC59"/>
      <c r="PZD59"/>
      <c r="PZE59"/>
      <c r="PZF59"/>
      <c r="PZG59"/>
      <c r="PZH59"/>
      <c r="PZI59"/>
      <c r="PZJ59"/>
      <c r="PZK59"/>
      <c r="PZL59"/>
      <c r="PZM59"/>
      <c r="PZN59"/>
      <c r="PZO59"/>
      <c r="PZP59"/>
      <c r="PZQ59"/>
      <c r="PZR59"/>
      <c r="PZS59"/>
      <c r="PZT59"/>
      <c r="PZU59"/>
      <c r="PZV59"/>
      <c r="PZW59"/>
      <c r="PZX59"/>
      <c r="PZY59"/>
      <c r="PZZ59"/>
      <c r="QAA59"/>
      <c r="QAB59"/>
      <c r="QAC59"/>
      <c r="QAD59"/>
      <c r="QAE59"/>
      <c r="QAF59"/>
      <c r="QAG59"/>
      <c r="QAH59"/>
      <c r="QAI59"/>
      <c r="QAJ59"/>
      <c r="QAK59"/>
      <c r="QAL59"/>
      <c r="QAM59"/>
      <c r="QAN59"/>
      <c r="QAO59"/>
      <c r="QAP59"/>
      <c r="QAQ59"/>
      <c r="QAR59"/>
      <c r="QAS59"/>
      <c r="QAT59"/>
      <c r="QAU59"/>
      <c r="QAV59"/>
      <c r="QAW59"/>
      <c r="QAX59"/>
      <c r="QAY59"/>
      <c r="QAZ59"/>
      <c r="QBA59"/>
      <c r="QBB59"/>
      <c r="QBC59"/>
      <c r="QBD59"/>
      <c r="QBE59"/>
      <c r="QBF59"/>
      <c r="QBG59"/>
      <c r="QBH59"/>
      <c r="QBI59"/>
      <c r="QBJ59"/>
      <c r="QBK59"/>
      <c r="QBL59"/>
      <c r="QBM59"/>
      <c r="QBN59"/>
      <c r="QBO59"/>
      <c r="QBP59"/>
      <c r="QBQ59"/>
      <c r="QBR59"/>
      <c r="QBS59"/>
      <c r="QBT59"/>
      <c r="QBU59"/>
      <c r="QBV59"/>
      <c r="QBW59"/>
      <c r="QBX59"/>
      <c r="QBY59"/>
      <c r="QBZ59"/>
      <c r="QCA59"/>
      <c r="QCB59"/>
      <c r="QCC59"/>
      <c r="QCD59"/>
      <c r="QCE59"/>
      <c r="QCF59"/>
      <c r="QCG59"/>
      <c r="QCH59"/>
      <c r="QCI59"/>
      <c r="QCJ59"/>
      <c r="QCK59"/>
      <c r="QCL59"/>
      <c r="QCM59"/>
      <c r="QCN59"/>
      <c r="QCO59"/>
      <c r="QCP59"/>
      <c r="QCQ59"/>
      <c r="QCR59"/>
      <c r="QCS59"/>
      <c r="QCT59"/>
      <c r="QCU59"/>
      <c r="QCV59"/>
      <c r="QCW59"/>
      <c r="QCX59"/>
      <c r="QCY59"/>
      <c r="QCZ59"/>
      <c r="QDA59"/>
      <c r="QDB59"/>
      <c r="QDC59"/>
      <c r="QDD59"/>
      <c r="QDE59"/>
      <c r="QDF59"/>
      <c r="QDG59"/>
      <c r="QDH59"/>
      <c r="QDI59"/>
      <c r="QDJ59"/>
      <c r="QDK59"/>
      <c r="QDL59"/>
      <c r="QDM59"/>
      <c r="QDN59"/>
      <c r="QDO59"/>
      <c r="QDP59"/>
      <c r="QDQ59"/>
      <c r="QDR59"/>
      <c r="QDS59"/>
      <c r="QDT59"/>
      <c r="QDU59"/>
      <c r="QDV59"/>
      <c r="QDW59"/>
      <c r="QDX59"/>
      <c r="QDY59"/>
      <c r="QDZ59"/>
      <c r="QEA59"/>
      <c r="QEB59"/>
      <c r="QEC59"/>
      <c r="QED59"/>
      <c r="QEE59"/>
      <c r="QEF59"/>
      <c r="QEG59"/>
      <c r="QEH59"/>
      <c r="QEI59"/>
      <c r="QEJ59"/>
      <c r="QEK59"/>
      <c r="QEL59"/>
      <c r="QEM59"/>
      <c r="QEN59"/>
      <c r="QEO59"/>
      <c r="QEP59"/>
      <c r="QEQ59"/>
      <c r="QER59"/>
      <c r="QES59"/>
      <c r="QET59"/>
      <c r="QEU59"/>
      <c r="QEV59"/>
      <c r="QEW59"/>
      <c r="QEX59"/>
      <c r="QEY59"/>
      <c r="QEZ59"/>
      <c r="QFA59"/>
      <c r="QFB59"/>
      <c r="QFC59"/>
      <c r="QFD59"/>
      <c r="QFE59"/>
      <c r="QFF59"/>
      <c r="QFG59"/>
      <c r="QFH59"/>
      <c r="QFI59"/>
      <c r="QFJ59"/>
      <c r="QFK59"/>
      <c r="QFL59"/>
      <c r="QFM59"/>
      <c r="QFN59"/>
      <c r="QFO59"/>
      <c r="QFP59"/>
      <c r="QFQ59"/>
      <c r="QFR59"/>
      <c r="QFS59"/>
      <c r="QFT59"/>
      <c r="QFU59"/>
      <c r="QFV59"/>
      <c r="QFW59"/>
      <c r="QFX59"/>
      <c r="QFY59"/>
      <c r="QFZ59"/>
      <c r="QGA59"/>
      <c r="QGB59"/>
      <c r="QGC59"/>
      <c r="QGD59"/>
      <c r="QGE59"/>
      <c r="QGF59"/>
      <c r="QGG59"/>
      <c r="QGH59"/>
      <c r="QGI59"/>
      <c r="QGJ59"/>
      <c r="QGK59"/>
      <c r="QGL59"/>
      <c r="QGM59"/>
      <c r="QGN59"/>
      <c r="QGO59"/>
      <c r="QGP59"/>
      <c r="QGQ59"/>
      <c r="QGR59"/>
      <c r="QGS59"/>
      <c r="QGT59"/>
      <c r="QGU59"/>
      <c r="QGV59"/>
      <c r="QGW59"/>
      <c r="QGX59"/>
      <c r="QGY59"/>
      <c r="QGZ59"/>
      <c r="QHA59"/>
      <c r="QHB59"/>
      <c r="QHC59"/>
      <c r="QHD59"/>
      <c r="QHE59"/>
      <c r="QHF59"/>
      <c r="QHG59"/>
      <c r="QHH59"/>
      <c r="QHI59"/>
      <c r="QHJ59"/>
      <c r="QHK59"/>
      <c r="QHL59"/>
      <c r="QHM59"/>
      <c r="QHN59"/>
      <c r="QHO59"/>
      <c r="QHP59"/>
      <c r="QHQ59"/>
      <c r="QHR59"/>
      <c r="QHS59"/>
      <c r="QHT59"/>
      <c r="QHU59"/>
      <c r="QHV59"/>
      <c r="QHW59"/>
      <c r="QHX59"/>
      <c r="QHY59"/>
      <c r="QHZ59"/>
      <c r="QIA59"/>
      <c r="QIB59"/>
      <c r="QIC59"/>
      <c r="QID59"/>
      <c r="QIE59"/>
      <c r="QIF59"/>
      <c r="QIG59"/>
      <c r="QIH59"/>
      <c r="QII59"/>
      <c r="QIJ59"/>
      <c r="QIK59"/>
      <c r="QIL59"/>
      <c r="QIM59"/>
      <c r="QIN59"/>
      <c r="QIO59"/>
      <c r="QIP59"/>
      <c r="QIQ59"/>
      <c r="QIR59"/>
      <c r="QIS59"/>
      <c r="QIT59"/>
      <c r="QIU59"/>
      <c r="QIV59"/>
      <c r="QIW59"/>
      <c r="QIX59"/>
      <c r="QIY59"/>
      <c r="QIZ59"/>
      <c r="QJA59"/>
      <c r="QJB59"/>
      <c r="QJC59"/>
      <c r="QJD59"/>
      <c r="QJE59"/>
      <c r="QJF59"/>
      <c r="QJG59"/>
      <c r="QJH59"/>
      <c r="QJI59"/>
      <c r="QJJ59"/>
      <c r="QJK59"/>
      <c r="QJL59"/>
      <c r="QJM59"/>
      <c r="QJN59"/>
      <c r="QJO59"/>
      <c r="QJP59"/>
      <c r="QJQ59"/>
      <c r="QJR59"/>
      <c r="QJS59"/>
      <c r="QJT59"/>
      <c r="QJU59"/>
      <c r="QJV59"/>
      <c r="QJW59"/>
      <c r="QJX59"/>
      <c r="QJY59"/>
      <c r="QJZ59"/>
      <c r="QKA59"/>
      <c r="QKB59"/>
      <c r="QKC59"/>
      <c r="QKD59"/>
      <c r="QKE59"/>
      <c r="QKF59"/>
      <c r="QKG59"/>
      <c r="QKH59"/>
      <c r="QKI59"/>
      <c r="QKJ59"/>
      <c r="QKK59"/>
      <c r="QKL59"/>
      <c r="QKM59"/>
      <c r="QKN59"/>
      <c r="QKO59"/>
      <c r="QKP59"/>
      <c r="QKQ59"/>
      <c r="QKR59"/>
      <c r="QKS59"/>
      <c r="QKT59"/>
      <c r="QKU59"/>
      <c r="QKV59"/>
      <c r="QKW59"/>
      <c r="QKX59"/>
      <c r="QKY59"/>
      <c r="QKZ59"/>
      <c r="QLA59"/>
      <c r="QLB59"/>
      <c r="QLC59"/>
      <c r="QLD59"/>
      <c r="QLE59"/>
      <c r="QLF59"/>
      <c r="QLG59"/>
      <c r="QLH59"/>
      <c r="QLI59"/>
      <c r="QLJ59"/>
      <c r="QLK59"/>
      <c r="QLL59"/>
      <c r="QLM59"/>
      <c r="QLN59"/>
      <c r="QLO59"/>
      <c r="QLP59"/>
      <c r="QLQ59"/>
      <c r="QLR59"/>
      <c r="QLS59"/>
      <c r="QLT59"/>
      <c r="QLU59"/>
      <c r="QLV59"/>
      <c r="QLW59"/>
      <c r="QLX59"/>
      <c r="QLY59"/>
      <c r="QLZ59"/>
      <c r="QMA59"/>
      <c r="QMB59"/>
      <c r="QMC59"/>
      <c r="QMD59"/>
      <c r="QME59"/>
      <c r="QMF59"/>
      <c r="QMG59"/>
      <c r="QMH59"/>
      <c r="QMI59"/>
      <c r="QMJ59"/>
      <c r="QMK59"/>
      <c r="QML59"/>
      <c r="QMM59"/>
      <c r="QMN59"/>
      <c r="QMO59"/>
      <c r="QMP59"/>
      <c r="QMQ59"/>
      <c r="QMR59"/>
      <c r="QMS59"/>
      <c r="QMT59"/>
      <c r="QMU59"/>
      <c r="QMV59"/>
      <c r="QMW59"/>
      <c r="QMX59"/>
      <c r="QMY59"/>
      <c r="QMZ59"/>
      <c r="QNA59"/>
      <c r="QNB59"/>
      <c r="QNC59"/>
      <c r="QND59"/>
      <c r="QNE59"/>
      <c r="QNF59"/>
      <c r="QNG59"/>
      <c r="QNH59"/>
      <c r="QNI59"/>
      <c r="QNJ59"/>
      <c r="QNK59"/>
      <c r="QNL59"/>
      <c r="QNM59"/>
      <c r="QNN59"/>
      <c r="QNO59"/>
      <c r="QNP59"/>
      <c r="QNQ59"/>
      <c r="QNR59"/>
      <c r="QNS59"/>
      <c r="QNT59"/>
      <c r="QNU59"/>
      <c r="QNV59"/>
      <c r="QNW59"/>
      <c r="QNX59"/>
      <c r="QNY59"/>
      <c r="QNZ59"/>
      <c r="QOA59"/>
      <c r="QOB59"/>
      <c r="QOC59"/>
      <c r="QOD59"/>
      <c r="QOE59"/>
      <c r="QOF59"/>
      <c r="QOG59"/>
      <c r="QOH59"/>
      <c r="QOI59"/>
      <c r="QOJ59"/>
      <c r="QOK59"/>
      <c r="QOL59"/>
      <c r="QOM59"/>
      <c r="QON59"/>
      <c r="QOO59"/>
      <c r="QOP59"/>
      <c r="QOQ59"/>
      <c r="QOR59"/>
      <c r="QOS59"/>
      <c r="QOT59"/>
      <c r="QOU59"/>
      <c r="QOV59"/>
      <c r="QOW59"/>
      <c r="QOX59"/>
      <c r="QOY59"/>
      <c r="QOZ59"/>
      <c r="QPA59"/>
      <c r="QPB59"/>
      <c r="QPC59"/>
      <c r="QPD59"/>
      <c r="QPE59"/>
      <c r="QPF59"/>
      <c r="QPG59"/>
      <c r="QPH59"/>
      <c r="QPI59"/>
      <c r="QPJ59"/>
      <c r="QPK59"/>
      <c r="QPL59"/>
      <c r="QPM59"/>
      <c r="QPN59"/>
      <c r="QPO59"/>
      <c r="QPP59"/>
      <c r="QPQ59"/>
      <c r="QPR59"/>
      <c r="QPS59"/>
      <c r="QPT59"/>
      <c r="QPU59"/>
      <c r="QPV59"/>
      <c r="QPW59"/>
      <c r="QPX59"/>
      <c r="QPY59"/>
      <c r="QPZ59"/>
      <c r="QQA59"/>
      <c r="QQB59"/>
      <c r="QQC59"/>
      <c r="QQD59"/>
      <c r="QQE59"/>
      <c r="QQF59"/>
      <c r="QQG59"/>
      <c r="QQH59"/>
      <c r="QQI59"/>
      <c r="QQJ59"/>
      <c r="QQK59"/>
      <c r="QQL59"/>
      <c r="QQM59"/>
      <c r="QQN59"/>
      <c r="QQO59"/>
      <c r="QQP59"/>
      <c r="QQQ59"/>
      <c r="QQR59"/>
      <c r="QQS59"/>
      <c r="QQT59"/>
      <c r="QQU59"/>
      <c r="QQV59"/>
      <c r="QQW59"/>
      <c r="QQX59"/>
      <c r="QQY59"/>
      <c r="QQZ59"/>
      <c r="QRA59"/>
      <c r="QRB59"/>
      <c r="QRC59"/>
      <c r="QRD59"/>
      <c r="QRE59"/>
      <c r="QRF59"/>
      <c r="QRG59"/>
      <c r="QRH59"/>
      <c r="QRI59"/>
      <c r="QRJ59"/>
      <c r="QRK59"/>
      <c r="QRL59"/>
      <c r="QRM59"/>
      <c r="QRN59"/>
      <c r="QRO59"/>
      <c r="QRP59"/>
      <c r="QRQ59"/>
      <c r="QRR59"/>
      <c r="QRS59"/>
      <c r="QRT59"/>
      <c r="QRU59"/>
      <c r="QRV59"/>
      <c r="QRW59"/>
      <c r="QRX59"/>
      <c r="QRY59"/>
      <c r="QRZ59"/>
      <c r="QSA59"/>
      <c r="QSB59"/>
      <c r="QSC59"/>
      <c r="QSD59"/>
      <c r="QSE59"/>
      <c r="QSF59"/>
      <c r="QSG59"/>
      <c r="QSH59"/>
      <c r="QSI59"/>
      <c r="QSJ59"/>
      <c r="QSK59"/>
      <c r="QSL59"/>
      <c r="QSM59"/>
      <c r="QSN59"/>
      <c r="QSO59"/>
      <c r="QSP59"/>
      <c r="QSQ59"/>
      <c r="QSR59"/>
      <c r="QSS59"/>
      <c r="QST59"/>
      <c r="QSU59"/>
      <c r="QSV59"/>
      <c r="QSW59"/>
      <c r="QSX59"/>
      <c r="QSY59"/>
      <c r="QSZ59"/>
      <c r="QTA59"/>
      <c r="QTB59"/>
      <c r="QTC59"/>
      <c r="QTD59"/>
      <c r="QTE59"/>
      <c r="QTF59"/>
      <c r="QTG59"/>
      <c r="QTH59"/>
      <c r="QTI59"/>
      <c r="QTJ59"/>
      <c r="QTK59"/>
      <c r="QTL59"/>
      <c r="QTM59"/>
      <c r="QTN59"/>
      <c r="QTO59"/>
      <c r="QTP59"/>
      <c r="QTQ59"/>
      <c r="QTR59"/>
      <c r="QTS59"/>
      <c r="QTT59"/>
      <c r="QTU59"/>
      <c r="QTV59"/>
      <c r="QTW59"/>
      <c r="QTX59"/>
      <c r="QTY59"/>
      <c r="QTZ59"/>
      <c r="QUA59"/>
      <c r="QUB59"/>
      <c r="QUC59"/>
      <c r="QUD59"/>
      <c r="QUE59"/>
      <c r="QUF59"/>
      <c r="QUG59"/>
      <c r="QUH59"/>
      <c r="QUI59"/>
      <c r="QUJ59"/>
      <c r="QUK59"/>
      <c r="QUL59"/>
      <c r="QUM59"/>
      <c r="QUN59"/>
      <c r="QUO59"/>
      <c r="QUP59"/>
      <c r="QUQ59"/>
      <c r="QUR59"/>
      <c r="QUS59"/>
      <c r="QUT59"/>
      <c r="QUU59"/>
      <c r="QUV59"/>
      <c r="QUW59"/>
      <c r="QUX59"/>
      <c r="QUY59"/>
      <c r="QUZ59"/>
      <c r="QVA59"/>
      <c r="QVB59"/>
      <c r="QVC59"/>
      <c r="QVD59"/>
      <c r="QVE59"/>
      <c r="QVF59"/>
      <c r="QVG59"/>
      <c r="QVH59"/>
      <c r="QVI59"/>
      <c r="QVJ59"/>
      <c r="QVK59"/>
      <c r="QVL59"/>
      <c r="QVM59"/>
      <c r="QVN59"/>
      <c r="QVO59"/>
      <c r="QVP59"/>
      <c r="QVQ59"/>
      <c r="QVR59"/>
      <c r="QVS59"/>
      <c r="QVT59"/>
      <c r="QVU59"/>
      <c r="QVV59"/>
      <c r="QVW59"/>
      <c r="QVX59"/>
      <c r="QVY59"/>
      <c r="QVZ59"/>
      <c r="QWA59"/>
      <c r="QWB59"/>
      <c r="QWC59"/>
      <c r="QWD59"/>
      <c r="QWE59"/>
      <c r="QWF59"/>
      <c r="QWG59"/>
      <c r="QWH59"/>
      <c r="QWI59"/>
      <c r="QWJ59"/>
      <c r="QWK59"/>
      <c r="QWL59"/>
      <c r="QWM59"/>
      <c r="QWN59"/>
      <c r="QWO59"/>
      <c r="QWP59"/>
      <c r="QWQ59"/>
      <c r="QWR59"/>
      <c r="QWS59"/>
      <c r="QWT59"/>
      <c r="QWU59"/>
      <c r="QWV59"/>
      <c r="QWW59"/>
      <c r="QWX59"/>
      <c r="QWY59"/>
      <c r="QWZ59"/>
      <c r="QXA59"/>
      <c r="QXB59"/>
      <c r="QXC59"/>
      <c r="QXD59"/>
      <c r="QXE59"/>
      <c r="QXF59"/>
      <c r="QXG59"/>
      <c r="QXH59"/>
      <c r="QXI59"/>
      <c r="QXJ59"/>
      <c r="QXK59"/>
      <c r="QXL59"/>
      <c r="QXM59"/>
      <c r="QXN59"/>
      <c r="QXO59"/>
      <c r="QXP59"/>
      <c r="QXQ59"/>
      <c r="QXR59"/>
      <c r="QXS59"/>
      <c r="QXT59"/>
      <c r="QXU59"/>
      <c r="QXV59"/>
      <c r="QXW59"/>
      <c r="QXX59"/>
      <c r="QXY59"/>
      <c r="QXZ59"/>
      <c r="QYA59"/>
      <c r="QYB59"/>
      <c r="QYC59"/>
      <c r="QYD59"/>
      <c r="QYE59"/>
      <c r="QYF59"/>
      <c r="QYG59"/>
      <c r="QYH59"/>
      <c r="QYI59"/>
      <c r="QYJ59"/>
      <c r="QYK59"/>
      <c r="QYL59"/>
      <c r="QYM59"/>
      <c r="QYN59"/>
      <c r="QYO59"/>
      <c r="QYP59"/>
      <c r="QYQ59"/>
      <c r="QYR59"/>
      <c r="QYS59"/>
      <c r="QYT59"/>
      <c r="QYU59"/>
      <c r="QYV59"/>
      <c r="QYW59"/>
      <c r="QYX59"/>
      <c r="QYY59"/>
      <c r="QYZ59"/>
      <c r="QZA59"/>
      <c r="QZB59"/>
      <c r="QZC59"/>
      <c r="QZD59"/>
      <c r="QZE59"/>
      <c r="QZF59"/>
      <c r="QZG59"/>
      <c r="QZH59"/>
      <c r="QZI59"/>
      <c r="QZJ59"/>
      <c r="QZK59"/>
      <c r="QZL59"/>
      <c r="QZM59"/>
      <c r="QZN59"/>
      <c r="QZO59"/>
      <c r="QZP59"/>
      <c r="QZQ59"/>
      <c r="QZR59"/>
      <c r="QZS59"/>
      <c r="QZT59"/>
      <c r="QZU59"/>
      <c r="QZV59"/>
      <c r="QZW59"/>
      <c r="QZX59"/>
      <c r="QZY59"/>
      <c r="QZZ59"/>
      <c r="RAA59"/>
      <c r="RAB59"/>
      <c r="RAC59"/>
      <c r="RAD59"/>
      <c r="RAE59"/>
      <c r="RAF59"/>
      <c r="RAG59"/>
      <c r="RAH59"/>
      <c r="RAI59"/>
      <c r="RAJ59"/>
      <c r="RAK59"/>
      <c r="RAL59"/>
      <c r="RAM59"/>
      <c r="RAN59"/>
      <c r="RAO59"/>
      <c r="RAP59"/>
      <c r="RAQ59"/>
      <c r="RAR59"/>
      <c r="RAS59"/>
      <c r="RAT59"/>
      <c r="RAU59"/>
      <c r="RAV59"/>
      <c r="RAW59"/>
      <c r="RAX59"/>
      <c r="RAY59"/>
      <c r="RAZ59"/>
      <c r="RBA59"/>
      <c r="RBB59"/>
      <c r="RBC59"/>
      <c r="RBD59"/>
      <c r="RBE59"/>
      <c r="RBF59"/>
      <c r="RBG59"/>
      <c r="RBH59"/>
      <c r="RBI59"/>
      <c r="RBJ59"/>
      <c r="RBK59"/>
      <c r="RBL59"/>
      <c r="RBM59"/>
      <c r="RBN59"/>
      <c r="RBO59"/>
      <c r="RBP59"/>
      <c r="RBQ59"/>
      <c r="RBR59"/>
      <c r="RBS59"/>
      <c r="RBT59"/>
      <c r="RBU59"/>
      <c r="RBV59"/>
      <c r="RBW59"/>
      <c r="RBX59"/>
      <c r="RBY59"/>
      <c r="RBZ59"/>
      <c r="RCA59"/>
      <c r="RCB59"/>
      <c r="RCC59"/>
      <c r="RCD59"/>
      <c r="RCE59"/>
      <c r="RCF59"/>
      <c r="RCG59"/>
      <c r="RCH59"/>
      <c r="RCI59"/>
      <c r="RCJ59"/>
      <c r="RCK59"/>
      <c r="RCL59"/>
      <c r="RCM59"/>
      <c r="RCN59"/>
      <c r="RCO59"/>
      <c r="RCP59"/>
      <c r="RCQ59"/>
      <c r="RCR59"/>
      <c r="RCS59"/>
      <c r="RCT59"/>
      <c r="RCU59"/>
      <c r="RCV59"/>
      <c r="RCW59"/>
      <c r="RCX59"/>
      <c r="RCY59"/>
      <c r="RCZ59"/>
      <c r="RDA59"/>
      <c r="RDB59"/>
      <c r="RDC59"/>
      <c r="RDD59"/>
      <c r="RDE59"/>
      <c r="RDF59"/>
      <c r="RDG59"/>
      <c r="RDH59"/>
      <c r="RDI59"/>
      <c r="RDJ59"/>
      <c r="RDK59"/>
      <c r="RDL59"/>
      <c r="RDM59"/>
      <c r="RDN59"/>
      <c r="RDO59"/>
      <c r="RDP59"/>
      <c r="RDQ59"/>
      <c r="RDR59"/>
      <c r="RDS59"/>
      <c r="RDT59"/>
      <c r="RDU59"/>
      <c r="RDV59"/>
      <c r="RDW59"/>
      <c r="RDX59"/>
      <c r="RDY59"/>
      <c r="RDZ59"/>
      <c r="REA59"/>
      <c r="REB59"/>
      <c r="REC59"/>
      <c r="RED59"/>
      <c r="REE59"/>
      <c r="REF59"/>
      <c r="REG59"/>
      <c r="REH59"/>
      <c r="REI59"/>
      <c r="REJ59"/>
      <c r="REK59"/>
      <c r="REL59"/>
      <c r="REM59"/>
      <c r="REN59"/>
      <c r="REO59"/>
      <c r="REP59"/>
      <c r="REQ59"/>
      <c r="RER59"/>
      <c r="RES59"/>
      <c r="RET59"/>
      <c r="REU59"/>
      <c r="REV59"/>
      <c r="REW59"/>
      <c r="REX59"/>
      <c r="REY59"/>
      <c r="REZ59"/>
      <c r="RFA59"/>
      <c r="RFB59"/>
      <c r="RFC59"/>
      <c r="RFD59"/>
      <c r="RFE59"/>
      <c r="RFF59"/>
      <c r="RFG59"/>
      <c r="RFH59"/>
      <c r="RFI59"/>
      <c r="RFJ59"/>
      <c r="RFK59"/>
      <c r="RFL59"/>
      <c r="RFM59"/>
      <c r="RFN59"/>
      <c r="RFO59"/>
      <c r="RFP59"/>
      <c r="RFQ59"/>
      <c r="RFR59"/>
      <c r="RFS59"/>
      <c r="RFT59"/>
      <c r="RFU59"/>
      <c r="RFV59"/>
      <c r="RFW59"/>
      <c r="RFX59"/>
      <c r="RFY59"/>
      <c r="RFZ59"/>
      <c r="RGA59"/>
      <c r="RGB59"/>
      <c r="RGC59"/>
      <c r="RGD59"/>
      <c r="RGE59"/>
      <c r="RGF59"/>
      <c r="RGG59"/>
      <c r="RGH59"/>
      <c r="RGI59"/>
      <c r="RGJ59"/>
      <c r="RGK59"/>
      <c r="RGL59"/>
      <c r="RGM59"/>
      <c r="RGN59"/>
      <c r="RGO59"/>
      <c r="RGP59"/>
      <c r="RGQ59"/>
      <c r="RGR59"/>
      <c r="RGS59"/>
      <c r="RGT59"/>
      <c r="RGU59"/>
      <c r="RGV59"/>
      <c r="RGW59"/>
      <c r="RGX59"/>
      <c r="RGY59"/>
      <c r="RGZ59"/>
      <c r="RHA59"/>
      <c r="RHB59"/>
      <c r="RHC59"/>
      <c r="RHD59"/>
      <c r="RHE59"/>
      <c r="RHF59"/>
      <c r="RHG59"/>
      <c r="RHH59"/>
      <c r="RHI59"/>
      <c r="RHJ59"/>
      <c r="RHK59"/>
      <c r="RHL59"/>
      <c r="RHM59"/>
      <c r="RHN59"/>
      <c r="RHO59"/>
      <c r="RHP59"/>
      <c r="RHQ59"/>
      <c r="RHR59"/>
      <c r="RHS59"/>
      <c r="RHT59"/>
      <c r="RHU59"/>
      <c r="RHV59"/>
      <c r="RHW59"/>
      <c r="RHX59"/>
      <c r="RHY59"/>
      <c r="RHZ59"/>
      <c r="RIA59"/>
      <c r="RIB59"/>
      <c r="RIC59"/>
      <c r="RID59"/>
      <c r="RIE59"/>
      <c r="RIF59"/>
      <c r="RIG59"/>
      <c r="RIH59"/>
      <c r="RII59"/>
      <c r="RIJ59"/>
      <c r="RIK59"/>
      <c r="RIL59"/>
      <c r="RIM59"/>
      <c r="RIN59"/>
      <c r="RIO59"/>
      <c r="RIP59"/>
      <c r="RIQ59"/>
      <c r="RIR59"/>
      <c r="RIS59"/>
      <c r="RIT59"/>
      <c r="RIU59"/>
      <c r="RIV59"/>
      <c r="RIW59"/>
      <c r="RIX59"/>
      <c r="RIY59"/>
      <c r="RIZ59"/>
      <c r="RJA59"/>
      <c r="RJB59"/>
      <c r="RJC59"/>
      <c r="RJD59"/>
      <c r="RJE59"/>
      <c r="RJF59"/>
      <c r="RJG59"/>
      <c r="RJH59"/>
      <c r="RJI59"/>
      <c r="RJJ59"/>
      <c r="RJK59"/>
      <c r="RJL59"/>
      <c r="RJM59"/>
      <c r="RJN59"/>
      <c r="RJO59"/>
      <c r="RJP59"/>
      <c r="RJQ59"/>
      <c r="RJR59"/>
      <c r="RJS59"/>
      <c r="RJT59"/>
      <c r="RJU59"/>
      <c r="RJV59"/>
      <c r="RJW59"/>
      <c r="RJX59"/>
      <c r="RJY59"/>
      <c r="RJZ59"/>
      <c r="RKA59"/>
      <c r="RKB59"/>
      <c r="RKC59"/>
      <c r="RKD59"/>
      <c r="RKE59"/>
      <c r="RKF59"/>
      <c r="RKG59"/>
      <c r="RKH59"/>
      <c r="RKI59"/>
      <c r="RKJ59"/>
      <c r="RKK59"/>
      <c r="RKL59"/>
      <c r="RKM59"/>
      <c r="RKN59"/>
      <c r="RKO59"/>
      <c r="RKP59"/>
      <c r="RKQ59"/>
      <c r="RKR59"/>
      <c r="RKS59"/>
      <c r="RKT59"/>
      <c r="RKU59"/>
      <c r="RKV59"/>
      <c r="RKW59"/>
      <c r="RKX59"/>
      <c r="RKY59"/>
      <c r="RKZ59"/>
      <c r="RLA59"/>
      <c r="RLB59"/>
      <c r="RLC59"/>
      <c r="RLD59"/>
      <c r="RLE59"/>
      <c r="RLF59"/>
      <c r="RLG59"/>
      <c r="RLH59"/>
      <c r="RLI59"/>
      <c r="RLJ59"/>
      <c r="RLK59"/>
      <c r="RLL59"/>
      <c r="RLM59"/>
      <c r="RLN59"/>
      <c r="RLO59"/>
      <c r="RLP59"/>
      <c r="RLQ59"/>
      <c r="RLR59"/>
      <c r="RLS59"/>
      <c r="RLT59"/>
      <c r="RLU59"/>
      <c r="RLV59"/>
      <c r="RLW59"/>
      <c r="RLX59"/>
      <c r="RLY59"/>
      <c r="RLZ59"/>
      <c r="RMA59"/>
      <c r="RMB59"/>
      <c r="RMC59"/>
      <c r="RMD59"/>
      <c r="RME59"/>
      <c r="RMF59"/>
      <c r="RMG59"/>
      <c r="RMH59"/>
      <c r="RMI59"/>
      <c r="RMJ59"/>
      <c r="RMK59"/>
      <c r="RML59"/>
      <c r="RMM59"/>
      <c r="RMN59"/>
      <c r="RMO59"/>
      <c r="RMP59"/>
      <c r="RMQ59"/>
      <c r="RMR59"/>
      <c r="RMS59"/>
      <c r="RMT59"/>
      <c r="RMU59"/>
      <c r="RMV59"/>
      <c r="RMW59"/>
      <c r="RMX59"/>
      <c r="RMY59"/>
      <c r="RMZ59"/>
      <c r="RNA59"/>
      <c r="RNB59"/>
      <c r="RNC59"/>
      <c r="RND59"/>
      <c r="RNE59"/>
      <c r="RNF59"/>
      <c r="RNG59"/>
      <c r="RNH59"/>
      <c r="RNI59"/>
      <c r="RNJ59"/>
      <c r="RNK59"/>
      <c r="RNL59"/>
      <c r="RNM59"/>
      <c r="RNN59"/>
      <c r="RNO59"/>
      <c r="RNP59"/>
      <c r="RNQ59"/>
      <c r="RNR59"/>
      <c r="RNS59"/>
      <c r="RNT59"/>
      <c r="RNU59"/>
      <c r="RNV59"/>
      <c r="RNW59"/>
      <c r="RNX59"/>
      <c r="RNY59"/>
      <c r="RNZ59"/>
      <c r="ROA59"/>
      <c r="ROB59"/>
      <c r="ROC59"/>
      <c r="ROD59"/>
      <c r="ROE59"/>
      <c r="ROF59"/>
      <c r="ROG59"/>
      <c r="ROH59"/>
      <c r="ROI59"/>
      <c r="ROJ59"/>
      <c r="ROK59"/>
      <c r="ROL59"/>
      <c r="ROM59"/>
      <c r="RON59"/>
      <c r="ROO59"/>
      <c r="ROP59"/>
      <c r="ROQ59"/>
      <c r="ROR59"/>
      <c r="ROS59"/>
      <c r="ROT59"/>
      <c r="ROU59"/>
      <c r="ROV59"/>
      <c r="ROW59"/>
      <c r="ROX59"/>
      <c r="ROY59"/>
      <c r="ROZ59"/>
      <c r="RPA59"/>
      <c r="RPB59"/>
      <c r="RPC59"/>
      <c r="RPD59"/>
      <c r="RPE59"/>
      <c r="RPF59"/>
      <c r="RPG59"/>
      <c r="RPH59"/>
      <c r="RPI59"/>
      <c r="RPJ59"/>
      <c r="RPK59"/>
      <c r="RPL59"/>
      <c r="RPM59"/>
      <c r="RPN59"/>
      <c r="RPO59"/>
      <c r="RPP59"/>
      <c r="RPQ59"/>
      <c r="RPR59"/>
      <c r="RPS59"/>
      <c r="RPT59"/>
      <c r="RPU59"/>
      <c r="RPV59"/>
      <c r="RPW59"/>
      <c r="RPX59"/>
      <c r="RPY59"/>
      <c r="RPZ59"/>
      <c r="RQA59"/>
      <c r="RQB59"/>
      <c r="RQC59"/>
      <c r="RQD59"/>
      <c r="RQE59"/>
      <c r="RQF59"/>
      <c r="RQG59"/>
      <c r="RQH59"/>
      <c r="RQI59"/>
      <c r="RQJ59"/>
      <c r="RQK59"/>
      <c r="RQL59"/>
      <c r="RQM59"/>
      <c r="RQN59"/>
      <c r="RQO59"/>
      <c r="RQP59"/>
      <c r="RQQ59"/>
      <c r="RQR59"/>
      <c r="RQS59"/>
      <c r="RQT59"/>
      <c r="RQU59"/>
      <c r="RQV59"/>
      <c r="RQW59"/>
      <c r="RQX59"/>
      <c r="RQY59"/>
      <c r="RQZ59"/>
      <c r="RRA59"/>
      <c r="RRB59"/>
      <c r="RRC59"/>
      <c r="RRD59"/>
      <c r="RRE59"/>
      <c r="RRF59"/>
      <c r="RRG59"/>
      <c r="RRH59"/>
      <c r="RRI59"/>
      <c r="RRJ59"/>
      <c r="RRK59"/>
      <c r="RRL59"/>
      <c r="RRM59"/>
      <c r="RRN59"/>
      <c r="RRO59"/>
      <c r="RRP59"/>
      <c r="RRQ59"/>
      <c r="RRR59"/>
      <c r="RRS59"/>
      <c r="RRT59"/>
      <c r="RRU59"/>
      <c r="RRV59"/>
      <c r="RRW59"/>
      <c r="RRX59"/>
      <c r="RRY59"/>
      <c r="RRZ59"/>
      <c r="RSA59"/>
      <c r="RSB59"/>
      <c r="RSC59"/>
      <c r="RSD59"/>
      <c r="RSE59"/>
      <c r="RSF59"/>
      <c r="RSG59"/>
      <c r="RSH59"/>
      <c r="RSI59"/>
      <c r="RSJ59"/>
      <c r="RSK59"/>
      <c r="RSL59"/>
      <c r="RSM59"/>
      <c r="RSN59"/>
      <c r="RSO59"/>
      <c r="RSP59"/>
      <c r="RSQ59"/>
      <c r="RSR59"/>
      <c r="RSS59"/>
      <c r="RST59"/>
      <c r="RSU59"/>
      <c r="RSV59"/>
      <c r="RSW59"/>
      <c r="RSX59"/>
      <c r="RSY59"/>
      <c r="RSZ59"/>
      <c r="RTA59"/>
      <c r="RTB59"/>
      <c r="RTC59"/>
      <c r="RTD59"/>
      <c r="RTE59"/>
      <c r="RTF59"/>
      <c r="RTG59"/>
      <c r="RTH59"/>
      <c r="RTI59"/>
      <c r="RTJ59"/>
      <c r="RTK59"/>
      <c r="RTL59"/>
      <c r="RTM59"/>
      <c r="RTN59"/>
      <c r="RTO59"/>
      <c r="RTP59"/>
      <c r="RTQ59"/>
      <c r="RTR59"/>
      <c r="RTS59"/>
      <c r="RTT59"/>
      <c r="RTU59"/>
      <c r="RTV59"/>
      <c r="RTW59"/>
      <c r="RTX59"/>
      <c r="RTY59"/>
      <c r="RTZ59"/>
      <c r="RUA59"/>
      <c r="RUB59"/>
      <c r="RUC59"/>
      <c r="RUD59"/>
      <c r="RUE59"/>
      <c r="RUF59"/>
      <c r="RUG59"/>
      <c r="RUH59"/>
      <c r="RUI59"/>
      <c r="RUJ59"/>
      <c r="RUK59"/>
      <c r="RUL59"/>
      <c r="RUM59"/>
      <c r="RUN59"/>
      <c r="RUO59"/>
      <c r="RUP59"/>
      <c r="RUQ59"/>
      <c r="RUR59"/>
      <c r="RUS59"/>
      <c r="RUT59"/>
      <c r="RUU59"/>
      <c r="RUV59"/>
      <c r="RUW59"/>
      <c r="RUX59"/>
      <c r="RUY59"/>
      <c r="RUZ59"/>
      <c r="RVA59"/>
      <c r="RVB59"/>
      <c r="RVC59"/>
      <c r="RVD59"/>
      <c r="RVE59"/>
      <c r="RVF59"/>
      <c r="RVG59"/>
      <c r="RVH59"/>
      <c r="RVI59"/>
      <c r="RVJ59"/>
      <c r="RVK59"/>
      <c r="RVL59"/>
      <c r="RVM59"/>
      <c r="RVN59"/>
      <c r="RVO59"/>
      <c r="RVP59"/>
      <c r="RVQ59"/>
      <c r="RVR59"/>
      <c r="RVS59"/>
      <c r="RVT59"/>
      <c r="RVU59"/>
      <c r="RVV59"/>
      <c r="RVW59"/>
      <c r="RVX59"/>
      <c r="RVY59"/>
      <c r="RVZ59"/>
      <c r="RWA59"/>
      <c r="RWB59"/>
      <c r="RWC59"/>
      <c r="RWD59"/>
      <c r="RWE59"/>
      <c r="RWF59"/>
      <c r="RWG59"/>
      <c r="RWH59"/>
      <c r="RWI59"/>
      <c r="RWJ59"/>
      <c r="RWK59"/>
      <c r="RWL59"/>
      <c r="RWM59"/>
      <c r="RWN59"/>
      <c r="RWO59"/>
      <c r="RWP59"/>
      <c r="RWQ59"/>
      <c r="RWR59"/>
      <c r="RWS59"/>
      <c r="RWT59"/>
      <c r="RWU59"/>
      <c r="RWV59"/>
      <c r="RWW59"/>
      <c r="RWX59"/>
      <c r="RWY59"/>
      <c r="RWZ59"/>
      <c r="RXA59"/>
      <c r="RXB59"/>
      <c r="RXC59"/>
      <c r="RXD59"/>
      <c r="RXE59"/>
      <c r="RXF59"/>
      <c r="RXG59"/>
      <c r="RXH59"/>
      <c r="RXI59"/>
      <c r="RXJ59"/>
      <c r="RXK59"/>
      <c r="RXL59"/>
      <c r="RXM59"/>
      <c r="RXN59"/>
      <c r="RXO59"/>
      <c r="RXP59"/>
      <c r="RXQ59"/>
      <c r="RXR59"/>
      <c r="RXS59"/>
      <c r="RXT59"/>
      <c r="RXU59"/>
      <c r="RXV59"/>
      <c r="RXW59"/>
      <c r="RXX59"/>
      <c r="RXY59"/>
      <c r="RXZ59"/>
      <c r="RYA59"/>
      <c r="RYB59"/>
      <c r="RYC59"/>
      <c r="RYD59"/>
      <c r="RYE59"/>
      <c r="RYF59"/>
      <c r="RYG59"/>
      <c r="RYH59"/>
      <c r="RYI59"/>
      <c r="RYJ59"/>
      <c r="RYK59"/>
      <c r="RYL59"/>
      <c r="RYM59"/>
      <c r="RYN59"/>
      <c r="RYO59"/>
      <c r="RYP59"/>
      <c r="RYQ59"/>
      <c r="RYR59"/>
      <c r="RYS59"/>
      <c r="RYT59"/>
      <c r="RYU59"/>
      <c r="RYV59"/>
      <c r="RYW59"/>
      <c r="RYX59"/>
      <c r="RYY59"/>
      <c r="RYZ59"/>
      <c r="RZA59"/>
      <c r="RZB59"/>
      <c r="RZC59"/>
      <c r="RZD59"/>
      <c r="RZE59"/>
      <c r="RZF59"/>
      <c r="RZG59"/>
      <c r="RZH59"/>
      <c r="RZI59"/>
      <c r="RZJ59"/>
      <c r="RZK59"/>
      <c r="RZL59"/>
      <c r="RZM59"/>
      <c r="RZN59"/>
      <c r="RZO59"/>
      <c r="RZP59"/>
      <c r="RZQ59"/>
      <c r="RZR59"/>
      <c r="RZS59"/>
      <c r="RZT59"/>
      <c r="RZU59"/>
      <c r="RZV59"/>
      <c r="RZW59"/>
      <c r="RZX59"/>
      <c r="RZY59"/>
      <c r="RZZ59"/>
      <c r="SAA59"/>
      <c r="SAB59"/>
      <c r="SAC59"/>
      <c r="SAD59"/>
      <c r="SAE59"/>
      <c r="SAF59"/>
      <c r="SAG59"/>
      <c r="SAH59"/>
      <c r="SAI59"/>
      <c r="SAJ59"/>
      <c r="SAK59"/>
      <c r="SAL59"/>
      <c r="SAM59"/>
      <c r="SAN59"/>
      <c r="SAO59"/>
      <c r="SAP59"/>
      <c r="SAQ59"/>
      <c r="SAR59"/>
      <c r="SAS59"/>
      <c r="SAT59"/>
      <c r="SAU59"/>
      <c r="SAV59"/>
      <c r="SAW59"/>
      <c r="SAX59"/>
      <c r="SAY59"/>
      <c r="SAZ59"/>
      <c r="SBA59"/>
      <c r="SBB59"/>
      <c r="SBC59"/>
      <c r="SBD59"/>
      <c r="SBE59"/>
      <c r="SBF59"/>
      <c r="SBG59"/>
      <c r="SBH59"/>
      <c r="SBI59"/>
      <c r="SBJ59"/>
      <c r="SBK59"/>
      <c r="SBL59"/>
      <c r="SBM59"/>
      <c r="SBN59"/>
      <c r="SBO59"/>
      <c r="SBP59"/>
      <c r="SBQ59"/>
      <c r="SBR59"/>
      <c r="SBS59"/>
      <c r="SBT59"/>
      <c r="SBU59"/>
      <c r="SBV59"/>
      <c r="SBW59"/>
      <c r="SBX59"/>
      <c r="SBY59"/>
      <c r="SBZ59"/>
      <c r="SCA59"/>
      <c r="SCB59"/>
      <c r="SCC59"/>
      <c r="SCD59"/>
      <c r="SCE59"/>
      <c r="SCF59"/>
      <c r="SCG59"/>
      <c r="SCH59"/>
      <c r="SCI59"/>
      <c r="SCJ59"/>
      <c r="SCK59"/>
      <c r="SCL59"/>
      <c r="SCM59"/>
      <c r="SCN59"/>
      <c r="SCO59"/>
      <c r="SCP59"/>
      <c r="SCQ59"/>
      <c r="SCR59"/>
      <c r="SCS59"/>
      <c r="SCT59"/>
      <c r="SCU59"/>
      <c r="SCV59"/>
      <c r="SCW59"/>
      <c r="SCX59"/>
      <c r="SCY59"/>
      <c r="SCZ59"/>
      <c r="SDA59"/>
      <c r="SDB59"/>
      <c r="SDC59"/>
      <c r="SDD59"/>
      <c r="SDE59"/>
      <c r="SDF59"/>
      <c r="SDG59"/>
      <c r="SDH59"/>
      <c r="SDI59"/>
      <c r="SDJ59"/>
      <c r="SDK59"/>
      <c r="SDL59"/>
      <c r="SDM59"/>
      <c r="SDN59"/>
      <c r="SDO59"/>
      <c r="SDP59"/>
      <c r="SDQ59"/>
      <c r="SDR59"/>
      <c r="SDS59"/>
      <c r="SDT59"/>
      <c r="SDU59"/>
      <c r="SDV59"/>
      <c r="SDW59"/>
      <c r="SDX59"/>
      <c r="SDY59"/>
      <c r="SDZ59"/>
      <c r="SEA59"/>
      <c r="SEB59"/>
      <c r="SEC59"/>
      <c r="SED59"/>
      <c r="SEE59"/>
      <c r="SEF59"/>
      <c r="SEG59"/>
      <c r="SEH59"/>
      <c r="SEI59"/>
      <c r="SEJ59"/>
      <c r="SEK59"/>
      <c r="SEL59"/>
      <c r="SEM59"/>
      <c r="SEN59"/>
      <c r="SEO59"/>
      <c r="SEP59"/>
      <c r="SEQ59"/>
      <c r="SER59"/>
      <c r="SES59"/>
      <c r="SET59"/>
      <c r="SEU59"/>
      <c r="SEV59"/>
      <c r="SEW59"/>
      <c r="SEX59"/>
      <c r="SEY59"/>
      <c r="SEZ59"/>
      <c r="SFA59"/>
      <c r="SFB59"/>
      <c r="SFC59"/>
      <c r="SFD59"/>
      <c r="SFE59"/>
      <c r="SFF59"/>
      <c r="SFG59"/>
      <c r="SFH59"/>
      <c r="SFI59"/>
      <c r="SFJ59"/>
      <c r="SFK59"/>
      <c r="SFL59"/>
      <c r="SFM59"/>
      <c r="SFN59"/>
      <c r="SFO59"/>
      <c r="SFP59"/>
      <c r="SFQ59"/>
      <c r="SFR59"/>
      <c r="SFS59"/>
      <c r="SFT59"/>
      <c r="SFU59"/>
      <c r="SFV59"/>
      <c r="SFW59"/>
      <c r="SFX59"/>
      <c r="SFY59"/>
      <c r="SFZ59"/>
      <c r="SGA59"/>
      <c r="SGB59"/>
      <c r="SGC59"/>
      <c r="SGD59"/>
      <c r="SGE59"/>
      <c r="SGF59"/>
      <c r="SGG59"/>
      <c r="SGH59"/>
      <c r="SGI59"/>
      <c r="SGJ59"/>
      <c r="SGK59"/>
      <c r="SGL59"/>
      <c r="SGM59"/>
      <c r="SGN59"/>
      <c r="SGO59"/>
      <c r="SGP59"/>
      <c r="SGQ59"/>
      <c r="SGR59"/>
      <c r="SGS59"/>
      <c r="SGT59"/>
      <c r="SGU59"/>
      <c r="SGV59"/>
      <c r="SGW59"/>
      <c r="SGX59"/>
      <c r="SGY59"/>
      <c r="SGZ59"/>
      <c r="SHA59"/>
      <c r="SHB59"/>
      <c r="SHC59"/>
      <c r="SHD59"/>
      <c r="SHE59"/>
      <c r="SHF59"/>
      <c r="SHG59"/>
      <c r="SHH59"/>
      <c r="SHI59"/>
      <c r="SHJ59"/>
      <c r="SHK59"/>
      <c r="SHL59"/>
      <c r="SHM59"/>
      <c r="SHN59"/>
      <c r="SHO59"/>
      <c r="SHP59"/>
      <c r="SHQ59"/>
      <c r="SHR59"/>
      <c r="SHS59"/>
      <c r="SHT59"/>
      <c r="SHU59"/>
      <c r="SHV59"/>
      <c r="SHW59"/>
      <c r="SHX59"/>
      <c r="SHY59"/>
      <c r="SHZ59"/>
      <c r="SIA59"/>
      <c r="SIB59"/>
      <c r="SIC59"/>
      <c r="SID59"/>
      <c r="SIE59"/>
      <c r="SIF59"/>
      <c r="SIG59"/>
      <c r="SIH59"/>
      <c r="SII59"/>
      <c r="SIJ59"/>
      <c r="SIK59"/>
      <c r="SIL59"/>
      <c r="SIM59"/>
      <c r="SIN59"/>
      <c r="SIO59"/>
      <c r="SIP59"/>
      <c r="SIQ59"/>
      <c r="SIR59"/>
      <c r="SIS59"/>
      <c r="SIT59"/>
      <c r="SIU59"/>
      <c r="SIV59"/>
      <c r="SIW59"/>
      <c r="SIX59"/>
      <c r="SIY59"/>
      <c r="SIZ59"/>
      <c r="SJA59"/>
      <c r="SJB59"/>
      <c r="SJC59"/>
      <c r="SJD59"/>
      <c r="SJE59"/>
      <c r="SJF59"/>
      <c r="SJG59"/>
      <c r="SJH59"/>
      <c r="SJI59"/>
      <c r="SJJ59"/>
      <c r="SJK59"/>
      <c r="SJL59"/>
      <c r="SJM59"/>
      <c r="SJN59"/>
      <c r="SJO59"/>
      <c r="SJP59"/>
      <c r="SJQ59"/>
      <c r="SJR59"/>
      <c r="SJS59"/>
      <c r="SJT59"/>
      <c r="SJU59"/>
      <c r="SJV59"/>
      <c r="SJW59"/>
      <c r="SJX59"/>
      <c r="SJY59"/>
      <c r="SJZ59"/>
      <c r="SKA59"/>
      <c r="SKB59"/>
      <c r="SKC59"/>
      <c r="SKD59"/>
      <c r="SKE59"/>
      <c r="SKF59"/>
      <c r="SKG59"/>
      <c r="SKH59"/>
      <c r="SKI59"/>
      <c r="SKJ59"/>
      <c r="SKK59"/>
      <c r="SKL59"/>
      <c r="SKM59"/>
      <c r="SKN59"/>
      <c r="SKO59"/>
      <c r="SKP59"/>
      <c r="SKQ59"/>
      <c r="SKR59"/>
      <c r="SKS59"/>
      <c r="SKT59"/>
      <c r="SKU59"/>
      <c r="SKV59"/>
      <c r="SKW59"/>
      <c r="SKX59"/>
      <c r="SKY59"/>
      <c r="SKZ59"/>
      <c r="SLA59"/>
      <c r="SLB59"/>
      <c r="SLC59"/>
      <c r="SLD59"/>
      <c r="SLE59"/>
      <c r="SLF59"/>
      <c r="SLG59"/>
      <c r="SLH59"/>
      <c r="SLI59"/>
      <c r="SLJ59"/>
      <c r="SLK59"/>
      <c r="SLL59"/>
      <c r="SLM59"/>
      <c r="SLN59"/>
      <c r="SLO59"/>
      <c r="SLP59"/>
      <c r="SLQ59"/>
      <c r="SLR59"/>
      <c r="SLS59"/>
      <c r="SLT59"/>
      <c r="SLU59"/>
      <c r="SLV59"/>
      <c r="SLW59"/>
      <c r="SLX59"/>
      <c r="SLY59"/>
      <c r="SLZ59"/>
      <c r="SMA59"/>
      <c r="SMB59"/>
      <c r="SMC59"/>
      <c r="SMD59"/>
      <c r="SME59"/>
      <c r="SMF59"/>
      <c r="SMG59"/>
      <c r="SMH59"/>
      <c r="SMI59"/>
      <c r="SMJ59"/>
      <c r="SMK59"/>
      <c r="SML59"/>
      <c r="SMM59"/>
      <c r="SMN59"/>
      <c r="SMO59"/>
      <c r="SMP59"/>
      <c r="SMQ59"/>
      <c r="SMR59"/>
      <c r="SMS59"/>
      <c r="SMT59"/>
      <c r="SMU59"/>
      <c r="SMV59"/>
      <c r="SMW59"/>
      <c r="SMX59"/>
      <c r="SMY59"/>
      <c r="SMZ59"/>
      <c r="SNA59"/>
      <c r="SNB59"/>
      <c r="SNC59"/>
      <c r="SND59"/>
      <c r="SNE59"/>
      <c r="SNF59"/>
      <c r="SNG59"/>
      <c r="SNH59"/>
      <c r="SNI59"/>
      <c r="SNJ59"/>
      <c r="SNK59"/>
      <c r="SNL59"/>
      <c r="SNM59"/>
      <c r="SNN59"/>
      <c r="SNO59"/>
      <c r="SNP59"/>
      <c r="SNQ59"/>
      <c r="SNR59"/>
      <c r="SNS59"/>
      <c r="SNT59"/>
      <c r="SNU59"/>
      <c r="SNV59"/>
      <c r="SNW59"/>
      <c r="SNX59"/>
      <c r="SNY59"/>
      <c r="SNZ59"/>
      <c r="SOA59"/>
      <c r="SOB59"/>
      <c r="SOC59"/>
      <c r="SOD59"/>
      <c r="SOE59"/>
      <c r="SOF59"/>
      <c r="SOG59"/>
      <c r="SOH59"/>
      <c r="SOI59"/>
      <c r="SOJ59"/>
      <c r="SOK59"/>
      <c r="SOL59"/>
      <c r="SOM59"/>
      <c r="SON59"/>
      <c r="SOO59"/>
      <c r="SOP59"/>
      <c r="SOQ59"/>
      <c r="SOR59"/>
      <c r="SOS59"/>
      <c r="SOT59"/>
      <c r="SOU59"/>
      <c r="SOV59"/>
      <c r="SOW59"/>
      <c r="SOX59"/>
      <c r="SOY59"/>
      <c r="SOZ59"/>
      <c r="SPA59"/>
      <c r="SPB59"/>
      <c r="SPC59"/>
      <c r="SPD59"/>
      <c r="SPE59"/>
      <c r="SPF59"/>
      <c r="SPG59"/>
      <c r="SPH59"/>
      <c r="SPI59"/>
      <c r="SPJ59"/>
      <c r="SPK59"/>
      <c r="SPL59"/>
      <c r="SPM59"/>
      <c r="SPN59"/>
      <c r="SPO59"/>
      <c r="SPP59"/>
      <c r="SPQ59"/>
      <c r="SPR59"/>
      <c r="SPS59"/>
      <c r="SPT59"/>
      <c r="SPU59"/>
      <c r="SPV59"/>
      <c r="SPW59"/>
      <c r="SPX59"/>
      <c r="SPY59"/>
      <c r="SPZ59"/>
      <c r="SQA59"/>
      <c r="SQB59"/>
      <c r="SQC59"/>
      <c r="SQD59"/>
      <c r="SQE59"/>
      <c r="SQF59"/>
      <c r="SQG59"/>
      <c r="SQH59"/>
      <c r="SQI59"/>
      <c r="SQJ59"/>
      <c r="SQK59"/>
      <c r="SQL59"/>
      <c r="SQM59"/>
      <c r="SQN59"/>
      <c r="SQO59"/>
      <c r="SQP59"/>
      <c r="SQQ59"/>
      <c r="SQR59"/>
      <c r="SQS59"/>
      <c r="SQT59"/>
      <c r="SQU59"/>
      <c r="SQV59"/>
      <c r="SQW59"/>
      <c r="SQX59"/>
      <c r="SQY59"/>
      <c r="SQZ59"/>
      <c r="SRA59"/>
      <c r="SRB59"/>
      <c r="SRC59"/>
      <c r="SRD59"/>
      <c r="SRE59"/>
      <c r="SRF59"/>
      <c r="SRG59"/>
      <c r="SRH59"/>
      <c r="SRI59"/>
      <c r="SRJ59"/>
      <c r="SRK59"/>
      <c r="SRL59"/>
      <c r="SRM59"/>
      <c r="SRN59"/>
      <c r="SRO59"/>
      <c r="SRP59"/>
      <c r="SRQ59"/>
      <c r="SRR59"/>
      <c r="SRS59"/>
      <c r="SRT59"/>
      <c r="SRU59"/>
      <c r="SRV59"/>
      <c r="SRW59"/>
      <c r="SRX59"/>
      <c r="SRY59"/>
      <c r="SRZ59"/>
      <c r="SSA59"/>
      <c r="SSB59"/>
      <c r="SSC59"/>
      <c r="SSD59"/>
      <c r="SSE59"/>
      <c r="SSF59"/>
      <c r="SSG59"/>
      <c r="SSH59"/>
      <c r="SSI59"/>
      <c r="SSJ59"/>
      <c r="SSK59"/>
      <c r="SSL59"/>
      <c r="SSM59"/>
      <c r="SSN59"/>
      <c r="SSO59"/>
      <c r="SSP59"/>
      <c r="SSQ59"/>
      <c r="SSR59"/>
      <c r="SSS59"/>
      <c r="SST59"/>
      <c r="SSU59"/>
      <c r="SSV59"/>
      <c r="SSW59"/>
      <c r="SSX59"/>
      <c r="SSY59"/>
      <c r="SSZ59"/>
      <c r="STA59"/>
      <c r="STB59"/>
      <c r="STC59"/>
      <c r="STD59"/>
      <c r="STE59"/>
      <c r="STF59"/>
      <c r="STG59"/>
      <c r="STH59"/>
      <c r="STI59"/>
      <c r="STJ59"/>
      <c r="STK59"/>
      <c r="STL59"/>
      <c r="STM59"/>
      <c r="STN59"/>
      <c r="STO59"/>
      <c r="STP59"/>
      <c r="STQ59"/>
      <c r="STR59"/>
      <c r="STS59"/>
      <c r="STT59"/>
      <c r="STU59"/>
      <c r="STV59"/>
      <c r="STW59"/>
      <c r="STX59"/>
      <c r="STY59"/>
      <c r="STZ59"/>
      <c r="SUA59"/>
      <c r="SUB59"/>
      <c r="SUC59"/>
      <c r="SUD59"/>
      <c r="SUE59"/>
      <c r="SUF59"/>
      <c r="SUG59"/>
      <c r="SUH59"/>
      <c r="SUI59"/>
      <c r="SUJ59"/>
      <c r="SUK59"/>
      <c r="SUL59"/>
      <c r="SUM59"/>
      <c r="SUN59"/>
      <c r="SUO59"/>
      <c r="SUP59"/>
      <c r="SUQ59"/>
      <c r="SUR59"/>
      <c r="SUS59"/>
      <c r="SUT59"/>
      <c r="SUU59"/>
      <c r="SUV59"/>
      <c r="SUW59"/>
      <c r="SUX59"/>
      <c r="SUY59"/>
      <c r="SUZ59"/>
      <c r="SVA59"/>
      <c r="SVB59"/>
      <c r="SVC59"/>
      <c r="SVD59"/>
      <c r="SVE59"/>
      <c r="SVF59"/>
      <c r="SVG59"/>
      <c r="SVH59"/>
      <c r="SVI59"/>
      <c r="SVJ59"/>
      <c r="SVK59"/>
      <c r="SVL59"/>
      <c r="SVM59"/>
      <c r="SVN59"/>
      <c r="SVO59"/>
      <c r="SVP59"/>
      <c r="SVQ59"/>
      <c r="SVR59"/>
      <c r="SVS59"/>
      <c r="SVT59"/>
      <c r="SVU59"/>
      <c r="SVV59"/>
      <c r="SVW59"/>
      <c r="SVX59"/>
      <c r="SVY59"/>
      <c r="SVZ59"/>
      <c r="SWA59"/>
      <c r="SWB59"/>
      <c r="SWC59"/>
      <c r="SWD59"/>
      <c r="SWE59"/>
      <c r="SWF59"/>
      <c r="SWG59"/>
      <c r="SWH59"/>
      <c r="SWI59"/>
      <c r="SWJ59"/>
      <c r="SWK59"/>
      <c r="SWL59"/>
      <c r="SWM59"/>
      <c r="SWN59"/>
      <c r="SWO59"/>
      <c r="SWP59"/>
      <c r="SWQ59"/>
      <c r="SWR59"/>
      <c r="SWS59"/>
      <c r="SWT59"/>
      <c r="SWU59"/>
      <c r="SWV59"/>
      <c r="SWW59"/>
      <c r="SWX59"/>
      <c r="SWY59"/>
      <c r="SWZ59"/>
      <c r="SXA59"/>
      <c r="SXB59"/>
      <c r="SXC59"/>
      <c r="SXD59"/>
      <c r="SXE59"/>
      <c r="SXF59"/>
      <c r="SXG59"/>
      <c r="SXH59"/>
      <c r="SXI59"/>
      <c r="SXJ59"/>
      <c r="SXK59"/>
      <c r="SXL59"/>
      <c r="SXM59"/>
      <c r="SXN59"/>
      <c r="SXO59"/>
      <c r="SXP59"/>
      <c r="SXQ59"/>
      <c r="SXR59"/>
      <c r="SXS59"/>
      <c r="SXT59"/>
      <c r="SXU59"/>
      <c r="SXV59"/>
      <c r="SXW59"/>
      <c r="SXX59"/>
      <c r="SXY59"/>
      <c r="SXZ59"/>
      <c r="SYA59"/>
      <c r="SYB59"/>
      <c r="SYC59"/>
      <c r="SYD59"/>
      <c r="SYE59"/>
      <c r="SYF59"/>
      <c r="SYG59"/>
      <c r="SYH59"/>
      <c r="SYI59"/>
      <c r="SYJ59"/>
      <c r="SYK59"/>
      <c r="SYL59"/>
      <c r="SYM59"/>
      <c r="SYN59"/>
      <c r="SYO59"/>
      <c r="SYP59"/>
      <c r="SYQ59"/>
      <c r="SYR59"/>
      <c r="SYS59"/>
      <c r="SYT59"/>
      <c r="SYU59"/>
      <c r="SYV59"/>
      <c r="SYW59"/>
      <c r="SYX59"/>
      <c r="SYY59"/>
      <c r="SYZ59"/>
      <c r="SZA59"/>
      <c r="SZB59"/>
      <c r="SZC59"/>
      <c r="SZD59"/>
      <c r="SZE59"/>
      <c r="SZF59"/>
      <c r="SZG59"/>
      <c r="SZH59"/>
      <c r="SZI59"/>
      <c r="SZJ59"/>
      <c r="SZK59"/>
      <c r="SZL59"/>
      <c r="SZM59"/>
      <c r="SZN59"/>
      <c r="SZO59"/>
      <c r="SZP59"/>
      <c r="SZQ59"/>
      <c r="SZR59"/>
      <c r="SZS59"/>
      <c r="SZT59"/>
      <c r="SZU59"/>
      <c r="SZV59"/>
      <c r="SZW59"/>
      <c r="SZX59"/>
      <c r="SZY59"/>
      <c r="SZZ59"/>
      <c r="TAA59"/>
      <c r="TAB59"/>
      <c r="TAC59"/>
      <c r="TAD59"/>
      <c r="TAE59"/>
      <c r="TAF59"/>
      <c r="TAG59"/>
      <c r="TAH59"/>
      <c r="TAI59"/>
      <c r="TAJ59"/>
      <c r="TAK59"/>
      <c r="TAL59"/>
      <c r="TAM59"/>
      <c r="TAN59"/>
      <c r="TAO59"/>
      <c r="TAP59"/>
      <c r="TAQ59"/>
      <c r="TAR59"/>
      <c r="TAS59"/>
      <c r="TAT59"/>
      <c r="TAU59"/>
      <c r="TAV59"/>
      <c r="TAW59"/>
      <c r="TAX59"/>
      <c r="TAY59"/>
      <c r="TAZ59"/>
      <c r="TBA59"/>
      <c r="TBB59"/>
      <c r="TBC59"/>
      <c r="TBD59"/>
      <c r="TBE59"/>
      <c r="TBF59"/>
      <c r="TBG59"/>
      <c r="TBH59"/>
      <c r="TBI59"/>
      <c r="TBJ59"/>
      <c r="TBK59"/>
      <c r="TBL59"/>
      <c r="TBM59"/>
      <c r="TBN59"/>
      <c r="TBO59"/>
      <c r="TBP59"/>
      <c r="TBQ59"/>
      <c r="TBR59"/>
      <c r="TBS59"/>
      <c r="TBT59"/>
      <c r="TBU59"/>
      <c r="TBV59"/>
      <c r="TBW59"/>
      <c r="TBX59"/>
      <c r="TBY59"/>
      <c r="TBZ59"/>
      <c r="TCA59"/>
      <c r="TCB59"/>
      <c r="TCC59"/>
      <c r="TCD59"/>
      <c r="TCE59"/>
      <c r="TCF59"/>
      <c r="TCG59"/>
      <c r="TCH59"/>
      <c r="TCI59"/>
      <c r="TCJ59"/>
      <c r="TCK59"/>
      <c r="TCL59"/>
      <c r="TCM59"/>
      <c r="TCN59"/>
      <c r="TCO59"/>
      <c r="TCP59"/>
      <c r="TCQ59"/>
      <c r="TCR59"/>
      <c r="TCS59"/>
      <c r="TCT59"/>
      <c r="TCU59"/>
      <c r="TCV59"/>
      <c r="TCW59"/>
      <c r="TCX59"/>
      <c r="TCY59"/>
      <c r="TCZ59"/>
      <c r="TDA59"/>
      <c r="TDB59"/>
      <c r="TDC59"/>
      <c r="TDD59"/>
      <c r="TDE59"/>
      <c r="TDF59"/>
      <c r="TDG59"/>
      <c r="TDH59"/>
      <c r="TDI59"/>
      <c r="TDJ59"/>
      <c r="TDK59"/>
      <c r="TDL59"/>
      <c r="TDM59"/>
      <c r="TDN59"/>
      <c r="TDO59"/>
      <c r="TDP59"/>
      <c r="TDQ59"/>
      <c r="TDR59"/>
      <c r="TDS59"/>
      <c r="TDT59"/>
      <c r="TDU59"/>
      <c r="TDV59"/>
      <c r="TDW59"/>
      <c r="TDX59"/>
      <c r="TDY59"/>
      <c r="TDZ59"/>
      <c r="TEA59"/>
      <c r="TEB59"/>
      <c r="TEC59"/>
      <c r="TED59"/>
      <c r="TEE59"/>
      <c r="TEF59"/>
      <c r="TEG59"/>
      <c r="TEH59"/>
      <c r="TEI59"/>
      <c r="TEJ59"/>
      <c r="TEK59"/>
      <c r="TEL59"/>
      <c r="TEM59"/>
      <c r="TEN59"/>
      <c r="TEO59"/>
      <c r="TEP59"/>
      <c r="TEQ59"/>
      <c r="TER59"/>
      <c r="TES59"/>
      <c r="TET59"/>
      <c r="TEU59"/>
      <c r="TEV59"/>
      <c r="TEW59"/>
      <c r="TEX59"/>
      <c r="TEY59"/>
      <c r="TEZ59"/>
      <c r="TFA59"/>
      <c r="TFB59"/>
      <c r="TFC59"/>
      <c r="TFD59"/>
      <c r="TFE59"/>
      <c r="TFF59"/>
      <c r="TFG59"/>
      <c r="TFH59"/>
      <c r="TFI59"/>
      <c r="TFJ59"/>
      <c r="TFK59"/>
      <c r="TFL59"/>
      <c r="TFM59"/>
      <c r="TFN59"/>
      <c r="TFO59"/>
      <c r="TFP59"/>
      <c r="TFQ59"/>
      <c r="TFR59"/>
      <c r="TFS59"/>
      <c r="TFT59"/>
      <c r="TFU59"/>
      <c r="TFV59"/>
      <c r="TFW59"/>
      <c r="TFX59"/>
      <c r="TFY59"/>
      <c r="TFZ59"/>
      <c r="TGA59"/>
      <c r="TGB59"/>
      <c r="TGC59"/>
      <c r="TGD59"/>
      <c r="TGE59"/>
      <c r="TGF59"/>
      <c r="TGG59"/>
      <c r="TGH59"/>
      <c r="TGI59"/>
      <c r="TGJ59"/>
      <c r="TGK59"/>
      <c r="TGL59"/>
      <c r="TGM59"/>
      <c r="TGN59"/>
      <c r="TGO59"/>
      <c r="TGP59"/>
      <c r="TGQ59"/>
      <c r="TGR59"/>
      <c r="TGS59"/>
      <c r="TGT59"/>
      <c r="TGU59"/>
      <c r="TGV59"/>
      <c r="TGW59"/>
      <c r="TGX59"/>
      <c r="TGY59"/>
      <c r="TGZ59"/>
      <c r="THA59"/>
      <c r="THB59"/>
      <c r="THC59"/>
      <c r="THD59"/>
      <c r="THE59"/>
      <c r="THF59"/>
      <c r="THG59"/>
      <c r="THH59"/>
      <c r="THI59"/>
      <c r="THJ59"/>
      <c r="THK59"/>
      <c r="THL59"/>
      <c r="THM59"/>
      <c r="THN59"/>
      <c r="THO59"/>
      <c r="THP59"/>
      <c r="THQ59"/>
      <c r="THR59"/>
      <c r="THS59"/>
      <c r="THT59"/>
      <c r="THU59"/>
      <c r="THV59"/>
      <c r="THW59"/>
      <c r="THX59"/>
      <c r="THY59"/>
      <c r="THZ59"/>
      <c r="TIA59"/>
      <c r="TIB59"/>
      <c r="TIC59"/>
      <c r="TID59"/>
      <c r="TIE59"/>
      <c r="TIF59"/>
      <c r="TIG59"/>
      <c r="TIH59"/>
      <c r="TII59"/>
      <c r="TIJ59"/>
      <c r="TIK59"/>
      <c r="TIL59"/>
      <c r="TIM59"/>
      <c r="TIN59"/>
      <c r="TIO59"/>
      <c r="TIP59"/>
      <c r="TIQ59"/>
      <c r="TIR59"/>
      <c r="TIS59"/>
      <c r="TIT59"/>
      <c r="TIU59"/>
      <c r="TIV59"/>
      <c r="TIW59"/>
      <c r="TIX59"/>
      <c r="TIY59"/>
      <c r="TIZ59"/>
      <c r="TJA59"/>
      <c r="TJB59"/>
      <c r="TJC59"/>
      <c r="TJD59"/>
      <c r="TJE59"/>
      <c r="TJF59"/>
      <c r="TJG59"/>
      <c r="TJH59"/>
      <c r="TJI59"/>
      <c r="TJJ59"/>
      <c r="TJK59"/>
      <c r="TJL59"/>
      <c r="TJM59"/>
      <c r="TJN59"/>
      <c r="TJO59"/>
      <c r="TJP59"/>
      <c r="TJQ59"/>
      <c r="TJR59"/>
      <c r="TJS59"/>
      <c r="TJT59"/>
      <c r="TJU59"/>
      <c r="TJV59"/>
      <c r="TJW59"/>
      <c r="TJX59"/>
      <c r="TJY59"/>
      <c r="TJZ59"/>
      <c r="TKA59"/>
      <c r="TKB59"/>
      <c r="TKC59"/>
      <c r="TKD59"/>
      <c r="TKE59"/>
      <c r="TKF59"/>
      <c r="TKG59"/>
      <c r="TKH59"/>
      <c r="TKI59"/>
      <c r="TKJ59"/>
      <c r="TKK59"/>
      <c r="TKL59"/>
      <c r="TKM59"/>
      <c r="TKN59"/>
      <c r="TKO59"/>
      <c r="TKP59"/>
      <c r="TKQ59"/>
      <c r="TKR59"/>
      <c r="TKS59"/>
      <c r="TKT59"/>
      <c r="TKU59"/>
      <c r="TKV59"/>
      <c r="TKW59"/>
      <c r="TKX59"/>
      <c r="TKY59"/>
      <c r="TKZ59"/>
      <c r="TLA59"/>
      <c r="TLB59"/>
      <c r="TLC59"/>
      <c r="TLD59"/>
      <c r="TLE59"/>
      <c r="TLF59"/>
      <c r="TLG59"/>
      <c r="TLH59"/>
      <c r="TLI59"/>
      <c r="TLJ59"/>
      <c r="TLK59"/>
      <c r="TLL59"/>
      <c r="TLM59"/>
      <c r="TLN59"/>
      <c r="TLO59"/>
      <c r="TLP59"/>
      <c r="TLQ59"/>
      <c r="TLR59"/>
      <c r="TLS59"/>
      <c r="TLT59"/>
      <c r="TLU59"/>
      <c r="TLV59"/>
      <c r="TLW59"/>
      <c r="TLX59"/>
      <c r="TLY59"/>
      <c r="TLZ59"/>
      <c r="TMA59"/>
      <c r="TMB59"/>
      <c r="TMC59"/>
      <c r="TMD59"/>
      <c r="TME59"/>
      <c r="TMF59"/>
      <c r="TMG59"/>
      <c r="TMH59"/>
      <c r="TMI59"/>
      <c r="TMJ59"/>
      <c r="TMK59"/>
      <c r="TML59"/>
      <c r="TMM59"/>
      <c r="TMN59"/>
      <c r="TMO59"/>
      <c r="TMP59"/>
      <c r="TMQ59"/>
      <c r="TMR59"/>
      <c r="TMS59"/>
      <c r="TMT59"/>
      <c r="TMU59"/>
      <c r="TMV59"/>
      <c r="TMW59"/>
      <c r="TMX59"/>
      <c r="TMY59"/>
      <c r="TMZ59"/>
      <c r="TNA59"/>
      <c r="TNB59"/>
      <c r="TNC59"/>
      <c r="TND59"/>
      <c r="TNE59"/>
      <c r="TNF59"/>
      <c r="TNG59"/>
      <c r="TNH59"/>
      <c r="TNI59"/>
      <c r="TNJ59"/>
      <c r="TNK59"/>
      <c r="TNL59"/>
      <c r="TNM59"/>
      <c r="TNN59"/>
      <c r="TNO59"/>
      <c r="TNP59"/>
      <c r="TNQ59"/>
      <c r="TNR59"/>
      <c r="TNS59"/>
      <c r="TNT59"/>
      <c r="TNU59"/>
      <c r="TNV59"/>
      <c r="TNW59"/>
      <c r="TNX59"/>
      <c r="TNY59"/>
      <c r="TNZ59"/>
      <c r="TOA59"/>
      <c r="TOB59"/>
      <c r="TOC59"/>
      <c r="TOD59"/>
      <c r="TOE59"/>
      <c r="TOF59"/>
      <c r="TOG59"/>
      <c r="TOH59"/>
      <c r="TOI59"/>
      <c r="TOJ59"/>
      <c r="TOK59"/>
      <c r="TOL59"/>
      <c r="TOM59"/>
      <c r="TON59"/>
      <c r="TOO59"/>
      <c r="TOP59"/>
      <c r="TOQ59"/>
      <c r="TOR59"/>
      <c r="TOS59"/>
      <c r="TOT59"/>
      <c r="TOU59"/>
      <c r="TOV59"/>
      <c r="TOW59"/>
      <c r="TOX59"/>
      <c r="TOY59"/>
      <c r="TOZ59"/>
      <c r="TPA59"/>
      <c r="TPB59"/>
      <c r="TPC59"/>
      <c r="TPD59"/>
      <c r="TPE59"/>
      <c r="TPF59"/>
      <c r="TPG59"/>
      <c r="TPH59"/>
      <c r="TPI59"/>
      <c r="TPJ59"/>
      <c r="TPK59"/>
      <c r="TPL59"/>
      <c r="TPM59"/>
      <c r="TPN59"/>
      <c r="TPO59"/>
      <c r="TPP59"/>
      <c r="TPQ59"/>
      <c r="TPR59"/>
      <c r="TPS59"/>
      <c r="TPT59"/>
      <c r="TPU59"/>
      <c r="TPV59"/>
      <c r="TPW59"/>
      <c r="TPX59"/>
      <c r="TPY59"/>
      <c r="TPZ59"/>
      <c r="TQA59"/>
      <c r="TQB59"/>
      <c r="TQC59"/>
      <c r="TQD59"/>
      <c r="TQE59"/>
      <c r="TQF59"/>
      <c r="TQG59"/>
      <c r="TQH59"/>
      <c r="TQI59"/>
      <c r="TQJ59"/>
      <c r="TQK59"/>
      <c r="TQL59"/>
      <c r="TQM59"/>
      <c r="TQN59"/>
      <c r="TQO59"/>
      <c r="TQP59"/>
      <c r="TQQ59"/>
      <c r="TQR59"/>
      <c r="TQS59"/>
      <c r="TQT59"/>
      <c r="TQU59"/>
      <c r="TQV59"/>
      <c r="TQW59"/>
      <c r="TQX59"/>
      <c r="TQY59"/>
      <c r="TQZ59"/>
      <c r="TRA59"/>
      <c r="TRB59"/>
      <c r="TRC59"/>
      <c r="TRD59"/>
      <c r="TRE59"/>
      <c r="TRF59"/>
      <c r="TRG59"/>
      <c r="TRH59"/>
      <c r="TRI59"/>
      <c r="TRJ59"/>
      <c r="TRK59"/>
      <c r="TRL59"/>
      <c r="TRM59"/>
      <c r="TRN59"/>
      <c r="TRO59"/>
      <c r="TRP59"/>
      <c r="TRQ59"/>
      <c r="TRR59"/>
      <c r="TRS59"/>
      <c r="TRT59"/>
      <c r="TRU59"/>
      <c r="TRV59"/>
      <c r="TRW59"/>
      <c r="TRX59"/>
      <c r="TRY59"/>
      <c r="TRZ59"/>
      <c r="TSA59"/>
      <c r="TSB59"/>
      <c r="TSC59"/>
      <c r="TSD59"/>
      <c r="TSE59"/>
      <c r="TSF59"/>
      <c r="TSG59"/>
      <c r="TSH59"/>
      <c r="TSI59"/>
      <c r="TSJ59"/>
      <c r="TSK59"/>
      <c r="TSL59"/>
      <c r="TSM59"/>
      <c r="TSN59"/>
      <c r="TSO59"/>
      <c r="TSP59"/>
      <c r="TSQ59"/>
      <c r="TSR59"/>
      <c r="TSS59"/>
      <c r="TST59"/>
      <c r="TSU59"/>
      <c r="TSV59"/>
      <c r="TSW59"/>
      <c r="TSX59"/>
      <c r="TSY59"/>
      <c r="TSZ59"/>
      <c r="TTA59"/>
      <c r="TTB59"/>
      <c r="TTC59"/>
      <c r="TTD59"/>
      <c r="TTE59"/>
      <c r="TTF59"/>
      <c r="TTG59"/>
      <c r="TTH59"/>
      <c r="TTI59"/>
      <c r="TTJ59"/>
      <c r="TTK59"/>
      <c r="TTL59"/>
      <c r="TTM59"/>
      <c r="TTN59"/>
      <c r="TTO59"/>
      <c r="TTP59"/>
      <c r="TTQ59"/>
      <c r="TTR59"/>
      <c r="TTS59"/>
      <c r="TTT59"/>
      <c r="TTU59"/>
      <c r="TTV59"/>
      <c r="TTW59"/>
      <c r="TTX59"/>
      <c r="TTY59"/>
      <c r="TTZ59"/>
      <c r="TUA59"/>
      <c r="TUB59"/>
      <c r="TUC59"/>
      <c r="TUD59"/>
      <c r="TUE59"/>
      <c r="TUF59"/>
      <c r="TUG59"/>
      <c r="TUH59"/>
      <c r="TUI59"/>
      <c r="TUJ59"/>
      <c r="TUK59"/>
      <c r="TUL59"/>
      <c r="TUM59"/>
      <c r="TUN59"/>
      <c r="TUO59"/>
      <c r="TUP59"/>
      <c r="TUQ59"/>
      <c r="TUR59"/>
      <c r="TUS59"/>
      <c r="TUT59"/>
      <c r="TUU59"/>
      <c r="TUV59"/>
      <c r="TUW59"/>
      <c r="TUX59"/>
      <c r="TUY59"/>
      <c r="TUZ59"/>
      <c r="TVA59"/>
      <c r="TVB59"/>
      <c r="TVC59"/>
      <c r="TVD59"/>
      <c r="TVE59"/>
      <c r="TVF59"/>
      <c r="TVG59"/>
      <c r="TVH59"/>
      <c r="TVI59"/>
      <c r="TVJ59"/>
      <c r="TVK59"/>
      <c r="TVL59"/>
      <c r="TVM59"/>
      <c r="TVN59"/>
      <c r="TVO59"/>
      <c r="TVP59"/>
      <c r="TVQ59"/>
      <c r="TVR59"/>
      <c r="TVS59"/>
      <c r="TVT59"/>
      <c r="TVU59"/>
      <c r="TVV59"/>
      <c r="TVW59"/>
      <c r="TVX59"/>
      <c r="TVY59"/>
      <c r="TVZ59"/>
      <c r="TWA59"/>
      <c r="TWB59"/>
      <c r="TWC59"/>
      <c r="TWD59"/>
      <c r="TWE59"/>
      <c r="TWF59"/>
      <c r="TWG59"/>
      <c r="TWH59"/>
      <c r="TWI59"/>
      <c r="TWJ59"/>
      <c r="TWK59"/>
      <c r="TWL59"/>
      <c r="TWM59"/>
      <c r="TWN59"/>
      <c r="TWO59"/>
      <c r="TWP59"/>
      <c r="TWQ59"/>
      <c r="TWR59"/>
      <c r="TWS59"/>
      <c r="TWT59"/>
      <c r="TWU59"/>
      <c r="TWV59"/>
      <c r="TWW59"/>
      <c r="TWX59"/>
      <c r="TWY59"/>
      <c r="TWZ59"/>
      <c r="TXA59"/>
      <c r="TXB59"/>
      <c r="TXC59"/>
      <c r="TXD59"/>
      <c r="TXE59"/>
      <c r="TXF59"/>
      <c r="TXG59"/>
      <c r="TXH59"/>
      <c r="TXI59"/>
      <c r="TXJ59"/>
      <c r="TXK59"/>
      <c r="TXL59"/>
      <c r="TXM59"/>
      <c r="TXN59"/>
      <c r="TXO59"/>
      <c r="TXP59"/>
      <c r="TXQ59"/>
      <c r="TXR59"/>
      <c r="TXS59"/>
      <c r="TXT59"/>
      <c r="TXU59"/>
      <c r="TXV59"/>
      <c r="TXW59"/>
      <c r="TXX59"/>
      <c r="TXY59"/>
      <c r="TXZ59"/>
      <c r="TYA59"/>
      <c r="TYB59"/>
      <c r="TYC59"/>
      <c r="TYD59"/>
      <c r="TYE59"/>
      <c r="TYF59"/>
      <c r="TYG59"/>
      <c r="TYH59"/>
      <c r="TYI59"/>
      <c r="TYJ59"/>
      <c r="TYK59"/>
      <c r="TYL59"/>
      <c r="TYM59"/>
      <c r="TYN59"/>
      <c r="TYO59"/>
      <c r="TYP59"/>
      <c r="TYQ59"/>
      <c r="TYR59"/>
      <c r="TYS59"/>
      <c r="TYT59"/>
      <c r="TYU59"/>
      <c r="TYV59"/>
      <c r="TYW59"/>
      <c r="TYX59"/>
      <c r="TYY59"/>
      <c r="TYZ59"/>
      <c r="TZA59"/>
      <c r="TZB59"/>
      <c r="TZC59"/>
      <c r="TZD59"/>
      <c r="TZE59"/>
      <c r="TZF59"/>
      <c r="TZG59"/>
      <c r="TZH59"/>
      <c r="TZI59"/>
      <c r="TZJ59"/>
      <c r="TZK59"/>
      <c r="TZL59"/>
      <c r="TZM59"/>
      <c r="TZN59"/>
      <c r="TZO59"/>
      <c r="TZP59"/>
      <c r="TZQ59"/>
      <c r="TZR59"/>
      <c r="TZS59"/>
      <c r="TZT59"/>
      <c r="TZU59"/>
      <c r="TZV59"/>
      <c r="TZW59"/>
      <c r="TZX59"/>
      <c r="TZY59"/>
      <c r="TZZ59"/>
      <c r="UAA59"/>
      <c r="UAB59"/>
      <c r="UAC59"/>
      <c r="UAD59"/>
      <c r="UAE59"/>
      <c r="UAF59"/>
      <c r="UAG59"/>
      <c r="UAH59"/>
      <c r="UAI59"/>
      <c r="UAJ59"/>
      <c r="UAK59"/>
      <c r="UAL59"/>
      <c r="UAM59"/>
      <c r="UAN59"/>
      <c r="UAO59"/>
      <c r="UAP59"/>
      <c r="UAQ59"/>
      <c r="UAR59"/>
      <c r="UAS59"/>
      <c r="UAT59"/>
      <c r="UAU59"/>
      <c r="UAV59"/>
      <c r="UAW59"/>
      <c r="UAX59"/>
      <c r="UAY59"/>
      <c r="UAZ59"/>
      <c r="UBA59"/>
      <c r="UBB59"/>
      <c r="UBC59"/>
      <c r="UBD59"/>
      <c r="UBE59"/>
      <c r="UBF59"/>
      <c r="UBG59"/>
      <c r="UBH59"/>
      <c r="UBI59"/>
      <c r="UBJ59"/>
      <c r="UBK59"/>
      <c r="UBL59"/>
      <c r="UBM59"/>
      <c r="UBN59"/>
      <c r="UBO59"/>
      <c r="UBP59"/>
      <c r="UBQ59"/>
      <c r="UBR59"/>
      <c r="UBS59"/>
      <c r="UBT59"/>
      <c r="UBU59"/>
      <c r="UBV59"/>
      <c r="UBW59"/>
      <c r="UBX59"/>
      <c r="UBY59"/>
      <c r="UBZ59"/>
      <c r="UCA59"/>
      <c r="UCB59"/>
      <c r="UCC59"/>
      <c r="UCD59"/>
      <c r="UCE59"/>
      <c r="UCF59"/>
      <c r="UCG59"/>
      <c r="UCH59"/>
      <c r="UCI59"/>
      <c r="UCJ59"/>
      <c r="UCK59"/>
      <c r="UCL59"/>
      <c r="UCM59"/>
      <c r="UCN59"/>
      <c r="UCO59"/>
      <c r="UCP59"/>
      <c r="UCQ59"/>
      <c r="UCR59"/>
      <c r="UCS59"/>
      <c r="UCT59"/>
      <c r="UCU59"/>
      <c r="UCV59"/>
      <c r="UCW59"/>
      <c r="UCX59"/>
      <c r="UCY59"/>
      <c r="UCZ59"/>
      <c r="UDA59"/>
      <c r="UDB59"/>
      <c r="UDC59"/>
      <c r="UDD59"/>
      <c r="UDE59"/>
      <c r="UDF59"/>
      <c r="UDG59"/>
      <c r="UDH59"/>
      <c r="UDI59"/>
      <c r="UDJ59"/>
      <c r="UDK59"/>
      <c r="UDL59"/>
      <c r="UDM59"/>
      <c r="UDN59"/>
      <c r="UDO59"/>
      <c r="UDP59"/>
      <c r="UDQ59"/>
      <c r="UDR59"/>
      <c r="UDS59"/>
      <c r="UDT59"/>
      <c r="UDU59"/>
      <c r="UDV59"/>
      <c r="UDW59"/>
      <c r="UDX59"/>
      <c r="UDY59"/>
      <c r="UDZ59"/>
      <c r="UEA59"/>
      <c r="UEB59"/>
      <c r="UEC59"/>
      <c r="UED59"/>
      <c r="UEE59"/>
      <c r="UEF59"/>
      <c r="UEG59"/>
      <c r="UEH59"/>
      <c r="UEI59"/>
      <c r="UEJ59"/>
      <c r="UEK59"/>
      <c r="UEL59"/>
      <c r="UEM59"/>
      <c r="UEN59"/>
      <c r="UEO59"/>
      <c r="UEP59"/>
      <c r="UEQ59"/>
      <c r="UER59"/>
      <c r="UES59"/>
      <c r="UET59"/>
      <c r="UEU59"/>
      <c r="UEV59"/>
      <c r="UEW59"/>
      <c r="UEX59"/>
      <c r="UEY59"/>
      <c r="UEZ59"/>
      <c r="UFA59"/>
      <c r="UFB59"/>
      <c r="UFC59"/>
      <c r="UFD59"/>
      <c r="UFE59"/>
      <c r="UFF59"/>
      <c r="UFG59"/>
      <c r="UFH59"/>
      <c r="UFI59"/>
      <c r="UFJ59"/>
      <c r="UFK59"/>
      <c r="UFL59"/>
      <c r="UFM59"/>
      <c r="UFN59"/>
      <c r="UFO59"/>
      <c r="UFP59"/>
      <c r="UFQ59"/>
      <c r="UFR59"/>
      <c r="UFS59"/>
      <c r="UFT59"/>
      <c r="UFU59"/>
      <c r="UFV59"/>
      <c r="UFW59"/>
      <c r="UFX59"/>
      <c r="UFY59"/>
      <c r="UFZ59"/>
      <c r="UGA59"/>
      <c r="UGB59"/>
      <c r="UGC59"/>
      <c r="UGD59"/>
      <c r="UGE59"/>
      <c r="UGF59"/>
      <c r="UGG59"/>
      <c r="UGH59"/>
      <c r="UGI59"/>
      <c r="UGJ59"/>
      <c r="UGK59"/>
      <c r="UGL59"/>
      <c r="UGM59"/>
      <c r="UGN59"/>
      <c r="UGO59"/>
      <c r="UGP59"/>
      <c r="UGQ59"/>
      <c r="UGR59"/>
      <c r="UGS59"/>
      <c r="UGT59"/>
      <c r="UGU59"/>
      <c r="UGV59"/>
      <c r="UGW59"/>
      <c r="UGX59"/>
      <c r="UGY59"/>
      <c r="UGZ59"/>
      <c r="UHA59"/>
      <c r="UHB59"/>
      <c r="UHC59"/>
      <c r="UHD59"/>
      <c r="UHE59"/>
      <c r="UHF59"/>
      <c r="UHG59"/>
      <c r="UHH59"/>
      <c r="UHI59"/>
      <c r="UHJ59"/>
      <c r="UHK59"/>
      <c r="UHL59"/>
      <c r="UHM59"/>
      <c r="UHN59"/>
      <c r="UHO59"/>
      <c r="UHP59"/>
      <c r="UHQ59"/>
      <c r="UHR59"/>
      <c r="UHS59"/>
      <c r="UHT59"/>
      <c r="UHU59"/>
      <c r="UHV59"/>
      <c r="UHW59"/>
      <c r="UHX59"/>
      <c r="UHY59"/>
      <c r="UHZ59"/>
      <c r="UIA59"/>
      <c r="UIB59"/>
      <c r="UIC59"/>
      <c r="UID59"/>
      <c r="UIE59"/>
      <c r="UIF59"/>
      <c r="UIG59"/>
      <c r="UIH59"/>
      <c r="UII59"/>
      <c r="UIJ59"/>
      <c r="UIK59"/>
      <c r="UIL59"/>
      <c r="UIM59"/>
      <c r="UIN59"/>
      <c r="UIO59"/>
      <c r="UIP59"/>
      <c r="UIQ59"/>
      <c r="UIR59"/>
      <c r="UIS59"/>
      <c r="UIT59"/>
      <c r="UIU59"/>
      <c r="UIV59"/>
      <c r="UIW59"/>
      <c r="UIX59"/>
      <c r="UIY59"/>
      <c r="UIZ59"/>
      <c r="UJA59"/>
      <c r="UJB59"/>
      <c r="UJC59"/>
      <c r="UJD59"/>
      <c r="UJE59"/>
      <c r="UJF59"/>
      <c r="UJG59"/>
      <c r="UJH59"/>
      <c r="UJI59"/>
      <c r="UJJ59"/>
      <c r="UJK59"/>
      <c r="UJL59"/>
      <c r="UJM59"/>
      <c r="UJN59"/>
      <c r="UJO59"/>
      <c r="UJP59"/>
      <c r="UJQ59"/>
      <c r="UJR59"/>
      <c r="UJS59"/>
      <c r="UJT59"/>
      <c r="UJU59"/>
      <c r="UJV59"/>
      <c r="UJW59"/>
      <c r="UJX59"/>
      <c r="UJY59"/>
      <c r="UJZ59"/>
      <c r="UKA59"/>
      <c r="UKB59"/>
      <c r="UKC59"/>
      <c r="UKD59"/>
      <c r="UKE59"/>
      <c r="UKF59"/>
      <c r="UKG59"/>
      <c r="UKH59"/>
      <c r="UKI59"/>
      <c r="UKJ59"/>
      <c r="UKK59"/>
      <c r="UKL59"/>
      <c r="UKM59"/>
      <c r="UKN59"/>
      <c r="UKO59"/>
      <c r="UKP59"/>
      <c r="UKQ59"/>
      <c r="UKR59"/>
      <c r="UKS59"/>
      <c r="UKT59"/>
      <c r="UKU59"/>
      <c r="UKV59"/>
      <c r="UKW59"/>
      <c r="UKX59"/>
      <c r="UKY59"/>
      <c r="UKZ59"/>
      <c r="ULA59"/>
      <c r="ULB59"/>
      <c r="ULC59"/>
      <c r="ULD59"/>
      <c r="ULE59"/>
      <c r="ULF59"/>
      <c r="ULG59"/>
      <c r="ULH59"/>
      <c r="ULI59"/>
      <c r="ULJ59"/>
      <c r="ULK59"/>
      <c r="ULL59"/>
      <c r="ULM59"/>
      <c r="ULN59"/>
      <c r="ULO59"/>
      <c r="ULP59"/>
      <c r="ULQ59"/>
      <c r="ULR59"/>
      <c r="ULS59"/>
      <c r="ULT59"/>
      <c r="ULU59"/>
      <c r="ULV59"/>
      <c r="ULW59"/>
      <c r="ULX59"/>
      <c r="ULY59"/>
      <c r="ULZ59"/>
      <c r="UMA59"/>
      <c r="UMB59"/>
      <c r="UMC59"/>
      <c r="UMD59"/>
      <c r="UME59"/>
      <c r="UMF59"/>
      <c r="UMG59"/>
      <c r="UMH59"/>
      <c r="UMI59"/>
      <c r="UMJ59"/>
      <c r="UMK59"/>
      <c r="UML59"/>
      <c r="UMM59"/>
      <c r="UMN59"/>
      <c r="UMO59"/>
      <c r="UMP59"/>
      <c r="UMQ59"/>
      <c r="UMR59"/>
      <c r="UMS59"/>
      <c r="UMT59"/>
      <c r="UMU59"/>
      <c r="UMV59"/>
      <c r="UMW59"/>
      <c r="UMX59"/>
      <c r="UMY59"/>
      <c r="UMZ59"/>
      <c r="UNA59"/>
      <c r="UNB59"/>
      <c r="UNC59"/>
      <c r="UND59"/>
      <c r="UNE59"/>
      <c r="UNF59"/>
      <c r="UNG59"/>
      <c r="UNH59"/>
      <c r="UNI59"/>
      <c r="UNJ59"/>
      <c r="UNK59"/>
      <c r="UNL59"/>
      <c r="UNM59"/>
      <c r="UNN59"/>
      <c r="UNO59"/>
      <c r="UNP59"/>
      <c r="UNQ59"/>
      <c r="UNR59"/>
      <c r="UNS59"/>
      <c r="UNT59"/>
      <c r="UNU59"/>
      <c r="UNV59"/>
      <c r="UNW59"/>
      <c r="UNX59"/>
      <c r="UNY59"/>
      <c r="UNZ59"/>
      <c r="UOA59"/>
      <c r="UOB59"/>
      <c r="UOC59"/>
      <c r="UOD59"/>
      <c r="UOE59"/>
      <c r="UOF59"/>
      <c r="UOG59"/>
      <c r="UOH59"/>
      <c r="UOI59"/>
      <c r="UOJ59"/>
      <c r="UOK59"/>
      <c r="UOL59"/>
      <c r="UOM59"/>
      <c r="UON59"/>
      <c r="UOO59"/>
      <c r="UOP59"/>
      <c r="UOQ59"/>
      <c r="UOR59"/>
      <c r="UOS59"/>
      <c r="UOT59"/>
      <c r="UOU59"/>
      <c r="UOV59"/>
      <c r="UOW59"/>
      <c r="UOX59"/>
      <c r="UOY59"/>
      <c r="UOZ59"/>
      <c r="UPA59"/>
      <c r="UPB59"/>
      <c r="UPC59"/>
      <c r="UPD59"/>
      <c r="UPE59"/>
      <c r="UPF59"/>
      <c r="UPG59"/>
      <c r="UPH59"/>
      <c r="UPI59"/>
      <c r="UPJ59"/>
      <c r="UPK59"/>
      <c r="UPL59"/>
      <c r="UPM59"/>
      <c r="UPN59"/>
      <c r="UPO59"/>
      <c r="UPP59"/>
      <c r="UPQ59"/>
      <c r="UPR59"/>
      <c r="UPS59"/>
      <c r="UPT59"/>
      <c r="UPU59"/>
      <c r="UPV59"/>
      <c r="UPW59"/>
      <c r="UPX59"/>
      <c r="UPY59"/>
      <c r="UPZ59"/>
      <c r="UQA59"/>
      <c r="UQB59"/>
      <c r="UQC59"/>
      <c r="UQD59"/>
      <c r="UQE59"/>
      <c r="UQF59"/>
      <c r="UQG59"/>
      <c r="UQH59"/>
      <c r="UQI59"/>
      <c r="UQJ59"/>
      <c r="UQK59"/>
      <c r="UQL59"/>
      <c r="UQM59"/>
      <c r="UQN59"/>
      <c r="UQO59"/>
      <c r="UQP59"/>
      <c r="UQQ59"/>
      <c r="UQR59"/>
      <c r="UQS59"/>
      <c r="UQT59"/>
      <c r="UQU59"/>
      <c r="UQV59"/>
      <c r="UQW59"/>
      <c r="UQX59"/>
      <c r="UQY59"/>
      <c r="UQZ59"/>
      <c r="URA59"/>
      <c r="URB59"/>
      <c r="URC59"/>
      <c r="URD59"/>
      <c r="URE59"/>
      <c r="URF59"/>
      <c r="URG59"/>
      <c r="URH59"/>
      <c r="URI59"/>
      <c r="URJ59"/>
      <c r="URK59"/>
      <c r="URL59"/>
      <c r="URM59"/>
      <c r="URN59"/>
      <c r="URO59"/>
      <c r="URP59"/>
      <c r="URQ59"/>
      <c r="URR59"/>
      <c r="URS59"/>
      <c r="URT59"/>
      <c r="URU59"/>
      <c r="URV59"/>
      <c r="URW59"/>
      <c r="URX59"/>
      <c r="URY59"/>
      <c r="URZ59"/>
      <c r="USA59"/>
      <c r="USB59"/>
      <c r="USC59"/>
      <c r="USD59"/>
      <c r="USE59"/>
      <c r="USF59"/>
      <c r="USG59"/>
      <c r="USH59"/>
      <c r="USI59"/>
      <c r="USJ59"/>
      <c r="USK59"/>
      <c r="USL59"/>
      <c r="USM59"/>
      <c r="USN59"/>
      <c r="USO59"/>
      <c r="USP59"/>
      <c r="USQ59"/>
      <c r="USR59"/>
      <c r="USS59"/>
      <c r="UST59"/>
      <c r="USU59"/>
      <c r="USV59"/>
      <c r="USW59"/>
      <c r="USX59"/>
      <c r="USY59"/>
      <c r="USZ59"/>
      <c r="UTA59"/>
      <c r="UTB59"/>
      <c r="UTC59"/>
      <c r="UTD59"/>
      <c r="UTE59"/>
      <c r="UTF59"/>
      <c r="UTG59"/>
      <c r="UTH59"/>
      <c r="UTI59"/>
      <c r="UTJ59"/>
      <c r="UTK59"/>
      <c r="UTL59"/>
      <c r="UTM59"/>
      <c r="UTN59"/>
      <c r="UTO59"/>
      <c r="UTP59"/>
      <c r="UTQ59"/>
      <c r="UTR59"/>
      <c r="UTS59"/>
      <c r="UTT59"/>
      <c r="UTU59"/>
      <c r="UTV59"/>
      <c r="UTW59"/>
      <c r="UTX59"/>
      <c r="UTY59"/>
      <c r="UTZ59"/>
      <c r="UUA59"/>
      <c r="UUB59"/>
      <c r="UUC59"/>
      <c r="UUD59"/>
      <c r="UUE59"/>
      <c r="UUF59"/>
      <c r="UUG59"/>
      <c r="UUH59"/>
      <c r="UUI59"/>
      <c r="UUJ59"/>
      <c r="UUK59"/>
      <c r="UUL59"/>
      <c r="UUM59"/>
      <c r="UUN59"/>
      <c r="UUO59"/>
      <c r="UUP59"/>
      <c r="UUQ59"/>
      <c r="UUR59"/>
      <c r="UUS59"/>
      <c r="UUT59"/>
      <c r="UUU59"/>
      <c r="UUV59"/>
      <c r="UUW59"/>
      <c r="UUX59"/>
      <c r="UUY59"/>
      <c r="UUZ59"/>
      <c r="UVA59"/>
      <c r="UVB59"/>
      <c r="UVC59"/>
      <c r="UVD59"/>
      <c r="UVE59"/>
      <c r="UVF59"/>
      <c r="UVG59"/>
      <c r="UVH59"/>
      <c r="UVI59"/>
      <c r="UVJ59"/>
      <c r="UVK59"/>
      <c r="UVL59"/>
      <c r="UVM59"/>
      <c r="UVN59"/>
      <c r="UVO59"/>
      <c r="UVP59"/>
      <c r="UVQ59"/>
      <c r="UVR59"/>
      <c r="UVS59"/>
      <c r="UVT59"/>
      <c r="UVU59"/>
      <c r="UVV59"/>
      <c r="UVW59"/>
      <c r="UVX59"/>
      <c r="UVY59"/>
      <c r="UVZ59"/>
      <c r="UWA59"/>
      <c r="UWB59"/>
      <c r="UWC59"/>
      <c r="UWD59"/>
      <c r="UWE59"/>
      <c r="UWF59"/>
      <c r="UWG59"/>
      <c r="UWH59"/>
      <c r="UWI59"/>
      <c r="UWJ59"/>
      <c r="UWK59"/>
      <c r="UWL59"/>
      <c r="UWM59"/>
      <c r="UWN59"/>
      <c r="UWO59"/>
      <c r="UWP59"/>
      <c r="UWQ59"/>
      <c r="UWR59"/>
      <c r="UWS59"/>
      <c r="UWT59"/>
      <c r="UWU59"/>
      <c r="UWV59"/>
      <c r="UWW59"/>
      <c r="UWX59"/>
      <c r="UWY59"/>
      <c r="UWZ59"/>
      <c r="UXA59"/>
      <c r="UXB59"/>
      <c r="UXC59"/>
      <c r="UXD59"/>
      <c r="UXE59"/>
      <c r="UXF59"/>
      <c r="UXG59"/>
      <c r="UXH59"/>
      <c r="UXI59"/>
      <c r="UXJ59"/>
      <c r="UXK59"/>
      <c r="UXL59"/>
      <c r="UXM59"/>
      <c r="UXN59"/>
      <c r="UXO59"/>
      <c r="UXP59"/>
      <c r="UXQ59"/>
      <c r="UXR59"/>
      <c r="UXS59"/>
      <c r="UXT59"/>
      <c r="UXU59"/>
      <c r="UXV59"/>
      <c r="UXW59"/>
      <c r="UXX59"/>
      <c r="UXY59"/>
      <c r="UXZ59"/>
      <c r="UYA59"/>
      <c r="UYB59"/>
      <c r="UYC59"/>
      <c r="UYD59"/>
      <c r="UYE59"/>
      <c r="UYF59"/>
      <c r="UYG59"/>
      <c r="UYH59"/>
      <c r="UYI59"/>
      <c r="UYJ59"/>
      <c r="UYK59"/>
      <c r="UYL59"/>
      <c r="UYM59"/>
      <c r="UYN59"/>
      <c r="UYO59"/>
      <c r="UYP59"/>
      <c r="UYQ59"/>
      <c r="UYR59"/>
      <c r="UYS59"/>
      <c r="UYT59"/>
      <c r="UYU59"/>
      <c r="UYV59"/>
      <c r="UYW59"/>
      <c r="UYX59"/>
      <c r="UYY59"/>
      <c r="UYZ59"/>
      <c r="UZA59"/>
      <c r="UZB59"/>
      <c r="UZC59"/>
      <c r="UZD59"/>
      <c r="UZE59"/>
      <c r="UZF59"/>
      <c r="UZG59"/>
      <c r="UZH59"/>
      <c r="UZI59"/>
      <c r="UZJ59"/>
      <c r="UZK59"/>
      <c r="UZL59"/>
      <c r="UZM59"/>
      <c r="UZN59"/>
      <c r="UZO59"/>
      <c r="UZP59"/>
      <c r="UZQ59"/>
      <c r="UZR59"/>
      <c r="UZS59"/>
      <c r="UZT59"/>
      <c r="UZU59"/>
      <c r="UZV59"/>
      <c r="UZW59"/>
      <c r="UZX59"/>
      <c r="UZY59"/>
      <c r="UZZ59"/>
      <c r="VAA59"/>
      <c r="VAB59"/>
      <c r="VAC59"/>
      <c r="VAD59"/>
      <c r="VAE59"/>
      <c r="VAF59"/>
      <c r="VAG59"/>
      <c r="VAH59"/>
      <c r="VAI59"/>
      <c r="VAJ59"/>
      <c r="VAK59"/>
      <c r="VAL59"/>
      <c r="VAM59"/>
      <c r="VAN59"/>
      <c r="VAO59"/>
      <c r="VAP59"/>
      <c r="VAQ59"/>
      <c r="VAR59"/>
      <c r="VAS59"/>
      <c r="VAT59"/>
      <c r="VAU59"/>
      <c r="VAV59"/>
      <c r="VAW59"/>
      <c r="VAX59"/>
      <c r="VAY59"/>
      <c r="VAZ59"/>
      <c r="VBA59"/>
      <c r="VBB59"/>
      <c r="VBC59"/>
      <c r="VBD59"/>
      <c r="VBE59"/>
      <c r="VBF59"/>
      <c r="VBG59"/>
      <c r="VBH59"/>
      <c r="VBI59"/>
      <c r="VBJ59"/>
      <c r="VBK59"/>
      <c r="VBL59"/>
      <c r="VBM59"/>
      <c r="VBN59"/>
      <c r="VBO59"/>
      <c r="VBP59"/>
      <c r="VBQ59"/>
      <c r="VBR59"/>
      <c r="VBS59"/>
      <c r="VBT59"/>
      <c r="VBU59"/>
      <c r="VBV59"/>
      <c r="VBW59"/>
      <c r="VBX59"/>
      <c r="VBY59"/>
      <c r="VBZ59"/>
      <c r="VCA59"/>
      <c r="VCB59"/>
      <c r="VCC59"/>
      <c r="VCD59"/>
      <c r="VCE59"/>
      <c r="VCF59"/>
      <c r="VCG59"/>
      <c r="VCH59"/>
      <c r="VCI59"/>
      <c r="VCJ59"/>
      <c r="VCK59"/>
      <c r="VCL59"/>
      <c r="VCM59"/>
      <c r="VCN59"/>
      <c r="VCO59"/>
      <c r="VCP59"/>
      <c r="VCQ59"/>
      <c r="VCR59"/>
      <c r="VCS59"/>
      <c r="VCT59"/>
      <c r="VCU59"/>
      <c r="VCV59"/>
      <c r="VCW59"/>
      <c r="VCX59"/>
      <c r="VCY59"/>
      <c r="VCZ59"/>
      <c r="VDA59"/>
      <c r="VDB59"/>
      <c r="VDC59"/>
      <c r="VDD59"/>
      <c r="VDE59"/>
      <c r="VDF59"/>
      <c r="VDG59"/>
      <c r="VDH59"/>
      <c r="VDI59"/>
      <c r="VDJ59"/>
      <c r="VDK59"/>
      <c r="VDL59"/>
      <c r="VDM59"/>
      <c r="VDN59"/>
      <c r="VDO59"/>
      <c r="VDP59"/>
      <c r="VDQ59"/>
      <c r="VDR59"/>
      <c r="VDS59"/>
      <c r="VDT59"/>
      <c r="VDU59"/>
      <c r="VDV59"/>
      <c r="VDW59"/>
      <c r="VDX59"/>
      <c r="VDY59"/>
      <c r="VDZ59"/>
      <c r="VEA59"/>
      <c r="VEB59"/>
      <c r="VEC59"/>
      <c r="VED59"/>
      <c r="VEE59"/>
      <c r="VEF59"/>
      <c r="VEG59"/>
      <c r="VEH59"/>
      <c r="VEI59"/>
      <c r="VEJ59"/>
      <c r="VEK59"/>
      <c r="VEL59"/>
      <c r="VEM59"/>
      <c r="VEN59"/>
      <c r="VEO59"/>
      <c r="VEP59"/>
      <c r="VEQ59"/>
      <c r="VER59"/>
      <c r="VES59"/>
      <c r="VET59"/>
      <c r="VEU59"/>
      <c r="VEV59"/>
      <c r="VEW59"/>
      <c r="VEX59"/>
      <c r="VEY59"/>
      <c r="VEZ59"/>
      <c r="VFA59"/>
      <c r="VFB59"/>
      <c r="VFC59"/>
      <c r="VFD59"/>
      <c r="VFE59"/>
      <c r="VFF59"/>
      <c r="VFG59"/>
      <c r="VFH59"/>
      <c r="VFI59"/>
      <c r="VFJ59"/>
      <c r="VFK59"/>
      <c r="VFL59"/>
      <c r="VFM59"/>
      <c r="VFN59"/>
      <c r="VFO59"/>
      <c r="VFP59"/>
      <c r="VFQ59"/>
      <c r="VFR59"/>
      <c r="VFS59"/>
      <c r="VFT59"/>
      <c r="VFU59"/>
      <c r="VFV59"/>
      <c r="VFW59"/>
      <c r="VFX59"/>
      <c r="VFY59"/>
      <c r="VFZ59"/>
      <c r="VGA59"/>
      <c r="VGB59"/>
      <c r="VGC59"/>
      <c r="VGD59"/>
      <c r="VGE59"/>
      <c r="VGF59"/>
      <c r="VGG59"/>
      <c r="VGH59"/>
      <c r="VGI59"/>
      <c r="VGJ59"/>
      <c r="VGK59"/>
      <c r="VGL59"/>
      <c r="VGM59"/>
      <c r="VGN59"/>
      <c r="VGO59"/>
      <c r="VGP59"/>
      <c r="VGQ59"/>
      <c r="VGR59"/>
      <c r="VGS59"/>
      <c r="VGT59"/>
      <c r="VGU59"/>
      <c r="VGV59"/>
      <c r="VGW59"/>
      <c r="VGX59"/>
      <c r="VGY59"/>
      <c r="VGZ59"/>
      <c r="VHA59"/>
      <c r="VHB59"/>
      <c r="VHC59"/>
      <c r="VHD59"/>
      <c r="VHE59"/>
      <c r="VHF59"/>
      <c r="VHG59"/>
      <c r="VHH59"/>
      <c r="VHI59"/>
      <c r="VHJ59"/>
      <c r="VHK59"/>
      <c r="VHL59"/>
      <c r="VHM59"/>
      <c r="VHN59"/>
      <c r="VHO59"/>
      <c r="VHP59"/>
      <c r="VHQ59"/>
      <c r="VHR59"/>
      <c r="VHS59"/>
      <c r="VHT59"/>
      <c r="VHU59"/>
      <c r="VHV59"/>
      <c r="VHW59"/>
      <c r="VHX59"/>
      <c r="VHY59"/>
      <c r="VHZ59"/>
      <c r="VIA59"/>
      <c r="VIB59"/>
      <c r="VIC59"/>
      <c r="VID59"/>
      <c r="VIE59"/>
      <c r="VIF59"/>
      <c r="VIG59"/>
      <c r="VIH59"/>
      <c r="VII59"/>
      <c r="VIJ59"/>
      <c r="VIK59"/>
      <c r="VIL59"/>
      <c r="VIM59"/>
      <c r="VIN59"/>
      <c r="VIO59"/>
      <c r="VIP59"/>
      <c r="VIQ59"/>
      <c r="VIR59"/>
      <c r="VIS59"/>
      <c r="VIT59"/>
      <c r="VIU59"/>
      <c r="VIV59"/>
      <c r="VIW59"/>
      <c r="VIX59"/>
      <c r="VIY59"/>
      <c r="VIZ59"/>
      <c r="VJA59"/>
      <c r="VJB59"/>
      <c r="VJC59"/>
      <c r="VJD59"/>
      <c r="VJE59"/>
      <c r="VJF59"/>
      <c r="VJG59"/>
      <c r="VJH59"/>
      <c r="VJI59"/>
      <c r="VJJ59"/>
      <c r="VJK59"/>
      <c r="VJL59"/>
      <c r="VJM59"/>
      <c r="VJN59"/>
      <c r="VJO59"/>
      <c r="VJP59"/>
      <c r="VJQ59"/>
      <c r="VJR59"/>
      <c r="VJS59"/>
      <c r="VJT59"/>
      <c r="VJU59"/>
      <c r="VJV59"/>
      <c r="VJW59"/>
      <c r="VJX59"/>
      <c r="VJY59"/>
      <c r="VJZ59"/>
      <c r="VKA59"/>
      <c r="VKB59"/>
      <c r="VKC59"/>
      <c r="VKD59"/>
      <c r="VKE59"/>
      <c r="VKF59"/>
      <c r="VKG59"/>
      <c r="VKH59"/>
      <c r="VKI59"/>
      <c r="VKJ59"/>
      <c r="VKK59"/>
      <c r="VKL59"/>
      <c r="VKM59"/>
      <c r="VKN59"/>
      <c r="VKO59"/>
      <c r="VKP59"/>
      <c r="VKQ59"/>
      <c r="VKR59"/>
      <c r="VKS59"/>
      <c r="VKT59"/>
      <c r="VKU59"/>
      <c r="VKV59"/>
      <c r="VKW59"/>
      <c r="VKX59"/>
      <c r="VKY59"/>
      <c r="VKZ59"/>
      <c r="VLA59"/>
      <c r="VLB59"/>
      <c r="VLC59"/>
      <c r="VLD59"/>
      <c r="VLE59"/>
      <c r="VLF59"/>
      <c r="VLG59"/>
      <c r="VLH59"/>
      <c r="VLI59"/>
      <c r="VLJ59"/>
      <c r="VLK59"/>
      <c r="VLL59"/>
      <c r="VLM59"/>
      <c r="VLN59"/>
      <c r="VLO59"/>
      <c r="VLP59"/>
      <c r="VLQ59"/>
      <c r="VLR59"/>
      <c r="VLS59"/>
      <c r="VLT59"/>
      <c r="VLU59"/>
      <c r="VLV59"/>
      <c r="VLW59"/>
      <c r="VLX59"/>
      <c r="VLY59"/>
      <c r="VLZ59"/>
      <c r="VMA59"/>
      <c r="VMB59"/>
      <c r="VMC59"/>
      <c r="VMD59"/>
      <c r="VME59"/>
      <c r="VMF59"/>
      <c r="VMG59"/>
      <c r="VMH59"/>
      <c r="VMI59"/>
      <c r="VMJ59"/>
      <c r="VMK59"/>
      <c r="VML59"/>
      <c r="VMM59"/>
      <c r="VMN59"/>
      <c r="VMO59"/>
      <c r="VMP59"/>
      <c r="VMQ59"/>
      <c r="VMR59"/>
      <c r="VMS59"/>
      <c r="VMT59"/>
      <c r="VMU59"/>
      <c r="VMV59"/>
      <c r="VMW59"/>
      <c r="VMX59"/>
      <c r="VMY59"/>
      <c r="VMZ59"/>
      <c r="VNA59"/>
      <c r="VNB59"/>
      <c r="VNC59"/>
      <c r="VND59"/>
      <c r="VNE59"/>
      <c r="VNF59"/>
      <c r="VNG59"/>
      <c r="VNH59"/>
      <c r="VNI59"/>
      <c r="VNJ59"/>
      <c r="VNK59"/>
      <c r="VNL59"/>
      <c r="VNM59"/>
      <c r="VNN59"/>
      <c r="VNO59"/>
      <c r="VNP59"/>
      <c r="VNQ59"/>
      <c r="VNR59"/>
      <c r="VNS59"/>
      <c r="VNT59"/>
      <c r="VNU59"/>
      <c r="VNV59"/>
      <c r="VNW59"/>
      <c r="VNX59"/>
      <c r="VNY59"/>
      <c r="VNZ59"/>
      <c r="VOA59"/>
      <c r="VOB59"/>
      <c r="VOC59"/>
      <c r="VOD59"/>
      <c r="VOE59"/>
      <c r="VOF59"/>
      <c r="VOG59"/>
      <c r="VOH59"/>
      <c r="VOI59"/>
      <c r="VOJ59"/>
      <c r="VOK59"/>
      <c r="VOL59"/>
      <c r="VOM59"/>
      <c r="VON59"/>
      <c r="VOO59"/>
      <c r="VOP59"/>
      <c r="VOQ59"/>
      <c r="VOR59"/>
      <c r="VOS59"/>
      <c r="VOT59"/>
      <c r="VOU59"/>
      <c r="VOV59"/>
      <c r="VOW59"/>
      <c r="VOX59"/>
      <c r="VOY59"/>
      <c r="VOZ59"/>
      <c r="VPA59"/>
      <c r="VPB59"/>
      <c r="VPC59"/>
      <c r="VPD59"/>
      <c r="VPE59"/>
      <c r="VPF59"/>
      <c r="VPG59"/>
      <c r="VPH59"/>
      <c r="VPI59"/>
      <c r="VPJ59"/>
      <c r="VPK59"/>
      <c r="VPL59"/>
      <c r="VPM59"/>
      <c r="VPN59"/>
      <c r="VPO59"/>
      <c r="VPP59"/>
      <c r="VPQ59"/>
      <c r="VPR59"/>
      <c r="VPS59"/>
      <c r="VPT59"/>
      <c r="VPU59"/>
      <c r="VPV59"/>
      <c r="VPW59"/>
      <c r="VPX59"/>
      <c r="VPY59"/>
      <c r="VPZ59"/>
      <c r="VQA59"/>
      <c r="VQB59"/>
      <c r="VQC59"/>
      <c r="VQD59"/>
      <c r="VQE59"/>
      <c r="VQF59"/>
      <c r="VQG59"/>
      <c r="VQH59"/>
      <c r="VQI59"/>
      <c r="VQJ59"/>
      <c r="VQK59"/>
      <c r="VQL59"/>
      <c r="VQM59"/>
      <c r="VQN59"/>
      <c r="VQO59"/>
      <c r="VQP59"/>
      <c r="VQQ59"/>
      <c r="VQR59"/>
      <c r="VQS59"/>
      <c r="VQT59"/>
      <c r="VQU59"/>
      <c r="VQV59"/>
      <c r="VQW59"/>
      <c r="VQX59"/>
      <c r="VQY59"/>
      <c r="VQZ59"/>
      <c r="VRA59"/>
      <c r="VRB59"/>
      <c r="VRC59"/>
      <c r="VRD59"/>
      <c r="VRE59"/>
      <c r="VRF59"/>
      <c r="VRG59"/>
      <c r="VRH59"/>
      <c r="VRI59"/>
      <c r="VRJ59"/>
      <c r="VRK59"/>
      <c r="VRL59"/>
      <c r="VRM59"/>
      <c r="VRN59"/>
      <c r="VRO59"/>
      <c r="VRP59"/>
      <c r="VRQ59"/>
      <c r="VRR59"/>
      <c r="VRS59"/>
      <c r="VRT59"/>
      <c r="VRU59"/>
      <c r="VRV59"/>
      <c r="VRW59"/>
      <c r="VRX59"/>
      <c r="VRY59"/>
      <c r="VRZ59"/>
      <c r="VSA59"/>
      <c r="VSB59"/>
      <c r="VSC59"/>
      <c r="VSD59"/>
      <c r="VSE59"/>
      <c r="VSF59"/>
      <c r="VSG59"/>
      <c r="VSH59"/>
      <c r="VSI59"/>
      <c r="VSJ59"/>
      <c r="VSK59"/>
      <c r="VSL59"/>
      <c r="VSM59"/>
      <c r="VSN59"/>
      <c r="VSO59"/>
      <c r="VSP59"/>
      <c r="VSQ59"/>
      <c r="VSR59"/>
      <c r="VSS59"/>
      <c r="VST59"/>
      <c r="VSU59"/>
      <c r="VSV59"/>
      <c r="VSW59"/>
      <c r="VSX59"/>
      <c r="VSY59"/>
      <c r="VSZ59"/>
      <c r="VTA59"/>
      <c r="VTB59"/>
      <c r="VTC59"/>
      <c r="VTD59"/>
      <c r="VTE59"/>
      <c r="VTF59"/>
      <c r="VTG59"/>
      <c r="VTH59"/>
      <c r="VTI59"/>
      <c r="VTJ59"/>
      <c r="VTK59"/>
      <c r="VTL59"/>
      <c r="VTM59"/>
      <c r="VTN59"/>
      <c r="VTO59"/>
      <c r="VTP59"/>
      <c r="VTQ59"/>
      <c r="VTR59"/>
      <c r="VTS59"/>
      <c r="VTT59"/>
      <c r="VTU59"/>
      <c r="VTV59"/>
      <c r="VTW59"/>
      <c r="VTX59"/>
      <c r="VTY59"/>
      <c r="VTZ59"/>
      <c r="VUA59"/>
      <c r="VUB59"/>
      <c r="VUC59"/>
      <c r="VUD59"/>
      <c r="VUE59"/>
      <c r="VUF59"/>
      <c r="VUG59"/>
      <c r="VUH59"/>
      <c r="VUI59"/>
      <c r="VUJ59"/>
      <c r="VUK59"/>
      <c r="VUL59"/>
      <c r="VUM59"/>
      <c r="VUN59"/>
      <c r="VUO59"/>
      <c r="VUP59"/>
      <c r="VUQ59"/>
      <c r="VUR59"/>
      <c r="VUS59"/>
      <c r="VUT59"/>
      <c r="VUU59"/>
      <c r="VUV59"/>
      <c r="VUW59"/>
      <c r="VUX59"/>
      <c r="VUY59"/>
      <c r="VUZ59"/>
      <c r="VVA59"/>
      <c r="VVB59"/>
      <c r="VVC59"/>
      <c r="VVD59"/>
      <c r="VVE59"/>
      <c r="VVF59"/>
      <c r="VVG59"/>
      <c r="VVH59"/>
      <c r="VVI59"/>
      <c r="VVJ59"/>
      <c r="VVK59"/>
      <c r="VVL59"/>
      <c r="VVM59"/>
      <c r="VVN59"/>
      <c r="VVO59"/>
      <c r="VVP59"/>
      <c r="VVQ59"/>
      <c r="VVR59"/>
      <c r="VVS59"/>
      <c r="VVT59"/>
      <c r="VVU59"/>
      <c r="VVV59"/>
      <c r="VVW59"/>
      <c r="VVX59"/>
      <c r="VVY59"/>
      <c r="VVZ59"/>
      <c r="VWA59"/>
      <c r="VWB59"/>
      <c r="VWC59"/>
      <c r="VWD59"/>
      <c r="VWE59"/>
      <c r="VWF59"/>
      <c r="VWG59"/>
      <c r="VWH59"/>
      <c r="VWI59"/>
      <c r="VWJ59"/>
      <c r="VWK59"/>
      <c r="VWL59"/>
      <c r="VWM59"/>
      <c r="VWN59"/>
      <c r="VWO59"/>
      <c r="VWP59"/>
      <c r="VWQ59"/>
      <c r="VWR59"/>
      <c r="VWS59"/>
      <c r="VWT59"/>
      <c r="VWU59"/>
      <c r="VWV59"/>
      <c r="VWW59"/>
      <c r="VWX59"/>
      <c r="VWY59"/>
      <c r="VWZ59"/>
      <c r="VXA59"/>
      <c r="VXB59"/>
      <c r="VXC59"/>
      <c r="VXD59"/>
      <c r="VXE59"/>
      <c r="VXF59"/>
      <c r="VXG59"/>
      <c r="VXH59"/>
      <c r="VXI59"/>
      <c r="VXJ59"/>
      <c r="VXK59"/>
      <c r="VXL59"/>
      <c r="VXM59"/>
      <c r="VXN59"/>
      <c r="VXO59"/>
      <c r="VXP59"/>
      <c r="VXQ59"/>
      <c r="VXR59"/>
      <c r="VXS59"/>
      <c r="VXT59"/>
      <c r="VXU59"/>
      <c r="VXV59"/>
      <c r="VXW59"/>
      <c r="VXX59"/>
      <c r="VXY59"/>
      <c r="VXZ59"/>
      <c r="VYA59"/>
      <c r="VYB59"/>
      <c r="VYC59"/>
      <c r="VYD59"/>
      <c r="VYE59"/>
      <c r="VYF59"/>
      <c r="VYG59"/>
      <c r="VYH59"/>
      <c r="VYI59"/>
      <c r="VYJ59"/>
      <c r="VYK59"/>
      <c r="VYL59"/>
      <c r="VYM59"/>
      <c r="VYN59"/>
      <c r="VYO59"/>
      <c r="VYP59"/>
      <c r="VYQ59"/>
      <c r="VYR59"/>
      <c r="VYS59"/>
      <c r="VYT59"/>
      <c r="VYU59"/>
      <c r="VYV59"/>
      <c r="VYW59"/>
      <c r="VYX59"/>
      <c r="VYY59"/>
      <c r="VYZ59"/>
      <c r="VZA59"/>
      <c r="VZB59"/>
      <c r="VZC59"/>
      <c r="VZD59"/>
      <c r="VZE59"/>
      <c r="VZF59"/>
      <c r="VZG59"/>
      <c r="VZH59"/>
      <c r="VZI59"/>
      <c r="VZJ59"/>
      <c r="VZK59"/>
      <c r="VZL59"/>
      <c r="VZM59"/>
      <c r="VZN59"/>
      <c r="VZO59"/>
      <c r="VZP59"/>
      <c r="VZQ59"/>
      <c r="VZR59"/>
      <c r="VZS59"/>
      <c r="VZT59"/>
      <c r="VZU59"/>
      <c r="VZV59"/>
      <c r="VZW59"/>
      <c r="VZX59"/>
      <c r="VZY59"/>
      <c r="VZZ59"/>
      <c r="WAA59"/>
      <c r="WAB59"/>
      <c r="WAC59"/>
      <c r="WAD59"/>
      <c r="WAE59"/>
      <c r="WAF59"/>
      <c r="WAG59"/>
      <c r="WAH59"/>
      <c r="WAI59"/>
      <c r="WAJ59"/>
      <c r="WAK59"/>
      <c r="WAL59"/>
      <c r="WAM59"/>
      <c r="WAN59"/>
      <c r="WAO59"/>
      <c r="WAP59"/>
      <c r="WAQ59"/>
      <c r="WAR59"/>
      <c r="WAS59"/>
      <c r="WAT59"/>
      <c r="WAU59"/>
      <c r="WAV59"/>
      <c r="WAW59"/>
      <c r="WAX59"/>
      <c r="WAY59"/>
      <c r="WAZ59"/>
      <c r="WBA59"/>
      <c r="WBB59"/>
      <c r="WBC59"/>
      <c r="WBD59"/>
      <c r="WBE59"/>
      <c r="WBF59"/>
      <c r="WBG59"/>
      <c r="WBH59"/>
      <c r="WBI59"/>
      <c r="WBJ59"/>
      <c r="WBK59"/>
      <c r="WBL59"/>
      <c r="WBM59"/>
      <c r="WBN59"/>
      <c r="WBO59"/>
      <c r="WBP59"/>
      <c r="WBQ59"/>
      <c r="WBR59"/>
      <c r="WBS59"/>
      <c r="WBT59"/>
      <c r="WBU59"/>
      <c r="WBV59"/>
      <c r="WBW59"/>
      <c r="WBX59"/>
      <c r="WBY59"/>
      <c r="WBZ59"/>
      <c r="WCA59"/>
      <c r="WCB59"/>
      <c r="WCC59"/>
      <c r="WCD59"/>
      <c r="WCE59"/>
      <c r="WCF59"/>
      <c r="WCG59"/>
      <c r="WCH59"/>
      <c r="WCI59"/>
      <c r="WCJ59"/>
      <c r="WCK59"/>
      <c r="WCL59"/>
      <c r="WCM59"/>
      <c r="WCN59"/>
      <c r="WCO59"/>
      <c r="WCP59"/>
      <c r="WCQ59"/>
      <c r="WCR59"/>
      <c r="WCS59"/>
      <c r="WCT59"/>
      <c r="WCU59"/>
      <c r="WCV59"/>
      <c r="WCW59"/>
      <c r="WCX59"/>
      <c r="WCY59"/>
      <c r="WCZ59"/>
      <c r="WDA59"/>
      <c r="WDB59"/>
      <c r="WDC59"/>
      <c r="WDD59"/>
      <c r="WDE59"/>
      <c r="WDF59"/>
      <c r="WDG59"/>
      <c r="WDH59"/>
      <c r="WDI59"/>
      <c r="WDJ59"/>
      <c r="WDK59"/>
      <c r="WDL59"/>
      <c r="WDM59"/>
      <c r="WDN59"/>
      <c r="WDO59"/>
      <c r="WDP59"/>
      <c r="WDQ59"/>
      <c r="WDR59"/>
      <c r="WDS59"/>
      <c r="WDT59"/>
      <c r="WDU59"/>
      <c r="WDV59"/>
      <c r="WDW59"/>
      <c r="WDX59"/>
      <c r="WDY59"/>
      <c r="WDZ59"/>
      <c r="WEA59"/>
      <c r="WEB59"/>
      <c r="WEC59"/>
      <c r="WED59"/>
      <c r="WEE59"/>
      <c r="WEF59"/>
      <c r="WEG59"/>
      <c r="WEH59"/>
      <c r="WEI59"/>
      <c r="WEJ59"/>
      <c r="WEK59"/>
      <c r="WEL59"/>
      <c r="WEM59"/>
      <c r="WEN59"/>
      <c r="WEO59"/>
      <c r="WEP59"/>
      <c r="WEQ59"/>
      <c r="WER59"/>
      <c r="WES59"/>
      <c r="WET59"/>
      <c r="WEU59"/>
      <c r="WEV59"/>
      <c r="WEW59"/>
      <c r="WEX59"/>
      <c r="WEY59"/>
      <c r="WEZ59"/>
      <c r="WFA59"/>
      <c r="WFB59"/>
      <c r="WFC59"/>
      <c r="WFD59"/>
      <c r="WFE59"/>
      <c r="WFF59"/>
      <c r="WFG59"/>
      <c r="WFH59"/>
      <c r="WFI59"/>
      <c r="WFJ59"/>
      <c r="WFK59"/>
      <c r="WFL59"/>
      <c r="WFM59"/>
      <c r="WFN59"/>
      <c r="WFO59"/>
      <c r="WFP59"/>
      <c r="WFQ59"/>
      <c r="WFR59"/>
      <c r="WFS59"/>
      <c r="WFT59"/>
      <c r="WFU59"/>
      <c r="WFV59"/>
      <c r="WFW59"/>
      <c r="WFX59"/>
      <c r="WFY59"/>
      <c r="WFZ59"/>
      <c r="WGA59"/>
      <c r="WGB59"/>
      <c r="WGC59"/>
      <c r="WGD59"/>
      <c r="WGE59"/>
      <c r="WGF59"/>
      <c r="WGG59"/>
      <c r="WGH59"/>
      <c r="WGI59"/>
      <c r="WGJ59"/>
      <c r="WGK59"/>
      <c r="WGL59"/>
      <c r="WGM59"/>
      <c r="WGN59"/>
      <c r="WGO59"/>
      <c r="WGP59"/>
      <c r="WGQ59"/>
      <c r="WGR59"/>
      <c r="WGS59"/>
      <c r="WGT59"/>
      <c r="WGU59"/>
      <c r="WGV59"/>
      <c r="WGW59"/>
      <c r="WGX59"/>
      <c r="WGY59"/>
      <c r="WGZ59"/>
      <c r="WHA59"/>
      <c r="WHB59"/>
      <c r="WHC59"/>
      <c r="WHD59"/>
      <c r="WHE59"/>
      <c r="WHF59"/>
      <c r="WHG59"/>
      <c r="WHH59"/>
      <c r="WHI59"/>
      <c r="WHJ59"/>
      <c r="WHK59"/>
      <c r="WHL59"/>
      <c r="WHM59"/>
      <c r="WHN59"/>
      <c r="WHO59"/>
      <c r="WHP59"/>
      <c r="WHQ59"/>
      <c r="WHR59"/>
      <c r="WHS59"/>
      <c r="WHT59"/>
      <c r="WHU59"/>
      <c r="WHV59"/>
      <c r="WHW59"/>
      <c r="WHX59"/>
      <c r="WHY59"/>
      <c r="WHZ59"/>
      <c r="WIA59"/>
      <c r="WIB59"/>
      <c r="WIC59"/>
      <c r="WID59"/>
      <c r="WIE59"/>
      <c r="WIF59"/>
      <c r="WIG59"/>
      <c r="WIH59"/>
      <c r="WII59"/>
      <c r="WIJ59"/>
      <c r="WIK59"/>
      <c r="WIL59"/>
      <c r="WIM59"/>
      <c r="WIN59"/>
      <c r="WIO59"/>
      <c r="WIP59"/>
      <c r="WIQ59"/>
      <c r="WIR59"/>
      <c r="WIS59"/>
      <c r="WIT59"/>
      <c r="WIU59"/>
      <c r="WIV59"/>
      <c r="WIW59"/>
      <c r="WIX59"/>
      <c r="WIY59"/>
      <c r="WIZ59"/>
      <c r="WJA59"/>
      <c r="WJB59"/>
      <c r="WJC59"/>
      <c r="WJD59"/>
      <c r="WJE59"/>
      <c r="WJF59"/>
      <c r="WJG59"/>
      <c r="WJH59"/>
      <c r="WJI59"/>
      <c r="WJJ59"/>
      <c r="WJK59"/>
      <c r="WJL59"/>
      <c r="WJM59"/>
      <c r="WJN59"/>
      <c r="WJO59"/>
      <c r="WJP59"/>
      <c r="WJQ59"/>
      <c r="WJR59"/>
      <c r="WJS59"/>
      <c r="WJT59"/>
      <c r="WJU59"/>
      <c r="WJV59"/>
      <c r="WJW59"/>
      <c r="WJX59"/>
      <c r="WJY59"/>
      <c r="WJZ59"/>
      <c r="WKA59"/>
      <c r="WKB59"/>
      <c r="WKC59"/>
      <c r="WKD59"/>
      <c r="WKE59"/>
      <c r="WKF59"/>
      <c r="WKG59"/>
      <c r="WKH59"/>
      <c r="WKI59"/>
      <c r="WKJ59"/>
      <c r="WKK59"/>
      <c r="WKL59"/>
      <c r="WKM59"/>
      <c r="WKN59"/>
      <c r="WKO59"/>
      <c r="WKP59"/>
      <c r="WKQ59"/>
      <c r="WKR59"/>
      <c r="WKS59"/>
      <c r="WKT59"/>
      <c r="WKU59"/>
      <c r="WKV59"/>
      <c r="WKW59"/>
      <c r="WKX59"/>
      <c r="WKY59"/>
      <c r="WKZ59"/>
      <c r="WLA59"/>
      <c r="WLB59"/>
      <c r="WLC59"/>
      <c r="WLD59"/>
      <c r="WLE59"/>
      <c r="WLF59"/>
      <c r="WLG59"/>
      <c r="WLH59"/>
      <c r="WLI59"/>
      <c r="WLJ59"/>
      <c r="WLK59"/>
      <c r="WLL59"/>
      <c r="WLM59"/>
      <c r="WLN59"/>
      <c r="WLO59"/>
      <c r="WLP59"/>
      <c r="WLQ59"/>
      <c r="WLR59"/>
      <c r="WLS59"/>
      <c r="WLT59"/>
      <c r="WLU59"/>
      <c r="WLV59"/>
      <c r="WLW59"/>
      <c r="WLX59"/>
      <c r="WLY59"/>
      <c r="WLZ59"/>
      <c r="WMA59"/>
      <c r="WMB59"/>
      <c r="WMC59"/>
      <c r="WMD59"/>
      <c r="WME59"/>
      <c r="WMF59"/>
      <c r="WMG59"/>
      <c r="WMH59"/>
      <c r="WMI59"/>
      <c r="WMJ59"/>
      <c r="WMK59"/>
      <c r="WML59"/>
      <c r="WMM59"/>
      <c r="WMN59"/>
      <c r="WMO59"/>
      <c r="WMP59"/>
      <c r="WMQ59"/>
      <c r="WMR59"/>
      <c r="WMS59"/>
      <c r="WMT59"/>
      <c r="WMU59"/>
      <c r="WMV59"/>
      <c r="WMW59"/>
      <c r="WMX59"/>
      <c r="WMY59"/>
      <c r="WMZ59"/>
      <c r="WNA59"/>
      <c r="WNB59"/>
      <c r="WNC59"/>
      <c r="WND59"/>
      <c r="WNE59"/>
      <c r="WNF59"/>
      <c r="WNG59"/>
      <c r="WNH59"/>
      <c r="WNI59"/>
      <c r="WNJ59"/>
      <c r="WNK59"/>
      <c r="WNL59"/>
      <c r="WNM59"/>
      <c r="WNN59"/>
      <c r="WNO59"/>
      <c r="WNP59"/>
      <c r="WNQ59"/>
      <c r="WNR59"/>
      <c r="WNS59"/>
      <c r="WNT59"/>
      <c r="WNU59"/>
      <c r="WNV59"/>
      <c r="WNW59"/>
      <c r="WNX59"/>
      <c r="WNY59"/>
      <c r="WNZ59"/>
      <c r="WOA59"/>
      <c r="WOB59"/>
      <c r="WOC59"/>
      <c r="WOD59"/>
      <c r="WOE59"/>
      <c r="WOF59"/>
      <c r="WOG59"/>
      <c r="WOH59"/>
      <c r="WOI59"/>
      <c r="WOJ59"/>
      <c r="WOK59"/>
      <c r="WOL59"/>
      <c r="WOM59"/>
      <c r="WON59"/>
      <c r="WOO59"/>
      <c r="WOP59"/>
      <c r="WOQ59"/>
      <c r="WOR59"/>
      <c r="WOS59"/>
      <c r="WOT59"/>
      <c r="WOU59"/>
      <c r="WOV59"/>
      <c r="WOW59"/>
      <c r="WOX59"/>
      <c r="WOY59"/>
      <c r="WOZ59"/>
      <c r="WPA59"/>
      <c r="WPB59"/>
      <c r="WPC59"/>
      <c r="WPD59"/>
      <c r="WPE59"/>
      <c r="WPF59"/>
      <c r="WPG59"/>
      <c r="WPH59"/>
      <c r="WPI59"/>
      <c r="WPJ59"/>
      <c r="WPK59"/>
      <c r="WPL59"/>
      <c r="WPM59"/>
      <c r="WPN59"/>
      <c r="WPO59"/>
      <c r="WPP59"/>
      <c r="WPQ59"/>
      <c r="WPR59"/>
      <c r="WPS59"/>
      <c r="WPT59"/>
      <c r="WPU59"/>
      <c r="WPV59"/>
      <c r="WPW59"/>
      <c r="WPX59"/>
      <c r="WPY59"/>
      <c r="WPZ59"/>
      <c r="WQA59"/>
      <c r="WQB59"/>
      <c r="WQC59"/>
      <c r="WQD59"/>
      <c r="WQE59"/>
      <c r="WQF59"/>
      <c r="WQG59"/>
      <c r="WQH59"/>
      <c r="WQI59"/>
      <c r="WQJ59"/>
      <c r="WQK59"/>
      <c r="WQL59"/>
      <c r="WQM59"/>
      <c r="WQN59"/>
      <c r="WQO59"/>
      <c r="WQP59"/>
      <c r="WQQ59"/>
      <c r="WQR59"/>
      <c r="WQS59"/>
      <c r="WQT59"/>
      <c r="WQU59"/>
      <c r="WQV59"/>
      <c r="WQW59"/>
      <c r="WQX59"/>
      <c r="WQY59"/>
      <c r="WQZ59"/>
      <c r="WRA59"/>
      <c r="WRB59"/>
      <c r="WRC59"/>
      <c r="WRD59"/>
      <c r="WRE59"/>
      <c r="WRF59"/>
      <c r="WRG59"/>
      <c r="WRH59"/>
      <c r="WRI59"/>
      <c r="WRJ59"/>
      <c r="WRK59"/>
      <c r="WRL59"/>
      <c r="WRM59"/>
      <c r="WRN59"/>
      <c r="WRO59"/>
      <c r="WRP59"/>
      <c r="WRQ59"/>
      <c r="WRR59"/>
      <c r="WRS59"/>
      <c r="WRT59"/>
      <c r="WRU59"/>
      <c r="WRV59"/>
      <c r="WRW59"/>
      <c r="WRX59"/>
      <c r="WRY59"/>
      <c r="WRZ59"/>
      <c r="WSA59"/>
      <c r="WSB59"/>
      <c r="WSC59"/>
      <c r="WSD59"/>
      <c r="WSE59"/>
      <c r="WSF59"/>
      <c r="WSG59"/>
      <c r="WSH59"/>
      <c r="WSI59"/>
      <c r="WSJ59"/>
      <c r="WSK59"/>
      <c r="WSL59"/>
      <c r="WSM59"/>
      <c r="WSN59"/>
      <c r="WSO59"/>
      <c r="WSP59"/>
      <c r="WSQ59"/>
      <c r="WSR59"/>
      <c r="WSS59"/>
      <c r="WST59"/>
      <c r="WSU59"/>
      <c r="WSV59"/>
      <c r="WSW59"/>
      <c r="WSX59"/>
      <c r="WSY59"/>
      <c r="WSZ59"/>
      <c r="WTA59"/>
      <c r="WTB59"/>
      <c r="WTC59"/>
      <c r="WTD59"/>
      <c r="WTE59"/>
      <c r="WTF59"/>
      <c r="WTG59"/>
      <c r="WTH59"/>
      <c r="WTI59"/>
      <c r="WTJ59"/>
      <c r="WTK59"/>
      <c r="WTL59"/>
      <c r="WTM59"/>
      <c r="WTN59"/>
      <c r="WTO59"/>
      <c r="WTP59"/>
      <c r="WTQ59"/>
      <c r="WTR59"/>
      <c r="WTS59"/>
      <c r="WTT59"/>
      <c r="WTU59"/>
      <c r="WTV59"/>
      <c r="WTW59"/>
      <c r="WTX59"/>
      <c r="WTY59"/>
      <c r="WTZ59"/>
      <c r="WUA59"/>
      <c r="WUB59"/>
      <c r="WUC59"/>
      <c r="WUD59"/>
      <c r="WUE59"/>
      <c r="WUF59"/>
      <c r="WUG59"/>
      <c r="WUH59"/>
      <c r="WUI59"/>
      <c r="WUJ59"/>
      <c r="WUK59"/>
      <c r="WUL59"/>
      <c r="WUM59"/>
      <c r="WUN59"/>
      <c r="WUO59"/>
      <c r="WUP59"/>
      <c r="WUQ59"/>
      <c r="WUR59"/>
      <c r="WUS59"/>
      <c r="WUT59"/>
      <c r="WUU59"/>
      <c r="WUV59"/>
      <c r="WUW59"/>
      <c r="WUX59"/>
      <c r="WUY59"/>
      <c r="WUZ59"/>
      <c r="WVA59"/>
      <c r="WVB59"/>
      <c r="WVC59"/>
      <c r="WVD59"/>
      <c r="WVE59"/>
      <c r="WVF59"/>
      <c r="WVG59"/>
      <c r="WVH59"/>
      <c r="WVI59"/>
      <c r="WVJ59"/>
      <c r="WVK59"/>
      <c r="WVL59"/>
      <c r="WVM59"/>
      <c r="WVN59"/>
      <c r="WVO59"/>
      <c r="WVP59"/>
      <c r="WVQ59"/>
      <c r="WVR59"/>
      <c r="WVS59"/>
      <c r="WVT59"/>
      <c r="WVU59"/>
      <c r="WVV59"/>
      <c r="WVW59"/>
      <c r="WVX59"/>
      <c r="WVY59"/>
      <c r="WVZ59"/>
      <c r="WWA59"/>
      <c r="WWB59"/>
      <c r="WWC59"/>
      <c r="WWD59"/>
      <c r="WWE59"/>
      <c r="WWF59"/>
      <c r="WWG59"/>
      <c r="WWH59"/>
      <c r="WWI59"/>
      <c r="WWJ59"/>
      <c r="WWK59"/>
      <c r="WWL59"/>
      <c r="WWM59"/>
      <c r="WWN59"/>
      <c r="WWO59"/>
      <c r="WWP59"/>
      <c r="WWQ59"/>
      <c r="WWR59"/>
      <c r="WWS59"/>
      <c r="WWT59"/>
      <c r="WWU59"/>
      <c r="WWV59"/>
      <c r="WWW59"/>
      <c r="WWX59"/>
      <c r="WWY59"/>
      <c r="WWZ59"/>
      <c r="WXA59"/>
      <c r="WXB59"/>
      <c r="WXC59"/>
      <c r="WXD59"/>
      <c r="WXE59"/>
      <c r="WXF59"/>
      <c r="WXG59"/>
      <c r="WXH59"/>
      <c r="WXI59"/>
      <c r="WXJ59"/>
      <c r="WXK59"/>
      <c r="WXL59"/>
      <c r="WXM59"/>
      <c r="WXN59"/>
      <c r="WXO59"/>
      <c r="WXP59"/>
      <c r="WXQ59"/>
      <c r="WXR59"/>
      <c r="WXS59"/>
      <c r="WXT59"/>
      <c r="WXU59"/>
      <c r="WXV59"/>
      <c r="WXW59"/>
      <c r="WXX59"/>
      <c r="WXY59"/>
      <c r="WXZ59"/>
      <c r="WYA59"/>
      <c r="WYB59"/>
      <c r="WYC59"/>
      <c r="WYD59"/>
      <c r="WYE59"/>
      <c r="WYF59"/>
      <c r="WYG59"/>
      <c r="WYH59"/>
      <c r="WYI59"/>
      <c r="WYJ59"/>
      <c r="WYK59"/>
      <c r="WYL59"/>
      <c r="WYM59"/>
      <c r="WYN59"/>
      <c r="WYO59"/>
      <c r="WYP59"/>
      <c r="WYQ59"/>
      <c r="WYR59"/>
      <c r="WYS59"/>
      <c r="WYT59"/>
      <c r="WYU59"/>
      <c r="WYV59"/>
      <c r="WYW59"/>
      <c r="WYX59"/>
      <c r="WYY59"/>
      <c r="WYZ59"/>
      <c r="WZA59"/>
      <c r="WZB59"/>
      <c r="WZC59"/>
      <c r="WZD59"/>
      <c r="WZE59"/>
      <c r="WZF59"/>
      <c r="WZG59"/>
      <c r="WZH59"/>
      <c r="WZI59"/>
      <c r="WZJ59"/>
      <c r="WZK59"/>
      <c r="WZL59"/>
      <c r="WZM59"/>
      <c r="WZN59"/>
      <c r="WZO59"/>
      <c r="WZP59"/>
      <c r="WZQ59"/>
      <c r="WZR59"/>
      <c r="WZS59"/>
      <c r="WZT59"/>
      <c r="WZU59"/>
      <c r="WZV59"/>
      <c r="WZW59"/>
      <c r="WZX59"/>
      <c r="WZY59"/>
      <c r="WZZ59"/>
      <c r="XAA59"/>
      <c r="XAB59"/>
      <c r="XAC59"/>
      <c r="XAD59"/>
      <c r="XAE59"/>
      <c r="XAF59"/>
      <c r="XAG59"/>
      <c r="XAH59"/>
      <c r="XAI59"/>
      <c r="XAJ59"/>
      <c r="XAK59"/>
      <c r="XAL59"/>
      <c r="XAM59"/>
      <c r="XAN59"/>
      <c r="XAO59"/>
      <c r="XAP59"/>
      <c r="XAQ59"/>
      <c r="XAR59"/>
      <c r="XAS59"/>
      <c r="XAT59"/>
      <c r="XAU59"/>
      <c r="XAV59"/>
      <c r="XAW59"/>
      <c r="XAX59"/>
      <c r="XAY59"/>
      <c r="XAZ59"/>
      <c r="XBA59"/>
      <c r="XBB59"/>
      <c r="XBC59"/>
      <c r="XBD59"/>
      <c r="XBE59"/>
      <c r="XBF59"/>
      <c r="XBG59"/>
      <c r="XBH59"/>
      <c r="XBI59"/>
      <c r="XBJ59"/>
      <c r="XBK59"/>
      <c r="XBL59"/>
      <c r="XBM59"/>
      <c r="XBN59"/>
      <c r="XBO59"/>
      <c r="XBP59"/>
      <c r="XBQ59"/>
      <c r="XBR59"/>
      <c r="XBS59"/>
      <c r="XBT59"/>
      <c r="XBU59"/>
      <c r="XBV59"/>
      <c r="XBW59"/>
      <c r="XBX59"/>
      <c r="XBY59"/>
      <c r="XBZ59"/>
      <c r="XCA59"/>
      <c r="XCB59"/>
      <c r="XCC59"/>
      <c r="XCD59"/>
      <c r="XCE59"/>
      <c r="XCF59"/>
      <c r="XCG59"/>
      <c r="XCH59"/>
      <c r="XCI59"/>
      <c r="XCJ59"/>
      <c r="XCK59"/>
      <c r="XCL59"/>
      <c r="XCM59"/>
      <c r="XCN59"/>
      <c r="XCO59"/>
      <c r="XCP59"/>
      <c r="XCQ59"/>
      <c r="XCR59"/>
      <c r="XCS59"/>
      <c r="XCT59"/>
      <c r="XCU59"/>
      <c r="XCV59"/>
      <c r="XCW59"/>
      <c r="XCX59"/>
      <c r="XCY59"/>
      <c r="XCZ59"/>
      <c r="XDA59"/>
      <c r="XDB59"/>
      <c r="XDC59"/>
      <c r="XDD59"/>
      <c r="XDE59"/>
      <c r="XDF59"/>
      <c r="XDG59"/>
      <c r="XDH59"/>
      <c r="XDI59"/>
      <c r="XDJ59"/>
      <c r="XDK59"/>
      <c r="XDL59"/>
      <c r="XDM59"/>
      <c r="XDN59"/>
      <c r="XDO59"/>
      <c r="XDP59"/>
      <c r="XDQ59"/>
      <c r="XDR59"/>
      <c r="XDS59"/>
      <c r="XDT59"/>
      <c r="XDU59"/>
      <c r="XDV59"/>
      <c r="XDW59"/>
      <c r="XDX59"/>
      <c r="XDY59"/>
      <c r="XDZ59"/>
      <c r="XEA59"/>
      <c r="XEB59"/>
      <c r="XEC59"/>
      <c r="XED59"/>
      <c r="XEE59"/>
      <c r="XEF59"/>
      <c r="XEG59"/>
      <c r="XEH59"/>
      <c r="XEI59"/>
      <c r="XEJ59"/>
      <c r="XEK59"/>
      <c r="XEL59"/>
      <c r="XEM59"/>
      <c r="XEN59"/>
      <c r="XEO59"/>
      <c r="XEP59"/>
      <c r="XEQ59"/>
      <c r="XER59"/>
      <c r="XES59"/>
      <c r="XET59"/>
      <c r="XEU59"/>
      <c r="XEV59"/>
      <c r="XEW59"/>
      <c r="XEX59"/>
      <c r="XEY59"/>
      <c r="XEZ59"/>
      <c r="XFA59"/>
      <c r="XFB59"/>
      <c r="XFC59"/>
    </row>
    <row r="60" spans="2:16383" ht="5.0999999999999996" customHeight="1">
      <c r="B60" s="9"/>
      <c r="C60" s="9"/>
      <c r="D60" s="9"/>
      <c r="E60" s="9"/>
      <c r="F60" s="9"/>
      <c r="G60" s="9"/>
      <c r="H60" s="9"/>
      <c r="I60" s="9"/>
      <c r="J60" s="9"/>
      <c r="K60" s="9"/>
      <c r="L60" s="9"/>
      <c r="M60" s="9"/>
    </row>
    <row r="61" spans="2:16383">
      <c r="B61" t="s">
        <v>4</v>
      </c>
      <c r="C61" s="7">
        <f>+INDEX(Model!$A:$AQ,MATCH("EBIT",Model!$A:$A,0),MATCH(DCF!C$51,Model!$3:$3,0))</f>
        <v>-205.71005998962892</v>
      </c>
      <c r="D61" s="7">
        <f>+INDEX(Model!$A:$AQ,MATCH("EBIT",Model!$A:$A,0),MATCH(DCF!D$51,Model!$3:$3,0))</f>
        <v>-199.28126467343318</v>
      </c>
      <c r="E61" s="7">
        <f>+INDEX(Model!$A:$AQ,MATCH("EBIT",Model!$A:$A,0),MATCH(DCF!E$51,Model!$3:$3,0))</f>
        <v>-183.64421461961251</v>
      </c>
      <c r="F61" s="7">
        <f>+INDEX(Model!$A:$AQ,MATCH("EBIT",Model!$A:$A,0),MATCH(DCF!F$51,Model!$3:$3,0))</f>
        <v>-113.98768363682626</v>
      </c>
      <c r="G61" s="7">
        <f>+INDEX(Model!$A:$AQ,MATCH("EBIT",Model!$A:$A,0),MATCH(DCF!G$51,Model!$3:$3,0))</f>
        <v>-35.358151708390722</v>
      </c>
      <c r="H61" s="7">
        <f>+INDEX(Model!$A:$AQ,MATCH("EBIT",Model!$A:$A,0),MATCH(DCF!H$51,Model!$3:$3,0))</f>
        <v>74.619152637795025</v>
      </c>
      <c r="I61" s="7">
        <f>+INDEX(Model!$A:$AQ,MATCH("EBIT",Model!$A:$A,0),MATCH(DCF!I$51,Model!$3:$3,0))</f>
        <v>232.80350017241199</v>
      </c>
      <c r="J61" s="7">
        <f>+INDEX(Model!$A:$AQ,MATCH("EBIT",Model!$A:$A,0),MATCH(DCF!J$51,Model!$3:$3,0))</f>
        <v>439.46496179469466</v>
      </c>
      <c r="K61" s="7">
        <f>+INDEX(Model!$A:$AQ,MATCH("EBIT",Model!$A:$A,0),MATCH(DCF!K$51,Model!$3:$3,0))</f>
        <v>652.24330094276127</v>
      </c>
      <c r="L61" s="7">
        <f>+INDEX(Model!$A:$AQ,MATCH("EBIT",Model!$A:$A,0),MATCH(DCF!L$51,Model!$3:$3,0))</f>
        <v>858.65756015839179</v>
      </c>
      <c r="M61" s="58">
        <f>+L61*(1+$K$36)</f>
        <v>897.29715036551931</v>
      </c>
    </row>
    <row r="62" spans="2:16383" s="15" customFormat="1">
      <c r="B62" s="116" t="s">
        <v>5</v>
      </c>
      <c r="C62" s="117">
        <f ca="1">-IFERROR(-INDEX(Model!$A:$AQ,MATCH("Current Tax Rate",Model!$A:$A,0),MATCH(DCF!C$51,Model!$3:$3,0))-INDEX(Model!$A:$AQ,MATCH("Deferred Tax Rate",Model!$A:$A,0),MATCH(DCF!C$51,Model!$3:$3,0)),"na")</f>
        <v>6.6951193074556076E-2</v>
      </c>
      <c r="D62" s="117">
        <f ca="1">-IFERROR(-INDEX(Model!$A:$AQ,MATCH("Current Tax Rate",Model!$A:$A,0),MATCH(DCF!D$51,Model!$3:$3,0))-INDEX(Model!$A:$AQ,MATCH("Deferred Tax Rate",Model!$A:$A,0),MATCH(DCF!D$51,Model!$3:$3,0)),"na")</f>
        <v>0.14999129447277257</v>
      </c>
      <c r="E62" s="117">
        <f ca="1">-IFERROR(-INDEX(Model!$A:$AQ,MATCH("Current Tax Rate",Model!$A:$A,0),MATCH(DCF!E$51,Model!$3:$3,0))-INDEX(Model!$A:$AQ,MATCH("Deferred Tax Rate",Model!$A:$A,0),MATCH(DCF!E$51,Model!$3:$3,0)),"na")</f>
        <v>0.18592008155595599</v>
      </c>
      <c r="F62" s="117">
        <f ca="1">-IFERROR(-INDEX(Model!$A:$AQ,MATCH("Current Tax Rate",Model!$A:$A,0),MATCH(DCF!F$51,Model!$3:$3,0))-INDEX(Model!$A:$AQ,MATCH("Deferred Tax Rate",Model!$A:$A,0),MATCH(DCF!F$51,Model!$3:$3,0)),"na")</f>
        <v>0.24</v>
      </c>
      <c r="G62" s="117">
        <f ca="1">-IFERROR(-INDEX(Model!$A:$AQ,MATCH("Current Tax Rate",Model!$A:$A,0),MATCH(DCF!G$51,Model!$3:$3,0))-INDEX(Model!$A:$AQ,MATCH("Deferred Tax Rate",Model!$A:$A,0),MATCH(DCF!G$51,Model!$3:$3,0)),"na")</f>
        <v>0.24</v>
      </c>
      <c r="H62" s="117">
        <f ca="1">-IFERROR(-INDEX(Model!$A:$AQ,MATCH("Current Tax Rate",Model!$A:$A,0),MATCH(DCF!H$51,Model!$3:$3,0))-INDEX(Model!$A:$AQ,MATCH("Deferred Tax Rate",Model!$A:$A,0),MATCH(DCF!H$51,Model!$3:$3,0)),"na")</f>
        <v>0.24</v>
      </c>
      <c r="I62" s="117">
        <f ca="1">-IFERROR(-INDEX(Model!$A:$AQ,MATCH("Current Tax Rate",Model!$A:$A,0),MATCH(DCF!I$51,Model!$3:$3,0))-INDEX(Model!$A:$AQ,MATCH("Deferred Tax Rate",Model!$A:$A,0),MATCH(DCF!I$51,Model!$3:$3,0)),"na")</f>
        <v>0.24</v>
      </c>
      <c r="J62" s="117">
        <f ca="1">-IFERROR(-INDEX(Model!$A:$AQ,MATCH("Current Tax Rate",Model!$A:$A,0),MATCH(DCF!J$51,Model!$3:$3,0))-INDEX(Model!$A:$AQ,MATCH("Deferred Tax Rate",Model!$A:$A,0),MATCH(DCF!J$51,Model!$3:$3,0)),"na")</f>
        <v>0.24</v>
      </c>
      <c r="K62" s="117">
        <f ca="1">-IFERROR(-INDEX(Model!$A:$AQ,MATCH("Current Tax Rate",Model!$A:$A,0),MATCH(DCF!K$51,Model!$3:$3,0))-INDEX(Model!$A:$AQ,MATCH("Deferred Tax Rate",Model!$A:$A,0),MATCH(DCF!K$51,Model!$3:$3,0)),"na")</f>
        <v>0.24</v>
      </c>
      <c r="L62" s="117">
        <f ca="1">-IFERROR(-INDEX(Model!$A:$AQ,MATCH("Current Tax Rate",Model!$A:$A,0),MATCH(DCF!L$51,Model!$3:$3,0))-INDEX(Model!$A:$AQ,MATCH("Deferred Tax Rate",Model!$A:$A,0),MATCH(DCF!L$51,Model!$3:$3,0)),"na")</f>
        <v>0.24</v>
      </c>
      <c r="M62" s="117">
        <f ca="1">-IFERROR(-INDEX(Model!$A:$AQ,MATCH("Current Tax Rate",Model!$A:$A,0),MATCH(DCF!M$51,Model!$3:$3,0))-INDEX(Model!$A:$AQ,MATCH("Deferred Tax Rate",Model!$A:$A,0),MATCH(DCF!M$51,Model!$3:$3,0)),"na")</f>
        <v>0.24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  <c r="DM62"/>
      <c r="DN62"/>
      <c r="DO62"/>
      <c r="DP62"/>
      <c r="DQ62"/>
      <c r="DR62"/>
      <c r="DS62"/>
      <c r="DT62"/>
      <c r="DU62"/>
      <c r="DV62"/>
      <c r="DW62"/>
      <c r="DX62"/>
      <c r="DY62"/>
      <c r="DZ62"/>
      <c r="EA62"/>
      <c r="EB62"/>
      <c r="EC62"/>
      <c r="ED62"/>
      <c r="EE62"/>
      <c r="EF62"/>
      <c r="EG62"/>
      <c r="EH62"/>
      <c r="EI62"/>
      <c r="EJ62"/>
      <c r="EK62"/>
      <c r="EL62"/>
      <c r="EM62"/>
      <c r="EN62"/>
      <c r="EO62"/>
      <c r="EP62"/>
      <c r="EQ62"/>
      <c r="ER62"/>
      <c r="ES62"/>
      <c r="ET62"/>
      <c r="EU62"/>
      <c r="EV62"/>
      <c r="EW62"/>
      <c r="EX62"/>
      <c r="EY62"/>
      <c r="EZ62"/>
      <c r="FA62"/>
      <c r="FB62"/>
      <c r="FC62"/>
      <c r="FD62"/>
      <c r="FE62"/>
      <c r="FF62"/>
      <c r="FG62"/>
      <c r="FH62"/>
      <c r="FI62"/>
      <c r="FJ62"/>
      <c r="FK62"/>
      <c r="FL62"/>
      <c r="FM62"/>
      <c r="FN62"/>
      <c r="FO62"/>
      <c r="FP62"/>
      <c r="FQ62"/>
      <c r="FR62"/>
      <c r="FS62"/>
      <c r="FT62"/>
      <c r="FU62"/>
      <c r="FV62"/>
      <c r="FW62"/>
      <c r="FX62"/>
      <c r="FY62"/>
      <c r="FZ62"/>
      <c r="GA62"/>
      <c r="GB62"/>
      <c r="GC62"/>
      <c r="GD62"/>
      <c r="GE62"/>
      <c r="GF62"/>
      <c r="GG62"/>
      <c r="GH62"/>
      <c r="GI62"/>
      <c r="GJ62"/>
      <c r="GK62"/>
      <c r="GL62"/>
      <c r="GM62"/>
      <c r="GN62"/>
      <c r="GO62"/>
      <c r="GP62"/>
      <c r="GQ62"/>
      <c r="GR62"/>
      <c r="GS62"/>
      <c r="GT62"/>
      <c r="GU62"/>
      <c r="GV62"/>
      <c r="GW62"/>
      <c r="GX62"/>
      <c r="GY62"/>
      <c r="GZ62"/>
      <c r="HA62"/>
      <c r="HB62"/>
      <c r="HC62"/>
      <c r="HD62"/>
      <c r="HE62"/>
      <c r="HF62"/>
      <c r="HG62"/>
      <c r="HH62"/>
      <c r="HI62"/>
      <c r="HJ62"/>
      <c r="HK62"/>
      <c r="HL62"/>
      <c r="HM62"/>
      <c r="HN62"/>
      <c r="HO62"/>
      <c r="HP62"/>
      <c r="HQ62"/>
      <c r="HR62"/>
      <c r="HS62"/>
      <c r="HT62"/>
      <c r="HU62"/>
      <c r="HV62"/>
      <c r="HW62"/>
      <c r="HX62"/>
      <c r="HY62"/>
      <c r="HZ62"/>
      <c r="IA62"/>
      <c r="IB62"/>
      <c r="IC62"/>
      <c r="ID62"/>
      <c r="IE62"/>
      <c r="IF62"/>
      <c r="IG62"/>
      <c r="IH62"/>
      <c r="II62"/>
      <c r="IJ62"/>
      <c r="IK62"/>
      <c r="IL62"/>
      <c r="IM62"/>
      <c r="IN62"/>
      <c r="IO62"/>
      <c r="IP62"/>
      <c r="IQ62"/>
      <c r="IR62"/>
      <c r="IS62"/>
      <c r="IT62"/>
      <c r="IU62"/>
      <c r="IV62"/>
      <c r="IW62"/>
      <c r="IX62"/>
      <c r="IY62"/>
      <c r="IZ62"/>
      <c r="JA62"/>
      <c r="JB62"/>
      <c r="JC62"/>
      <c r="JD62"/>
      <c r="JE62"/>
      <c r="JF62"/>
      <c r="JG62"/>
      <c r="JH62"/>
      <c r="JI62"/>
      <c r="JJ62"/>
      <c r="JK62"/>
      <c r="JL62"/>
      <c r="JM62"/>
      <c r="JN62"/>
      <c r="JO62"/>
      <c r="JP62"/>
      <c r="JQ62"/>
      <c r="JR62"/>
      <c r="JS62"/>
      <c r="JT62"/>
      <c r="JU62"/>
      <c r="JV62"/>
      <c r="JW62"/>
      <c r="JX62"/>
      <c r="JY62"/>
      <c r="JZ62"/>
      <c r="KA62"/>
      <c r="KB62"/>
      <c r="KC62"/>
      <c r="KD62"/>
      <c r="KE62"/>
      <c r="KF62"/>
      <c r="KG62"/>
      <c r="KH62"/>
      <c r="KI62"/>
      <c r="KJ62"/>
      <c r="KK62"/>
      <c r="KL62"/>
      <c r="KM62"/>
      <c r="KN62"/>
      <c r="KO62"/>
      <c r="KP62"/>
      <c r="KQ62"/>
      <c r="KR62"/>
      <c r="KS62"/>
      <c r="KT62"/>
      <c r="KU62"/>
      <c r="KV62"/>
      <c r="KW62"/>
      <c r="KX62"/>
      <c r="KY62"/>
      <c r="KZ62"/>
      <c r="LA62"/>
      <c r="LB62"/>
      <c r="LC62"/>
      <c r="LD62"/>
      <c r="LE62"/>
      <c r="LF62"/>
      <c r="LG62"/>
      <c r="LH62"/>
      <c r="LI62"/>
      <c r="LJ62"/>
      <c r="LK62"/>
      <c r="LL62"/>
      <c r="LM62"/>
      <c r="LN62"/>
      <c r="LO62"/>
      <c r="LP62"/>
      <c r="LQ62"/>
      <c r="LR62"/>
      <c r="LS62"/>
      <c r="LT62"/>
      <c r="LU62"/>
      <c r="LV62"/>
      <c r="LW62"/>
      <c r="LX62"/>
      <c r="LY62"/>
      <c r="LZ62"/>
      <c r="MA62"/>
      <c r="MB62"/>
      <c r="MC62"/>
      <c r="MD62"/>
      <c r="ME62"/>
      <c r="MF62"/>
      <c r="MG62"/>
      <c r="MH62"/>
      <c r="MI62"/>
      <c r="MJ62"/>
      <c r="MK62"/>
      <c r="ML62"/>
      <c r="MM62"/>
      <c r="MN62"/>
      <c r="MO62"/>
      <c r="MP62"/>
      <c r="MQ62"/>
      <c r="MR62"/>
      <c r="MS62"/>
      <c r="MT62"/>
      <c r="MU62"/>
      <c r="MV62"/>
      <c r="MW62"/>
      <c r="MX62"/>
      <c r="MY62"/>
      <c r="MZ62"/>
      <c r="NA62"/>
      <c r="NB62"/>
      <c r="NC62"/>
      <c r="ND62"/>
      <c r="NE62"/>
      <c r="NF62"/>
      <c r="NG62"/>
      <c r="NH62"/>
      <c r="NI62"/>
      <c r="NJ62"/>
      <c r="NK62"/>
      <c r="NL62"/>
      <c r="NM62"/>
      <c r="NN62"/>
      <c r="NO62"/>
      <c r="NP62"/>
      <c r="NQ62"/>
      <c r="NR62"/>
      <c r="NS62"/>
      <c r="NT62"/>
      <c r="NU62"/>
      <c r="NV62"/>
      <c r="NW62"/>
      <c r="NX62"/>
      <c r="NY62"/>
      <c r="NZ62"/>
      <c r="OA62"/>
      <c r="OB62"/>
      <c r="OC62"/>
      <c r="OD62"/>
      <c r="OE62"/>
      <c r="OF62"/>
      <c r="OG62"/>
      <c r="OH62"/>
      <c r="OI62"/>
      <c r="OJ62"/>
      <c r="OK62"/>
      <c r="OL62"/>
      <c r="OM62"/>
      <c r="ON62"/>
      <c r="OO62"/>
      <c r="OP62"/>
      <c r="OQ62"/>
      <c r="OR62"/>
      <c r="OS62"/>
      <c r="OT62"/>
      <c r="OU62"/>
      <c r="OV62"/>
      <c r="OW62"/>
      <c r="OX62"/>
      <c r="OY62"/>
      <c r="OZ62"/>
      <c r="PA62"/>
      <c r="PB62"/>
      <c r="PC62"/>
      <c r="PD62"/>
      <c r="PE62"/>
      <c r="PF62"/>
      <c r="PG62"/>
      <c r="PH62"/>
      <c r="PI62"/>
      <c r="PJ62"/>
      <c r="PK62"/>
      <c r="PL62"/>
      <c r="PM62"/>
      <c r="PN62"/>
      <c r="PO62"/>
      <c r="PP62"/>
      <c r="PQ62"/>
      <c r="PR62"/>
      <c r="PS62"/>
      <c r="PT62"/>
      <c r="PU62"/>
      <c r="PV62"/>
      <c r="PW62"/>
      <c r="PX62"/>
      <c r="PY62"/>
      <c r="PZ62"/>
      <c r="QA62"/>
      <c r="QB62"/>
      <c r="QC62"/>
      <c r="QD62"/>
      <c r="QE62"/>
      <c r="QF62"/>
      <c r="QG62"/>
      <c r="QH62"/>
      <c r="QI62"/>
      <c r="QJ62"/>
      <c r="QK62"/>
      <c r="QL62"/>
      <c r="QM62"/>
      <c r="QN62"/>
      <c r="QO62"/>
      <c r="QP62"/>
      <c r="QQ62"/>
      <c r="QR62"/>
      <c r="QS62"/>
      <c r="QT62"/>
      <c r="QU62"/>
      <c r="QV62"/>
      <c r="QW62"/>
      <c r="QX62"/>
      <c r="QY62"/>
      <c r="QZ62"/>
      <c r="RA62"/>
      <c r="RB62"/>
      <c r="RC62"/>
      <c r="RD62"/>
      <c r="RE62"/>
      <c r="RF62"/>
      <c r="RG62"/>
      <c r="RH62"/>
      <c r="RI62"/>
      <c r="RJ62"/>
      <c r="RK62"/>
      <c r="RL62"/>
      <c r="RM62"/>
      <c r="RN62"/>
      <c r="RO62"/>
      <c r="RP62"/>
      <c r="RQ62"/>
      <c r="RR62"/>
      <c r="RS62"/>
      <c r="RT62"/>
      <c r="RU62"/>
      <c r="RV62"/>
      <c r="RW62"/>
      <c r="RX62"/>
      <c r="RY62"/>
      <c r="RZ62"/>
      <c r="SA62"/>
      <c r="SB62"/>
      <c r="SC62"/>
      <c r="SD62"/>
      <c r="SE62"/>
      <c r="SF62"/>
      <c r="SG62"/>
      <c r="SH62"/>
      <c r="SI62"/>
      <c r="SJ62"/>
      <c r="SK62"/>
      <c r="SL62"/>
      <c r="SM62"/>
      <c r="SN62"/>
      <c r="SO62"/>
      <c r="SP62"/>
      <c r="SQ62"/>
      <c r="SR62"/>
      <c r="SS62"/>
      <c r="ST62"/>
      <c r="SU62"/>
      <c r="SV62"/>
      <c r="SW62"/>
      <c r="SX62"/>
      <c r="SY62"/>
      <c r="SZ62"/>
      <c r="TA62"/>
      <c r="TB62"/>
      <c r="TC62"/>
      <c r="TD62"/>
      <c r="TE62"/>
      <c r="TF62"/>
      <c r="TG62"/>
      <c r="TH62"/>
      <c r="TI62"/>
      <c r="TJ62"/>
      <c r="TK62"/>
      <c r="TL62"/>
      <c r="TM62"/>
      <c r="TN62"/>
      <c r="TO62"/>
      <c r="TP62"/>
      <c r="TQ62"/>
      <c r="TR62"/>
      <c r="TS62"/>
      <c r="TT62"/>
      <c r="TU62"/>
      <c r="TV62"/>
      <c r="TW62"/>
      <c r="TX62"/>
      <c r="TY62"/>
      <c r="TZ62"/>
      <c r="UA62"/>
      <c r="UB62"/>
      <c r="UC62"/>
      <c r="UD62"/>
      <c r="UE62"/>
      <c r="UF62"/>
      <c r="UG62"/>
      <c r="UH62"/>
      <c r="UI62"/>
      <c r="UJ62"/>
      <c r="UK62"/>
      <c r="UL62"/>
      <c r="UM62"/>
      <c r="UN62"/>
      <c r="UO62"/>
      <c r="UP62"/>
      <c r="UQ62"/>
      <c r="UR62"/>
      <c r="US62"/>
      <c r="UT62"/>
      <c r="UU62"/>
      <c r="UV62"/>
      <c r="UW62"/>
      <c r="UX62"/>
      <c r="UY62"/>
      <c r="UZ62"/>
      <c r="VA62"/>
      <c r="VB62"/>
      <c r="VC62"/>
      <c r="VD62"/>
      <c r="VE62"/>
      <c r="VF62"/>
      <c r="VG62"/>
      <c r="VH62"/>
      <c r="VI62"/>
      <c r="VJ62"/>
      <c r="VK62"/>
      <c r="VL62"/>
      <c r="VM62"/>
      <c r="VN62"/>
      <c r="VO62"/>
      <c r="VP62"/>
      <c r="VQ62"/>
      <c r="VR62"/>
      <c r="VS62"/>
      <c r="VT62"/>
      <c r="VU62"/>
      <c r="VV62"/>
      <c r="VW62"/>
      <c r="VX62"/>
      <c r="VY62"/>
      <c r="VZ62"/>
      <c r="WA62"/>
      <c r="WB62"/>
      <c r="WC62"/>
      <c r="WD62"/>
      <c r="WE62"/>
      <c r="WF62"/>
      <c r="WG62"/>
      <c r="WH62"/>
      <c r="WI62"/>
      <c r="WJ62"/>
      <c r="WK62"/>
      <c r="WL62"/>
      <c r="WM62"/>
      <c r="WN62"/>
      <c r="WO62"/>
      <c r="WP62"/>
      <c r="WQ62"/>
      <c r="WR62"/>
      <c r="WS62"/>
      <c r="WT62"/>
      <c r="WU62"/>
      <c r="WV62"/>
      <c r="WW62"/>
      <c r="WX62"/>
      <c r="WY62"/>
      <c r="WZ62"/>
      <c r="XA62"/>
      <c r="XB62"/>
      <c r="XC62"/>
      <c r="XD62"/>
      <c r="XE62"/>
      <c r="XF62"/>
      <c r="XG62"/>
      <c r="XH62"/>
      <c r="XI62"/>
      <c r="XJ62"/>
      <c r="XK62"/>
      <c r="XL62"/>
      <c r="XM62"/>
      <c r="XN62"/>
      <c r="XO62"/>
      <c r="XP62"/>
      <c r="XQ62"/>
      <c r="XR62"/>
      <c r="XS62"/>
      <c r="XT62"/>
      <c r="XU62"/>
      <c r="XV62"/>
      <c r="XW62"/>
      <c r="XX62"/>
      <c r="XY62"/>
      <c r="XZ62"/>
      <c r="YA62"/>
      <c r="YB62"/>
      <c r="YC62"/>
      <c r="YD62"/>
      <c r="YE62"/>
      <c r="YF62"/>
      <c r="YG62"/>
      <c r="YH62"/>
      <c r="YI62"/>
      <c r="YJ62"/>
      <c r="YK62"/>
      <c r="YL62"/>
      <c r="YM62"/>
      <c r="YN62"/>
      <c r="YO62"/>
      <c r="YP62"/>
      <c r="YQ62"/>
      <c r="YR62"/>
      <c r="YS62"/>
      <c r="YT62"/>
      <c r="YU62"/>
      <c r="YV62"/>
      <c r="YW62"/>
      <c r="YX62"/>
      <c r="YY62"/>
      <c r="YZ62"/>
      <c r="ZA62"/>
      <c r="ZB62"/>
      <c r="ZC62"/>
      <c r="ZD62"/>
      <c r="ZE62"/>
      <c r="ZF62"/>
      <c r="ZG62"/>
      <c r="ZH62"/>
      <c r="ZI62"/>
      <c r="ZJ62"/>
      <c r="ZK62"/>
      <c r="ZL62"/>
      <c r="ZM62"/>
      <c r="ZN62"/>
      <c r="ZO62"/>
      <c r="ZP62"/>
      <c r="ZQ62"/>
      <c r="ZR62"/>
      <c r="ZS62"/>
      <c r="ZT62"/>
      <c r="ZU62"/>
      <c r="ZV62"/>
      <c r="ZW62"/>
      <c r="ZX62"/>
      <c r="ZY62"/>
      <c r="ZZ62"/>
      <c r="AAA62"/>
      <c r="AAB62"/>
      <c r="AAC62"/>
      <c r="AAD62"/>
      <c r="AAE62"/>
      <c r="AAF62"/>
      <c r="AAG62"/>
      <c r="AAH62"/>
      <c r="AAI62"/>
      <c r="AAJ62"/>
      <c r="AAK62"/>
      <c r="AAL62"/>
      <c r="AAM62"/>
      <c r="AAN62"/>
      <c r="AAO62"/>
      <c r="AAP62"/>
      <c r="AAQ62"/>
      <c r="AAR62"/>
      <c r="AAS62"/>
      <c r="AAT62"/>
      <c r="AAU62"/>
      <c r="AAV62"/>
      <c r="AAW62"/>
      <c r="AAX62"/>
      <c r="AAY62"/>
      <c r="AAZ62"/>
      <c r="ABA62"/>
      <c r="ABB62"/>
      <c r="ABC62"/>
      <c r="ABD62"/>
      <c r="ABE62"/>
      <c r="ABF62"/>
      <c r="ABG62"/>
      <c r="ABH62"/>
      <c r="ABI62"/>
      <c r="ABJ62"/>
      <c r="ABK62"/>
      <c r="ABL62"/>
      <c r="ABM62"/>
      <c r="ABN62"/>
      <c r="ABO62"/>
      <c r="ABP62"/>
      <c r="ABQ62"/>
      <c r="ABR62"/>
      <c r="ABS62"/>
      <c r="ABT62"/>
      <c r="ABU62"/>
      <c r="ABV62"/>
      <c r="ABW62"/>
      <c r="ABX62"/>
      <c r="ABY62"/>
      <c r="ABZ62"/>
      <c r="ACA62"/>
      <c r="ACB62"/>
      <c r="ACC62"/>
      <c r="ACD62"/>
      <c r="ACE62"/>
      <c r="ACF62"/>
      <c r="ACG62"/>
      <c r="ACH62"/>
      <c r="ACI62"/>
      <c r="ACJ62"/>
      <c r="ACK62"/>
      <c r="ACL62"/>
      <c r="ACM62"/>
      <c r="ACN62"/>
      <c r="ACO62"/>
      <c r="ACP62"/>
      <c r="ACQ62"/>
      <c r="ACR62"/>
      <c r="ACS62"/>
      <c r="ACT62"/>
      <c r="ACU62"/>
      <c r="ACV62"/>
      <c r="ACW62"/>
      <c r="ACX62"/>
      <c r="ACY62"/>
      <c r="ACZ62"/>
      <c r="ADA62"/>
      <c r="ADB62"/>
      <c r="ADC62"/>
      <c r="ADD62"/>
      <c r="ADE62"/>
      <c r="ADF62"/>
      <c r="ADG62"/>
      <c r="ADH62"/>
      <c r="ADI62"/>
      <c r="ADJ62"/>
      <c r="ADK62"/>
      <c r="ADL62"/>
      <c r="ADM62"/>
      <c r="ADN62"/>
      <c r="ADO62"/>
      <c r="ADP62"/>
      <c r="ADQ62"/>
      <c r="ADR62"/>
      <c r="ADS62"/>
      <c r="ADT62"/>
      <c r="ADU62"/>
      <c r="ADV62"/>
      <c r="ADW62"/>
      <c r="ADX62"/>
      <c r="ADY62"/>
      <c r="ADZ62"/>
      <c r="AEA62"/>
      <c r="AEB62"/>
      <c r="AEC62"/>
      <c r="AED62"/>
      <c r="AEE62"/>
      <c r="AEF62"/>
      <c r="AEG62"/>
      <c r="AEH62"/>
      <c r="AEI62"/>
      <c r="AEJ62"/>
      <c r="AEK62"/>
      <c r="AEL62"/>
      <c r="AEM62"/>
      <c r="AEN62"/>
      <c r="AEO62"/>
      <c r="AEP62"/>
      <c r="AEQ62"/>
      <c r="AER62"/>
      <c r="AES62"/>
      <c r="AET62"/>
      <c r="AEU62"/>
      <c r="AEV62"/>
      <c r="AEW62"/>
      <c r="AEX62"/>
      <c r="AEY62"/>
      <c r="AEZ62"/>
      <c r="AFA62"/>
      <c r="AFB62"/>
      <c r="AFC62"/>
      <c r="AFD62"/>
      <c r="AFE62"/>
      <c r="AFF62"/>
      <c r="AFG62"/>
      <c r="AFH62"/>
      <c r="AFI62"/>
      <c r="AFJ62"/>
      <c r="AFK62"/>
      <c r="AFL62"/>
      <c r="AFM62"/>
      <c r="AFN62"/>
      <c r="AFO62"/>
      <c r="AFP62"/>
      <c r="AFQ62"/>
      <c r="AFR62"/>
      <c r="AFS62"/>
      <c r="AFT62"/>
      <c r="AFU62"/>
      <c r="AFV62"/>
      <c r="AFW62"/>
      <c r="AFX62"/>
      <c r="AFY62"/>
      <c r="AFZ62"/>
      <c r="AGA62"/>
      <c r="AGB62"/>
      <c r="AGC62"/>
      <c r="AGD62"/>
      <c r="AGE62"/>
      <c r="AGF62"/>
      <c r="AGG62"/>
      <c r="AGH62"/>
      <c r="AGI62"/>
      <c r="AGJ62"/>
      <c r="AGK62"/>
      <c r="AGL62"/>
      <c r="AGM62"/>
      <c r="AGN62"/>
      <c r="AGO62"/>
      <c r="AGP62"/>
      <c r="AGQ62"/>
      <c r="AGR62"/>
      <c r="AGS62"/>
      <c r="AGT62"/>
      <c r="AGU62"/>
      <c r="AGV62"/>
      <c r="AGW62"/>
      <c r="AGX62"/>
      <c r="AGY62"/>
      <c r="AGZ62"/>
      <c r="AHA62"/>
      <c r="AHB62"/>
      <c r="AHC62"/>
      <c r="AHD62"/>
      <c r="AHE62"/>
      <c r="AHF62"/>
      <c r="AHG62"/>
      <c r="AHH62"/>
      <c r="AHI62"/>
      <c r="AHJ62"/>
      <c r="AHK62"/>
      <c r="AHL62"/>
      <c r="AHM62"/>
      <c r="AHN62"/>
      <c r="AHO62"/>
      <c r="AHP62"/>
      <c r="AHQ62"/>
      <c r="AHR62"/>
      <c r="AHS62"/>
      <c r="AHT62"/>
      <c r="AHU62"/>
      <c r="AHV62"/>
      <c r="AHW62"/>
      <c r="AHX62"/>
      <c r="AHY62"/>
      <c r="AHZ62"/>
      <c r="AIA62"/>
      <c r="AIB62"/>
      <c r="AIC62"/>
      <c r="AID62"/>
      <c r="AIE62"/>
      <c r="AIF62"/>
      <c r="AIG62"/>
      <c r="AIH62"/>
      <c r="AII62"/>
      <c r="AIJ62"/>
      <c r="AIK62"/>
      <c r="AIL62"/>
      <c r="AIM62"/>
      <c r="AIN62"/>
      <c r="AIO62"/>
      <c r="AIP62"/>
      <c r="AIQ62"/>
      <c r="AIR62"/>
      <c r="AIS62"/>
      <c r="AIT62"/>
      <c r="AIU62"/>
      <c r="AIV62"/>
      <c r="AIW62"/>
      <c r="AIX62"/>
      <c r="AIY62"/>
      <c r="AIZ62"/>
      <c r="AJA62"/>
      <c r="AJB62"/>
      <c r="AJC62"/>
      <c r="AJD62"/>
      <c r="AJE62"/>
      <c r="AJF62"/>
      <c r="AJG62"/>
      <c r="AJH62"/>
      <c r="AJI62"/>
      <c r="AJJ62"/>
      <c r="AJK62"/>
      <c r="AJL62"/>
      <c r="AJM62"/>
      <c r="AJN62"/>
      <c r="AJO62"/>
      <c r="AJP62"/>
      <c r="AJQ62"/>
      <c r="AJR62"/>
      <c r="AJS62"/>
      <c r="AJT62"/>
      <c r="AJU62"/>
      <c r="AJV62"/>
      <c r="AJW62"/>
      <c r="AJX62"/>
      <c r="AJY62"/>
      <c r="AJZ62"/>
      <c r="AKA62"/>
      <c r="AKB62"/>
      <c r="AKC62"/>
      <c r="AKD62"/>
      <c r="AKE62"/>
      <c r="AKF62"/>
      <c r="AKG62"/>
      <c r="AKH62"/>
      <c r="AKI62"/>
      <c r="AKJ62"/>
      <c r="AKK62"/>
      <c r="AKL62"/>
      <c r="AKM62"/>
      <c r="AKN62"/>
      <c r="AKO62"/>
      <c r="AKP62"/>
      <c r="AKQ62"/>
      <c r="AKR62"/>
      <c r="AKS62"/>
      <c r="AKT62"/>
      <c r="AKU62"/>
      <c r="AKV62"/>
      <c r="AKW62"/>
      <c r="AKX62"/>
      <c r="AKY62"/>
      <c r="AKZ62"/>
      <c r="ALA62"/>
      <c r="ALB62"/>
      <c r="ALC62"/>
      <c r="ALD62"/>
      <c r="ALE62"/>
      <c r="ALF62"/>
      <c r="ALG62"/>
      <c r="ALH62"/>
      <c r="ALI62"/>
      <c r="ALJ62"/>
      <c r="ALK62"/>
      <c r="ALL62"/>
      <c r="ALM62"/>
      <c r="ALN62"/>
      <c r="ALO62"/>
      <c r="ALP62"/>
      <c r="ALQ62"/>
      <c r="ALR62"/>
      <c r="ALS62"/>
      <c r="ALT62"/>
      <c r="ALU62"/>
      <c r="ALV62"/>
      <c r="ALW62"/>
      <c r="ALX62"/>
      <c r="ALY62"/>
      <c r="ALZ62"/>
      <c r="AMA62"/>
      <c r="AMB62"/>
      <c r="AMC62"/>
      <c r="AMD62"/>
      <c r="AME62"/>
      <c r="AMF62"/>
      <c r="AMG62"/>
      <c r="AMH62"/>
      <c r="AMI62"/>
      <c r="AMJ62"/>
      <c r="AMK62"/>
      <c r="AML62"/>
      <c r="AMM62"/>
      <c r="AMN62"/>
      <c r="AMO62"/>
      <c r="AMP62"/>
      <c r="AMQ62"/>
      <c r="AMR62"/>
      <c r="AMS62"/>
      <c r="AMT62"/>
      <c r="AMU62"/>
      <c r="AMV62"/>
      <c r="AMW62"/>
      <c r="AMX62"/>
      <c r="AMY62"/>
      <c r="AMZ62"/>
      <c r="ANA62"/>
      <c r="ANB62"/>
      <c r="ANC62"/>
      <c r="AND62"/>
      <c r="ANE62"/>
      <c r="ANF62"/>
      <c r="ANG62"/>
      <c r="ANH62"/>
      <c r="ANI62"/>
      <c r="ANJ62"/>
      <c r="ANK62"/>
      <c r="ANL62"/>
      <c r="ANM62"/>
      <c r="ANN62"/>
      <c r="ANO62"/>
      <c r="ANP62"/>
      <c r="ANQ62"/>
      <c r="ANR62"/>
      <c r="ANS62"/>
      <c r="ANT62"/>
      <c r="ANU62"/>
      <c r="ANV62"/>
      <c r="ANW62"/>
      <c r="ANX62"/>
      <c r="ANY62"/>
      <c r="ANZ62"/>
      <c r="AOA62"/>
      <c r="AOB62"/>
      <c r="AOC62"/>
      <c r="AOD62"/>
      <c r="AOE62"/>
      <c r="AOF62"/>
      <c r="AOG62"/>
      <c r="AOH62"/>
      <c r="AOI62"/>
      <c r="AOJ62"/>
      <c r="AOK62"/>
      <c r="AOL62"/>
      <c r="AOM62"/>
      <c r="AON62"/>
      <c r="AOO62"/>
      <c r="AOP62"/>
      <c r="AOQ62"/>
      <c r="AOR62"/>
      <c r="AOS62"/>
      <c r="AOT62"/>
      <c r="AOU62"/>
      <c r="AOV62"/>
      <c r="AOW62"/>
      <c r="AOX62"/>
      <c r="AOY62"/>
      <c r="AOZ62"/>
      <c r="APA62"/>
      <c r="APB62"/>
      <c r="APC62"/>
      <c r="APD62"/>
      <c r="APE62"/>
      <c r="APF62"/>
      <c r="APG62"/>
      <c r="APH62"/>
      <c r="API62"/>
      <c r="APJ62"/>
      <c r="APK62"/>
      <c r="APL62"/>
      <c r="APM62"/>
      <c r="APN62"/>
      <c r="APO62"/>
      <c r="APP62"/>
      <c r="APQ62"/>
      <c r="APR62"/>
      <c r="APS62"/>
      <c r="APT62"/>
      <c r="APU62"/>
      <c r="APV62"/>
      <c r="APW62"/>
      <c r="APX62"/>
      <c r="APY62"/>
      <c r="APZ62"/>
      <c r="AQA62"/>
      <c r="AQB62"/>
      <c r="AQC62"/>
      <c r="AQD62"/>
      <c r="AQE62"/>
      <c r="AQF62"/>
      <c r="AQG62"/>
      <c r="AQH62"/>
      <c r="AQI62"/>
      <c r="AQJ62"/>
      <c r="AQK62"/>
      <c r="AQL62"/>
      <c r="AQM62"/>
      <c r="AQN62"/>
      <c r="AQO62"/>
      <c r="AQP62"/>
      <c r="AQQ62"/>
      <c r="AQR62"/>
      <c r="AQS62"/>
      <c r="AQT62"/>
      <c r="AQU62"/>
      <c r="AQV62"/>
      <c r="AQW62"/>
      <c r="AQX62"/>
      <c r="AQY62"/>
      <c r="AQZ62"/>
      <c r="ARA62"/>
      <c r="ARB62"/>
      <c r="ARC62"/>
      <c r="ARD62"/>
      <c r="ARE62"/>
      <c r="ARF62"/>
      <c r="ARG62"/>
      <c r="ARH62"/>
      <c r="ARI62"/>
      <c r="ARJ62"/>
      <c r="ARK62"/>
      <c r="ARL62"/>
      <c r="ARM62"/>
      <c r="ARN62"/>
      <c r="ARO62"/>
      <c r="ARP62"/>
      <c r="ARQ62"/>
      <c r="ARR62"/>
      <c r="ARS62"/>
      <c r="ART62"/>
      <c r="ARU62"/>
      <c r="ARV62"/>
      <c r="ARW62"/>
      <c r="ARX62"/>
      <c r="ARY62"/>
      <c r="ARZ62"/>
      <c r="ASA62"/>
      <c r="ASB62"/>
      <c r="ASC62"/>
      <c r="ASD62"/>
      <c r="ASE62"/>
      <c r="ASF62"/>
      <c r="ASG62"/>
      <c r="ASH62"/>
      <c r="ASI62"/>
      <c r="ASJ62"/>
      <c r="ASK62"/>
      <c r="ASL62"/>
      <c r="ASM62"/>
      <c r="ASN62"/>
      <c r="ASO62"/>
      <c r="ASP62"/>
      <c r="ASQ62"/>
      <c r="ASR62"/>
      <c r="ASS62"/>
      <c r="AST62"/>
      <c r="ASU62"/>
      <c r="ASV62"/>
      <c r="ASW62"/>
      <c r="ASX62"/>
      <c r="ASY62"/>
      <c r="ASZ62"/>
      <c r="ATA62"/>
      <c r="ATB62"/>
      <c r="ATC62"/>
      <c r="ATD62"/>
      <c r="ATE62"/>
      <c r="ATF62"/>
      <c r="ATG62"/>
      <c r="ATH62"/>
      <c r="ATI62"/>
      <c r="ATJ62"/>
      <c r="ATK62"/>
      <c r="ATL62"/>
      <c r="ATM62"/>
      <c r="ATN62"/>
      <c r="ATO62"/>
      <c r="ATP62"/>
      <c r="ATQ62"/>
      <c r="ATR62"/>
      <c r="ATS62"/>
      <c r="ATT62"/>
      <c r="ATU62"/>
      <c r="ATV62"/>
      <c r="ATW62"/>
      <c r="ATX62"/>
      <c r="ATY62"/>
      <c r="ATZ62"/>
      <c r="AUA62"/>
      <c r="AUB62"/>
      <c r="AUC62"/>
      <c r="AUD62"/>
      <c r="AUE62"/>
      <c r="AUF62"/>
      <c r="AUG62"/>
      <c r="AUH62"/>
      <c r="AUI62"/>
      <c r="AUJ62"/>
      <c r="AUK62"/>
      <c r="AUL62"/>
      <c r="AUM62"/>
      <c r="AUN62"/>
      <c r="AUO62"/>
      <c r="AUP62"/>
      <c r="AUQ62"/>
      <c r="AUR62"/>
      <c r="AUS62"/>
      <c r="AUT62"/>
      <c r="AUU62"/>
      <c r="AUV62"/>
      <c r="AUW62"/>
      <c r="AUX62"/>
      <c r="AUY62"/>
      <c r="AUZ62"/>
      <c r="AVA62"/>
      <c r="AVB62"/>
      <c r="AVC62"/>
      <c r="AVD62"/>
      <c r="AVE62"/>
      <c r="AVF62"/>
      <c r="AVG62"/>
      <c r="AVH62"/>
      <c r="AVI62"/>
      <c r="AVJ62"/>
      <c r="AVK62"/>
      <c r="AVL62"/>
      <c r="AVM62"/>
      <c r="AVN62"/>
      <c r="AVO62"/>
      <c r="AVP62"/>
      <c r="AVQ62"/>
      <c r="AVR62"/>
      <c r="AVS62"/>
      <c r="AVT62"/>
      <c r="AVU62"/>
      <c r="AVV62"/>
      <c r="AVW62"/>
      <c r="AVX62"/>
      <c r="AVY62"/>
      <c r="AVZ62"/>
      <c r="AWA62"/>
      <c r="AWB62"/>
      <c r="AWC62"/>
      <c r="AWD62"/>
      <c r="AWE62"/>
      <c r="AWF62"/>
      <c r="AWG62"/>
      <c r="AWH62"/>
      <c r="AWI62"/>
      <c r="AWJ62"/>
      <c r="AWK62"/>
      <c r="AWL62"/>
      <c r="AWM62"/>
      <c r="AWN62"/>
      <c r="AWO62"/>
      <c r="AWP62"/>
      <c r="AWQ62"/>
      <c r="AWR62"/>
      <c r="AWS62"/>
      <c r="AWT62"/>
      <c r="AWU62"/>
      <c r="AWV62"/>
      <c r="AWW62"/>
      <c r="AWX62"/>
      <c r="AWY62"/>
      <c r="AWZ62"/>
      <c r="AXA62"/>
      <c r="AXB62"/>
      <c r="AXC62"/>
      <c r="AXD62"/>
      <c r="AXE62"/>
      <c r="AXF62"/>
      <c r="AXG62"/>
      <c r="AXH62"/>
      <c r="AXI62"/>
      <c r="AXJ62"/>
      <c r="AXK62"/>
      <c r="AXL62"/>
      <c r="AXM62"/>
      <c r="AXN62"/>
      <c r="AXO62"/>
      <c r="AXP62"/>
      <c r="AXQ62"/>
      <c r="AXR62"/>
      <c r="AXS62"/>
      <c r="AXT62"/>
      <c r="AXU62"/>
      <c r="AXV62"/>
      <c r="AXW62"/>
      <c r="AXX62"/>
      <c r="AXY62"/>
      <c r="AXZ62"/>
      <c r="AYA62"/>
      <c r="AYB62"/>
      <c r="AYC62"/>
      <c r="AYD62"/>
      <c r="AYE62"/>
      <c r="AYF62"/>
      <c r="AYG62"/>
      <c r="AYH62"/>
      <c r="AYI62"/>
      <c r="AYJ62"/>
      <c r="AYK62"/>
      <c r="AYL62"/>
      <c r="AYM62"/>
      <c r="AYN62"/>
      <c r="AYO62"/>
      <c r="AYP62"/>
      <c r="AYQ62"/>
      <c r="AYR62"/>
      <c r="AYS62"/>
      <c r="AYT62"/>
      <c r="AYU62"/>
      <c r="AYV62"/>
      <c r="AYW62"/>
      <c r="AYX62"/>
      <c r="AYY62"/>
      <c r="AYZ62"/>
      <c r="AZA62"/>
      <c r="AZB62"/>
      <c r="AZC62"/>
      <c r="AZD62"/>
      <c r="AZE62"/>
      <c r="AZF62"/>
      <c r="AZG62"/>
      <c r="AZH62"/>
      <c r="AZI62"/>
      <c r="AZJ62"/>
      <c r="AZK62"/>
      <c r="AZL62"/>
      <c r="AZM62"/>
      <c r="AZN62"/>
      <c r="AZO62"/>
      <c r="AZP62"/>
      <c r="AZQ62"/>
      <c r="AZR62"/>
      <c r="AZS62"/>
      <c r="AZT62"/>
      <c r="AZU62"/>
      <c r="AZV62"/>
      <c r="AZW62"/>
      <c r="AZX62"/>
      <c r="AZY62"/>
      <c r="AZZ62"/>
      <c r="BAA62"/>
      <c r="BAB62"/>
      <c r="BAC62"/>
      <c r="BAD62"/>
      <c r="BAE62"/>
      <c r="BAF62"/>
      <c r="BAG62"/>
      <c r="BAH62"/>
      <c r="BAI62"/>
      <c r="BAJ62"/>
      <c r="BAK62"/>
      <c r="BAL62"/>
      <c r="BAM62"/>
      <c r="BAN62"/>
      <c r="BAO62"/>
      <c r="BAP62"/>
      <c r="BAQ62"/>
      <c r="BAR62"/>
      <c r="BAS62"/>
      <c r="BAT62"/>
      <c r="BAU62"/>
      <c r="BAV62"/>
      <c r="BAW62"/>
      <c r="BAX62"/>
      <c r="BAY62"/>
      <c r="BAZ62"/>
      <c r="BBA62"/>
      <c r="BBB62"/>
      <c r="BBC62"/>
      <c r="BBD62"/>
      <c r="BBE62"/>
      <c r="BBF62"/>
      <c r="BBG62"/>
      <c r="BBH62"/>
      <c r="BBI62"/>
      <c r="BBJ62"/>
      <c r="BBK62"/>
      <c r="BBL62"/>
      <c r="BBM62"/>
      <c r="BBN62"/>
      <c r="BBO62"/>
      <c r="BBP62"/>
      <c r="BBQ62"/>
      <c r="BBR62"/>
      <c r="BBS62"/>
      <c r="BBT62"/>
      <c r="BBU62"/>
      <c r="BBV62"/>
      <c r="BBW62"/>
      <c r="BBX62"/>
      <c r="BBY62"/>
      <c r="BBZ62"/>
      <c r="BCA62"/>
      <c r="BCB62"/>
      <c r="BCC62"/>
      <c r="BCD62"/>
      <c r="BCE62"/>
      <c r="BCF62"/>
      <c r="BCG62"/>
      <c r="BCH62"/>
      <c r="BCI62"/>
      <c r="BCJ62"/>
      <c r="BCK62"/>
      <c r="BCL62"/>
      <c r="BCM62"/>
      <c r="BCN62"/>
      <c r="BCO62"/>
      <c r="BCP62"/>
      <c r="BCQ62"/>
      <c r="BCR62"/>
      <c r="BCS62"/>
      <c r="BCT62"/>
      <c r="BCU62"/>
      <c r="BCV62"/>
      <c r="BCW62"/>
      <c r="BCX62"/>
      <c r="BCY62"/>
      <c r="BCZ62"/>
      <c r="BDA62"/>
      <c r="BDB62"/>
      <c r="BDC62"/>
      <c r="BDD62"/>
      <c r="BDE62"/>
      <c r="BDF62"/>
      <c r="BDG62"/>
      <c r="BDH62"/>
      <c r="BDI62"/>
      <c r="BDJ62"/>
      <c r="BDK62"/>
      <c r="BDL62"/>
      <c r="BDM62"/>
      <c r="BDN62"/>
      <c r="BDO62"/>
      <c r="BDP62"/>
      <c r="BDQ62"/>
      <c r="BDR62"/>
      <c r="BDS62"/>
      <c r="BDT62"/>
      <c r="BDU62"/>
      <c r="BDV62"/>
      <c r="BDW62"/>
      <c r="BDX62"/>
      <c r="BDY62"/>
      <c r="BDZ62"/>
      <c r="BEA62"/>
      <c r="BEB62"/>
      <c r="BEC62"/>
      <c r="BED62"/>
      <c r="BEE62"/>
      <c r="BEF62"/>
      <c r="BEG62"/>
      <c r="BEH62"/>
      <c r="BEI62"/>
      <c r="BEJ62"/>
      <c r="BEK62"/>
      <c r="BEL62"/>
      <c r="BEM62"/>
      <c r="BEN62"/>
      <c r="BEO62"/>
      <c r="BEP62"/>
      <c r="BEQ62"/>
      <c r="BER62"/>
      <c r="BES62"/>
      <c r="BET62"/>
      <c r="BEU62"/>
      <c r="BEV62"/>
      <c r="BEW62"/>
      <c r="BEX62"/>
      <c r="BEY62"/>
      <c r="BEZ62"/>
      <c r="BFA62"/>
      <c r="BFB62"/>
      <c r="BFC62"/>
      <c r="BFD62"/>
      <c r="BFE62"/>
      <c r="BFF62"/>
      <c r="BFG62"/>
      <c r="BFH62"/>
      <c r="BFI62"/>
      <c r="BFJ62"/>
      <c r="BFK62"/>
      <c r="BFL62"/>
      <c r="BFM62"/>
      <c r="BFN62"/>
      <c r="BFO62"/>
      <c r="BFP62"/>
      <c r="BFQ62"/>
      <c r="BFR62"/>
      <c r="BFS62"/>
      <c r="BFT62"/>
      <c r="BFU62"/>
      <c r="BFV62"/>
      <c r="BFW62"/>
      <c r="BFX62"/>
      <c r="BFY62"/>
      <c r="BFZ62"/>
      <c r="BGA62"/>
      <c r="BGB62"/>
      <c r="BGC62"/>
      <c r="BGD62"/>
      <c r="BGE62"/>
      <c r="BGF62"/>
      <c r="BGG62"/>
      <c r="BGH62"/>
      <c r="BGI62"/>
      <c r="BGJ62"/>
      <c r="BGK62"/>
      <c r="BGL62"/>
      <c r="BGM62"/>
      <c r="BGN62"/>
      <c r="BGO62"/>
      <c r="BGP62"/>
      <c r="BGQ62"/>
      <c r="BGR62"/>
      <c r="BGS62"/>
      <c r="BGT62"/>
      <c r="BGU62"/>
      <c r="BGV62"/>
      <c r="BGW62"/>
      <c r="BGX62"/>
      <c r="BGY62"/>
      <c r="BGZ62"/>
      <c r="BHA62"/>
      <c r="BHB62"/>
      <c r="BHC62"/>
      <c r="BHD62"/>
      <c r="BHE62"/>
      <c r="BHF62"/>
      <c r="BHG62"/>
      <c r="BHH62"/>
      <c r="BHI62"/>
      <c r="BHJ62"/>
      <c r="BHK62"/>
      <c r="BHL62"/>
      <c r="BHM62"/>
      <c r="BHN62"/>
      <c r="BHO62"/>
      <c r="BHP62"/>
      <c r="BHQ62"/>
      <c r="BHR62"/>
      <c r="BHS62"/>
      <c r="BHT62"/>
      <c r="BHU62"/>
      <c r="BHV62"/>
      <c r="BHW62"/>
      <c r="BHX62"/>
      <c r="BHY62"/>
      <c r="BHZ62"/>
      <c r="BIA62"/>
      <c r="BIB62"/>
      <c r="BIC62"/>
      <c r="BID62"/>
      <c r="BIE62"/>
      <c r="BIF62"/>
      <c r="BIG62"/>
      <c r="BIH62"/>
      <c r="BII62"/>
      <c r="BIJ62"/>
      <c r="BIK62"/>
      <c r="BIL62"/>
      <c r="BIM62"/>
      <c r="BIN62"/>
      <c r="BIO62"/>
      <c r="BIP62"/>
      <c r="BIQ62"/>
      <c r="BIR62"/>
      <c r="BIS62"/>
      <c r="BIT62"/>
      <c r="BIU62"/>
      <c r="BIV62"/>
      <c r="BIW62"/>
      <c r="BIX62"/>
      <c r="BIY62"/>
      <c r="BIZ62"/>
      <c r="BJA62"/>
      <c r="BJB62"/>
      <c r="BJC62"/>
      <c r="BJD62"/>
      <c r="BJE62"/>
      <c r="BJF62"/>
      <c r="BJG62"/>
      <c r="BJH62"/>
      <c r="BJI62"/>
      <c r="BJJ62"/>
      <c r="BJK62"/>
      <c r="BJL62"/>
      <c r="BJM62"/>
      <c r="BJN62"/>
      <c r="BJO62"/>
      <c r="BJP62"/>
      <c r="BJQ62"/>
      <c r="BJR62"/>
      <c r="BJS62"/>
      <c r="BJT62"/>
      <c r="BJU62"/>
      <c r="BJV62"/>
      <c r="BJW62"/>
      <c r="BJX62"/>
      <c r="BJY62"/>
      <c r="BJZ62"/>
      <c r="BKA62"/>
      <c r="BKB62"/>
      <c r="BKC62"/>
      <c r="BKD62"/>
      <c r="BKE62"/>
      <c r="BKF62"/>
      <c r="BKG62"/>
      <c r="BKH62"/>
      <c r="BKI62"/>
      <c r="BKJ62"/>
      <c r="BKK62"/>
      <c r="BKL62"/>
      <c r="BKM62"/>
      <c r="BKN62"/>
      <c r="BKO62"/>
      <c r="BKP62"/>
      <c r="BKQ62"/>
      <c r="BKR62"/>
      <c r="BKS62"/>
      <c r="BKT62"/>
      <c r="BKU62"/>
      <c r="BKV62"/>
      <c r="BKW62"/>
      <c r="BKX62"/>
      <c r="BKY62"/>
      <c r="BKZ62"/>
      <c r="BLA62"/>
      <c r="BLB62"/>
      <c r="BLC62"/>
      <c r="BLD62"/>
      <c r="BLE62"/>
      <c r="BLF62"/>
      <c r="BLG62"/>
      <c r="BLH62"/>
      <c r="BLI62"/>
      <c r="BLJ62"/>
      <c r="BLK62"/>
      <c r="BLL62"/>
      <c r="BLM62"/>
      <c r="BLN62"/>
      <c r="BLO62"/>
      <c r="BLP62"/>
      <c r="BLQ62"/>
      <c r="BLR62"/>
      <c r="BLS62"/>
      <c r="BLT62"/>
      <c r="BLU62"/>
      <c r="BLV62"/>
      <c r="BLW62"/>
      <c r="BLX62"/>
      <c r="BLY62"/>
      <c r="BLZ62"/>
      <c r="BMA62"/>
      <c r="BMB62"/>
      <c r="BMC62"/>
      <c r="BMD62"/>
      <c r="BME62"/>
      <c r="BMF62"/>
      <c r="BMG62"/>
      <c r="BMH62"/>
      <c r="BMI62"/>
      <c r="BMJ62"/>
      <c r="BMK62"/>
      <c r="BML62"/>
      <c r="BMM62"/>
      <c r="BMN62"/>
      <c r="BMO62"/>
      <c r="BMP62"/>
      <c r="BMQ62"/>
      <c r="BMR62"/>
      <c r="BMS62"/>
      <c r="BMT62"/>
      <c r="BMU62"/>
      <c r="BMV62"/>
      <c r="BMW62"/>
      <c r="BMX62"/>
      <c r="BMY62"/>
      <c r="BMZ62"/>
      <c r="BNA62"/>
      <c r="BNB62"/>
      <c r="BNC62"/>
      <c r="BND62"/>
      <c r="BNE62"/>
      <c r="BNF62"/>
      <c r="BNG62"/>
      <c r="BNH62"/>
      <c r="BNI62"/>
      <c r="BNJ62"/>
      <c r="BNK62"/>
      <c r="BNL62"/>
      <c r="BNM62"/>
      <c r="BNN62"/>
      <c r="BNO62"/>
      <c r="BNP62"/>
      <c r="BNQ62"/>
      <c r="BNR62"/>
      <c r="BNS62"/>
      <c r="BNT62"/>
      <c r="BNU62"/>
      <c r="BNV62"/>
      <c r="BNW62"/>
      <c r="BNX62"/>
      <c r="BNY62"/>
      <c r="BNZ62"/>
      <c r="BOA62"/>
      <c r="BOB62"/>
      <c r="BOC62"/>
      <c r="BOD62"/>
      <c r="BOE62"/>
      <c r="BOF62"/>
      <c r="BOG62"/>
      <c r="BOH62"/>
      <c r="BOI62"/>
      <c r="BOJ62"/>
      <c r="BOK62"/>
      <c r="BOL62"/>
      <c r="BOM62"/>
      <c r="BON62"/>
      <c r="BOO62"/>
      <c r="BOP62"/>
      <c r="BOQ62"/>
      <c r="BOR62"/>
      <c r="BOS62"/>
      <c r="BOT62"/>
      <c r="BOU62"/>
      <c r="BOV62"/>
      <c r="BOW62"/>
      <c r="BOX62"/>
      <c r="BOY62"/>
      <c r="BOZ62"/>
      <c r="BPA62"/>
      <c r="BPB62"/>
      <c r="BPC62"/>
      <c r="BPD62"/>
      <c r="BPE62"/>
      <c r="BPF62"/>
      <c r="BPG62"/>
      <c r="BPH62"/>
      <c r="BPI62"/>
      <c r="BPJ62"/>
      <c r="BPK62"/>
      <c r="BPL62"/>
      <c r="BPM62"/>
      <c r="BPN62"/>
      <c r="BPO62"/>
      <c r="BPP62"/>
      <c r="BPQ62"/>
      <c r="BPR62"/>
      <c r="BPS62"/>
      <c r="BPT62"/>
      <c r="BPU62"/>
      <c r="BPV62"/>
      <c r="BPW62"/>
      <c r="BPX62"/>
      <c r="BPY62"/>
      <c r="BPZ62"/>
      <c r="BQA62"/>
      <c r="BQB62"/>
      <c r="BQC62"/>
      <c r="BQD62"/>
      <c r="BQE62"/>
      <c r="BQF62"/>
      <c r="BQG62"/>
      <c r="BQH62"/>
      <c r="BQI62"/>
      <c r="BQJ62"/>
      <c r="BQK62"/>
      <c r="BQL62"/>
      <c r="BQM62"/>
      <c r="BQN62"/>
      <c r="BQO62"/>
      <c r="BQP62"/>
      <c r="BQQ62"/>
      <c r="BQR62"/>
      <c r="BQS62"/>
      <c r="BQT62"/>
      <c r="BQU62"/>
      <c r="BQV62"/>
      <c r="BQW62"/>
      <c r="BQX62"/>
      <c r="BQY62"/>
      <c r="BQZ62"/>
      <c r="BRA62"/>
      <c r="BRB62"/>
      <c r="BRC62"/>
      <c r="BRD62"/>
      <c r="BRE62"/>
      <c r="BRF62"/>
      <c r="BRG62"/>
      <c r="BRH62"/>
      <c r="BRI62"/>
      <c r="BRJ62"/>
      <c r="BRK62"/>
      <c r="BRL62"/>
      <c r="BRM62"/>
      <c r="BRN62"/>
      <c r="BRO62"/>
      <c r="BRP62"/>
      <c r="BRQ62"/>
      <c r="BRR62"/>
      <c r="BRS62"/>
      <c r="BRT62"/>
      <c r="BRU62"/>
      <c r="BRV62"/>
      <c r="BRW62"/>
      <c r="BRX62"/>
      <c r="BRY62"/>
      <c r="BRZ62"/>
      <c r="BSA62"/>
      <c r="BSB62"/>
      <c r="BSC62"/>
      <c r="BSD62"/>
      <c r="BSE62"/>
      <c r="BSF62"/>
      <c r="BSG62"/>
      <c r="BSH62"/>
      <c r="BSI62"/>
      <c r="BSJ62"/>
      <c r="BSK62"/>
      <c r="BSL62"/>
      <c r="BSM62"/>
      <c r="BSN62"/>
      <c r="BSO62"/>
      <c r="BSP62"/>
      <c r="BSQ62"/>
      <c r="BSR62"/>
      <c r="BSS62"/>
      <c r="BST62"/>
      <c r="BSU62"/>
      <c r="BSV62"/>
      <c r="BSW62"/>
      <c r="BSX62"/>
      <c r="BSY62"/>
      <c r="BSZ62"/>
      <c r="BTA62"/>
      <c r="BTB62"/>
      <c r="BTC62"/>
      <c r="BTD62"/>
      <c r="BTE62"/>
      <c r="BTF62"/>
      <c r="BTG62"/>
      <c r="BTH62"/>
      <c r="BTI62"/>
      <c r="BTJ62"/>
      <c r="BTK62"/>
      <c r="BTL62"/>
      <c r="BTM62"/>
      <c r="BTN62"/>
      <c r="BTO62"/>
      <c r="BTP62"/>
      <c r="BTQ62"/>
      <c r="BTR62"/>
      <c r="BTS62"/>
      <c r="BTT62"/>
      <c r="BTU62"/>
      <c r="BTV62"/>
      <c r="BTW62"/>
      <c r="BTX62"/>
      <c r="BTY62"/>
      <c r="BTZ62"/>
      <c r="BUA62"/>
      <c r="BUB62"/>
      <c r="BUC62"/>
      <c r="BUD62"/>
      <c r="BUE62"/>
      <c r="BUF62"/>
      <c r="BUG62"/>
      <c r="BUH62"/>
      <c r="BUI62"/>
      <c r="BUJ62"/>
      <c r="BUK62"/>
      <c r="BUL62"/>
      <c r="BUM62"/>
      <c r="BUN62"/>
      <c r="BUO62"/>
      <c r="BUP62"/>
      <c r="BUQ62"/>
      <c r="BUR62"/>
      <c r="BUS62"/>
      <c r="BUT62"/>
      <c r="BUU62"/>
      <c r="BUV62"/>
      <c r="BUW62"/>
      <c r="BUX62"/>
      <c r="BUY62"/>
      <c r="BUZ62"/>
      <c r="BVA62"/>
      <c r="BVB62"/>
      <c r="BVC62"/>
      <c r="BVD62"/>
      <c r="BVE62"/>
      <c r="BVF62"/>
      <c r="BVG62"/>
      <c r="BVH62"/>
      <c r="BVI62"/>
      <c r="BVJ62"/>
      <c r="BVK62"/>
      <c r="BVL62"/>
      <c r="BVM62"/>
      <c r="BVN62"/>
      <c r="BVO62"/>
      <c r="BVP62"/>
      <c r="BVQ62"/>
      <c r="BVR62"/>
      <c r="BVS62"/>
      <c r="BVT62"/>
      <c r="BVU62"/>
      <c r="BVV62"/>
      <c r="BVW62"/>
      <c r="BVX62"/>
      <c r="BVY62"/>
      <c r="BVZ62"/>
      <c r="BWA62"/>
      <c r="BWB62"/>
      <c r="BWC62"/>
      <c r="BWD62"/>
      <c r="BWE62"/>
      <c r="BWF62"/>
      <c r="BWG62"/>
      <c r="BWH62"/>
      <c r="BWI62"/>
      <c r="BWJ62"/>
      <c r="BWK62"/>
      <c r="BWL62"/>
      <c r="BWM62"/>
      <c r="BWN62"/>
      <c r="BWO62"/>
      <c r="BWP62"/>
      <c r="BWQ62"/>
      <c r="BWR62"/>
      <c r="BWS62"/>
      <c r="BWT62"/>
      <c r="BWU62"/>
      <c r="BWV62"/>
      <c r="BWW62"/>
      <c r="BWX62"/>
      <c r="BWY62"/>
      <c r="BWZ62"/>
      <c r="BXA62"/>
      <c r="BXB62"/>
      <c r="BXC62"/>
      <c r="BXD62"/>
      <c r="BXE62"/>
      <c r="BXF62"/>
      <c r="BXG62"/>
      <c r="BXH62"/>
      <c r="BXI62"/>
      <c r="BXJ62"/>
      <c r="BXK62"/>
      <c r="BXL62"/>
      <c r="BXM62"/>
      <c r="BXN62"/>
      <c r="BXO62"/>
      <c r="BXP62"/>
      <c r="BXQ62"/>
      <c r="BXR62"/>
      <c r="BXS62"/>
      <c r="BXT62"/>
      <c r="BXU62"/>
      <c r="BXV62"/>
      <c r="BXW62"/>
      <c r="BXX62"/>
      <c r="BXY62"/>
      <c r="BXZ62"/>
      <c r="BYA62"/>
      <c r="BYB62"/>
      <c r="BYC62"/>
      <c r="BYD62"/>
      <c r="BYE62"/>
      <c r="BYF62"/>
      <c r="BYG62"/>
      <c r="BYH62"/>
      <c r="BYI62"/>
      <c r="BYJ62"/>
      <c r="BYK62"/>
      <c r="BYL62"/>
      <c r="BYM62"/>
      <c r="BYN62"/>
      <c r="BYO62"/>
      <c r="BYP62"/>
      <c r="BYQ62"/>
      <c r="BYR62"/>
      <c r="BYS62"/>
      <c r="BYT62"/>
      <c r="BYU62"/>
      <c r="BYV62"/>
      <c r="BYW62"/>
      <c r="BYX62"/>
      <c r="BYY62"/>
      <c r="BYZ62"/>
      <c r="BZA62"/>
      <c r="BZB62"/>
      <c r="BZC62"/>
      <c r="BZD62"/>
      <c r="BZE62"/>
      <c r="BZF62"/>
      <c r="BZG62"/>
      <c r="BZH62"/>
      <c r="BZI62"/>
      <c r="BZJ62"/>
      <c r="BZK62"/>
      <c r="BZL62"/>
      <c r="BZM62"/>
      <c r="BZN62"/>
      <c r="BZO62"/>
      <c r="BZP62"/>
      <c r="BZQ62"/>
      <c r="BZR62"/>
      <c r="BZS62"/>
      <c r="BZT62"/>
      <c r="BZU62"/>
      <c r="BZV62"/>
      <c r="BZW62"/>
      <c r="BZX62"/>
      <c r="BZY62"/>
      <c r="BZZ62"/>
      <c r="CAA62"/>
      <c r="CAB62"/>
      <c r="CAC62"/>
      <c r="CAD62"/>
      <c r="CAE62"/>
      <c r="CAF62"/>
      <c r="CAG62"/>
      <c r="CAH62"/>
      <c r="CAI62"/>
      <c r="CAJ62"/>
      <c r="CAK62"/>
      <c r="CAL62"/>
      <c r="CAM62"/>
      <c r="CAN62"/>
      <c r="CAO62"/>
      <c r="CAP62"/>
      <c r="CAQ62"/>
      <c r="CAR62"/>
      <c r="CAS62"/>
      <c r="CAT62"/>
      <c r="CAU62"/>
      <c r="CAV62"/>
      <c r="CAW62"/>
      <c r="CAX62"/>
      <c r="CAY62"/>
      <c r="CAZ62"/>
      <c r="CBA62"/>
      <c r="CBB62"/>
      <c r="CBC62"/>
      <c r="CBD62"/>
      <c r="CBE62"/>
      <c r="CBF62"/>
      <c r="CBG62"/>
      <c r="CBH62"/>
      <c r="CBI62"/>
      <c r="CBJ62"/>
      <c r="CBK62"/>
      <c r="CBL62"/>
      <c r="CBM62"/>
      <c r="CBN62"/>
      <c r="CBO62"/>
      <c r="CBP62"/>
      <c r="CBQ62"/>
      <c r="CBR62"/>
      <c r="CBS62"/>
      <c r="CBT62"/>
      <c r="CBU62"/>
      <c r="CBV62"/>
      <c r="CBW62"/>
      <c r="CBX62"/>
      <c r="CBY62"/>
      <c r="CBZ62"/>
      <c r="CCA62"/>
      <c r="CCB62"/>
      <c r="CCC62"/>
      <c r="CCD62"/>
      <c r="CCE62"/>
      <c r="CCF62"/>
      <c r="CCG62"/>
      <c r="CCH62"/>
      <c r="CCI62"/>
      <c r="CCJ62"/>
      <c r="CCK62"/>
      <c r="CCL62"/>
      <c r="CCM62"/>
      <c r="CCN62"/>
      <c r="CCO62"/>
      <c r="CCP62"/>
      <c r="CCQ62"/>
      <c r="CCR62"/>
      <c r="CCS62"/>
      <c r="CCT62"/>
      <c r="CCU62"/>
      <c r="CCV62"/>
      <c r="CCW62"/>
      <c r="CCX62"/>
      <c r="CCY62"/>
      <c r="CCZ62"/>
      <c r="CDA62"/>
      <c r="CDB62"/>
      <c r="CDC62"/>
      <c r="CDD62"/>
      <c r="CDE62"/>
      <c r="CDF62"/>
      <c r="CDG62"/>
      <c r="CDH62"/>
      <c r="CDI62"/>
      <c r="CDJ62"/>
      <c r="CDK62"/>
      <c r="CDL62"/>
      <c r="CDM62"/>
      <c r="CDN62"/>
      <c r="CDO62"/>
      <c r="CDP62"/>
      <c r="CDQ62"/>
      <c r="CDR62"/>
      <c r="CDS62"/>
      <c r="CDT62"/>
      <c r="CDU62"/>
      <c r="CDV62"/>
      <c r="CDW62"/>
      <c r="CDX62"/>
      <c r="CDY62"/>
      <c r="CDZ62"/>
      <c r="CEA62"/>
      <c r="CEB62"/>
      <c r="CEC62"/>
      <c r="CED62"/>
      <c r="CEE62"/>
      <c r="CEF62"/>
      <c r="CEG62"/>
      <c r="CEH62"/>
      <c r="CEI62"/>
      <c r="CEJ62"/>
      <c r="CEK62"/>
      <c r="CEL62"/>
      <c r="CEM62"/>
      <c r="CEN62"/>
      <c r="CEO62"/>
      <c r="CEP62"/>
      <c r="CEQ62"/>
      <c r="CER62"/>
      <c r="CES62"/>
      <c r="CET62"/>
      <c r="CEU62"/>
      <c r="CEV62"/>
      <c r="CEW62"/>
      <c r="CEX62"/>
      <c r="CEY62"/>
      <c r="CEZ62"/>
      <c r="CFA62"/>
      <c r="CFB62"/>
      <c r="CFC62"/>
      <c r="CFD62"/>
      <c r="CFE62"/>
      <c r="CFF62"/>
      <c r="CFG62"/>
      <c r="CFH62"/>
      <c r="CFI62"/>
      <c r="CFJ62"/>
      <c r="CFK62"/>
      <c r="CFL62"/>
      <c r="CFM62"/>
      <c r="CFN62"/>
      <c r="CFO62"/>
      <c r="CFP62"/>
      <c r="CFQ62"/>
      <c r="CFR62"/>
      <c r="CFS62"/>
      <c r="CFT62"/>
      <c r="CFU62"/>
      <c r="CFV62"/>
      <c r="CFW62"/>
      <c r="CFX62"/>
      <c r="CFY62"/>
      <c r="CFZ62"/>
      <c r="CGA62"/>
      <c r="CGB62"/>
      <c r="CGC62"/>
      <c r="CGD62"/>
      <c r="CGE62"/>
      <c r="CGF62"/>
      <c r="CGG62"/>
      <c r="CGH62"/>
      <c r="CGI62"/>
      <c r="CGJ62"/>
      <c r="CGK62"/>
      <c r="CGL62"/>
      <c r="CGM62"/>
      <c r="CGN62"/>
      <c r="CGO62"/>
      <c r="CGP62"/>
      <c r="CGQ62"/>
      <c r="CGR62"/>
      <c r="CGS62"/>
      <c r="CGT62"/>
      <c r="CGU62"/>
      <c r="CGV62"/>
      <c r="CGW62"/>
      <c r="CGX62"/>
      <c r="CGY62"/>
      <c r="CGZ62"/>
      <c r="CHA62"/>
      <c r="CHB62"/>
      <c r="CHC62"/>
      <c r="CHD62"/>
      <c r="CHE62"/>
      <c r="CHF62"/>
      <c r="CHG62"/>
      <c r="CHH62"/>
      <c r="CHI62"/>
      <c r="CHJ62"/>
      <c r="CHK62"/>
      <c r="CHL62"/>
      <c r="CHM62"/>
      <c r="CHN62"/>
      <c r="CHO62"/>
      <c r="CHP62"/>
      <c r="CHQ62"/>
      <c r="CHR62"/>
      <c r="CHS62"/>
      <c r="CHT62"/>
      <c r="CHU62"/>
      <c r="CHV62"/>
      <c r="CHW62"/>
      <c r="CHX62"/>
      <c r="CHY62"/>
      <c r="CHZ62"/>
      <c r="CIA62"/>
      <c r="CIB62"/>
      <c r="CIC62"/>
      <c r="CID62"/>
      <c r="CIE62"/>
      <c r="CIF62"/>
      <c r="CIG62"/>
      <c r="CIH62"/>
      <c r="CII62"/>
      <c r="CIJ62"/>
      <c r="CIK62"/>
      <c r="CIL62"/>
      <c r="CIM62"/>
      <c r="CIN62"/>
      <c r="CIO62"/>
      <c r="CIP62"/>
      <c r="CIQ62"/>
      <c r="CIR62"/>
      <c r="CIS62"/>
      <c r="CIT62"/>
      <c r="CIU62"/>
      <c r="CIV62"/>
      <c r="CIW62"/>
      <c r="CIX62"/>
      <c r="CIY62"/>
      <c r="CIZ62"/>
      <c r="CJA62"/>
      <c r="CJB62"/>
      <c r="CJC62"/>
      <c r="CJD62"/>
      <c r="CJE62"/>
      <c r="CJF62"/>
      <c r="CJG62"/>
      <c r="CJH62"/>
      <c r="CJI62"/>
      <c r="CJJ62"/>
      <c r="CJK62"/>
      <c r="CJL62"/>
      <c r="CJM62"/>
      <c r="CJN62"/>
      <c r="CJO62"/>
      <c r="CJP62"/>
      <c r="CJQ62"/>
      <c r="CJR62"/>
      <c r="CJS62"/>
      <c r="CJT62"/>
      <c r="CJU62"/>
      <c r="CJV62"/>
      <c r="CJW62"/>
      <c r="CJX62"/>
      <c r="CJY62"/>
      <c r="CJZ62"/>
      <c r="CKA62"/>
      <c r="CKB62"/>
      <c r="CKC62"/>
      <c r="CKD62"/>
      <c r="CKE62"/>
      <c r="CKF62"/>
      <c r="CKG62"/>
      <c r="CKH62"/>
      <c r="CKI62"/>
      <c r="CKJ62"/>
      <c r="CKK62"/>
      <c r="CKL62"/>
      <c r="CKM62"/>
      <c r="CKN62"/>
      <c r="CKO62"/>
      <c r="CKP62"/>
      <c r="CKQ62"/>
      <c r="CKR62"/>
      <c r="CKS62"/>
      <c r="CKT62"/>
      <c r="CKU62"/>
      <c r="CKV62"/>
      <c r="CKW62"/>
      <c r="CKX62"/>
      <c r="CKY62"/>
      <c r="CKZ62"/>
      <c r="CLA62"/>
      <c r="CLB62"/>
      <c r="CLC62"/>
      <c r="CLD62"/>
      <c r="CLE62"/>
      <c r="CLF62"/>
      <c r="CLG62"/>
      <c r="CLH62"/>
      <c r="CLI62"/>
      <c r="CLJ62"/>
      <c r="CLK62"/>
      <c r="CLL62"/>
      <c r="CLM62"/>
      <c r="CLN62"/>
      <c r="CLO62"/>
      <c r="CLP62"/>
      <c r="CLQ62"/>
      <c r="CLR62"/>
      <c r="CLS62"/>
      <c r="CLT62"/>
      <c r="CLU62"/>
      <c r="CLV62"/>
      <c r="CLW62"/>
      <c r="CLX62"/>
      <c r="CLY62"/>
      <c r="CLZ62"/>
      <c r="CMA62"/>
      <c r="CMB62"/>
      <c r="CMC62"/>
      <c r="CMD62"/>
      <c r="CME62"/>
      <c r="CMF62"/>
      <c r="CMG62"/>
      <c r="CMH62"/>
      <c r="CMI62"/>
      <c r="CMJ62"/>
      <c r="CMK62"/>
      <c r="CML62"/>
      <c r="CMM62"/>
      <c r="CMN62"/>
      <c r="CMO62"/>
      <c r="CMP62"/>
      <c r="CMQ62"/>
      <c r="CMR62"/>
      <c r="CMS62"/>
      <c r="CMT62"/>
      <c r="CMU62"/>
      <c r="CMV62"/>
      <c r="CMW62"/>
      <c r="CMX62"/>
      <c r="CMY62"/>
      <c r="CMZ62"/>
      <c r="CNA62"/>
      <c r="CNB62"/>
      <c r="CNC62"/>
      <c r="CND62"/>
      <c r="CNE62"/>
      <c r="CNF62"/>
      <c r="CNG62"/>
      <c r="CNH62"/>
      <c r="CNI62"/>
      <c r="CNJ62"/>
      <c r="CNK62"/>
      <c r="CNL62"/>
      <c r="CNM62"/>
      <c r="CNN62"/>
      <c r="CNO62"/>
      <c r="CNP62"/>
      <c r="CNQ62"/>
      <c r="CNR62"/>
      <c r="CNS62"/>
      <c r="CNT62"/>
      <c r="CNU62"/>
      <c r="CNV62"/>
      <c r="CNW62"/>
      <c r="CNX62"/>
      <c r="CNY62"/>
      <c r="CNZ62"/>
      <c r="COA62"/>
      <c r="COB62"/>
      <c r="COC62"/>
      <c r="COD62"/>
      <c r="COE62"/>
      <c r="COF62"/>
      <c r="COG62"/>
      <c r="COH62"/>
      <c r="COI62"/>
      <c r="COJ62"/>
      <c r="COK62"/>
      <c r="COL62"/>
      <c r="COM62"/>
      <c r="CON62"/>
      <c r="COO62"/>
      <c r="COP62"/>
      <c r="COQ62"/>
      <c r="COR62"/>
      <c r="COS62"/>
      <c r="COT62"/>
      <c r="COU62"/>
      <c r="COV62"/>
      <c r="COW62"/>
      <c r="COX62"/>
      <c r="COY62"/>
      <c r="COZ62"/>
      <c r="CPA62"/>
      <c r="CPB62"/>
      <c r="CPC62"/>
      <c r="CPD62"/>
      <c r="CPE62"/>
      <c r="CPF62"/>
      <c r="CPG62"/>
      <c r="CPH62"/>
      <c r="CPI62"/>
      <c r="CPJ62"/>
      <c r="CPK62"/>
      <c r="CPL62"/>
      <c r="CPM62"/>
      <c r="CPN62"/>
      <c r="CPO62"/>
      <c r="CPP62"/>
      <c r="CPQ62"/>
      <c r="CPR62"/>
      <c r="CPS62"/>
      <c r="CPT62"/>
      <c r="CPU62"/>
      <c r="CPV62"/>
      <c r="CPW62"/>
      <c r="CPX62"/>
      <c r="CPY62"/>
      <c r="CPZ62"/>
      <c r="CQA62"/>
      <c r="CQB62"/>
      <c r="CQC62"/>
      <c r="CQD62"/>
      <c r="CQE62"/>
      <c r="CQF62"/>
      <c r="CQG62"/>
      <c r="CQH62"/>
      <c r="CQI62"/>
      <c r="CQJ62"/>
      <c r="CQK62"/>
      <c r="CQL62"/>
      <c r="CQM62"/>
      <c r="CQN62"/>
      <c r="CQO62"/>
      <c r="CQP62"/>
      <c r="CQQ62"/>
      <c r="CQR62"/>
      <c r="CQS62"/>
      <c r="CQT62"/>
      <c r="CQU62"/>
      <c r="CQV62"/>
      <c r="CQW62"/>
      <c r="CQX62"/>
      <c r="CQY62"/>
      <c r="CQZ62"/>
      <c r="CRA62"/>
      <c r="CRB62"/>
      <c r="CRC62"/>
      <c r="CRD62"/>
      <c r="CRE62"/>
      <c r="CRF62"/>
      <c r="CRG62"/>
      <c r="CRH62"/>
      <c r="CRI62"/>
      <c r="CRJ62"/>
      <c r="CRK62"/>
      <c r="CRL62"/>
      <c r="CRM62"/>
      <c r="CRN62"/>
      <c r="CRO62"/>
      <c r="CRP62"/>
      <c r="CRQ62"/>
      <c r="CRR62"/>
      <c r="CRS62"/>
      <c r="CRT62"/>
      <c r="CRU62"/>
      <c r="CRV62"/>
      <c r="CRW62"/>
      <c r="CRX62"/>
      <c r="CRY62"/>
      <c r="CRZ62"/>
      <c r="CSA62"/>
      <c r="CSB62"/>
      <c r="CSC62"/>
      <c r="CSD62"/>
      <c r="CSE62"/>
      <c r="CSF62"/>
      <c r="CSG62"/>
      <c r="CSH62"/>
      <c r="CSI62"/>
      <c r="CSJ62"/>
      <c r="CSK62"/>
      <c r="CSL62"/>
      <c r="CSM62"/>
      <c r="CSN62"/>
      <c r="CSO62"/>
      <c r="CSP62"/>
      <c r="CSQ62"/>
      <c r="CSR62"/>
      <c r="CSS62"/>
      <c r="CST62"/>
      <c r="CSU62"/>
      <c r="CSV62"/>
      <c r="CSW62"/>
      <c r="CSX62"/>
      <c r="CSY62"/>
      <c r="CSZ62"/>
      <c r="CTA62"/>
      <c r="CTB62"/>
      <c r="CTC62"/>
      <c r="CTD62"/>
      <c r="CTE62"/>
      <c r="CTF62"/>
      <c r="CTG62"/>
      <c r="CTH62"/>
      <c r="CTI62"/>
      <c r="CTJ62"/>
      <c r="CTK62"/>
      <c r="CTL62"/>
      <c r="CTM62"/>
      <c r="CTN62"/>
      <c r="CTO62"/>
      <c r="CTP62"/>
      <c r="CTQ62"/>
      <c r="CTR62"/>
      <c r="CTS62"/>
      <c r="CTT62"/>
      <c r="CTU62"/>
      <c r="CTV62"/>
      <c r="CTW62"/>
      <c r="CTX62"/>
      <c r="CTY62"/>
      <c r="CTZ62"/>
      <c r="CUA62"/>
      <c r="CUB62"/>
      <c r="CUC62"/>
      <c r="CUD62"/>
      <c r="CUE62"/>
      <c r="CUF62"/>
      <c r="CUG62"/>
      <c r="CUH62"/>
      <c r="CUI62"/>
      <c r="CUJ62"/>
      <c r="CUK62"/>
      <c r="CUL62"/>
      <c r="CUM62"/>
      <c r="CUN62"/>
      <c r="CUO62"/>
      <c r="CUP62"/>
      <c r="CUQ62"/>
      <c r="CUR62"/>
      <c r="CUS62"/>
      <c r="CUT62"/>
      <c r="CUU62"/>
      <c r="CUV62"/>
      <c r="CUW62"/>
      <c r="CUX62"/>
      <c r="CUY62"/>
      <c r="CUZ62"/>
      <c r="CVA62"/>
      <c r="CVB62"/>
      <c r="CVC62"/>
      <c r="CVD62"/>
      <c r="CVE62"/>
      <c r="CVF62"/>
      <c r="CVG62"/>
      <c r="CVH62"/>
      <c r="CVI62"/>
      <c r="CVJ62"/>
      <c r="CVK62"/>
      <c r="CVL62"/>
      <c r="CVM62"/>
      <c r="CVN62"/>
      <c r="CVO62"/>
      <c r="CVP62"/>
      <c r="CVQ62"/>
      <c r="CVR62"/>
      <c r="CVS62"/>
      <c r="CVT62"/>
      <c r="CVU62"/>
      <c r="CVV62"/>
      <c r="CVW62"/>
      <c r="CVX62"/>
      <c r="CVY62"/>
      <c r="CVZ62"/>
      <c r="CWA62"/>
      <c r="CWB62"/>
      <c r="CWC62"/>
      <c r="CWD62"/>
      <c r="CWE62"/>
      <c r="CWF62"/>
      <c r="CWG62"/>
      <c r="CWH62"/>
      <c r="CWI62"/>
      <c r="CWJ62"/>
      <c r="CWK62"/>
      <c r="CWL62"/>
      <c r="CWM62"/>
      <c r="CWN62"/>
      <c r="CWO62"/>
      <c r="CWP62"/>
      <c r="CWQ62"/>
      <c r="CWR62"/>
      <c r="CWS62"/>
      <c r="CWT62"/>
      <c r="CWU62"/>
      <c r="CWV62"/>
      <c r="CWW62"/>
      <c r="CWX62"/>
      <c r="CWY62"/>
      <c r="CWZ62"/>
      <c r="CXA62"/>
      <c r="CXB62"/>
      <c r="CXC62"/>
      <c r="CXD62"/>
      <c r="CXE62"/>
      <c r="CXF62"/>
      <c r="CXG62"/>
      <c r="CXH62"/>
      <c r="CXI62"/>
      <c r="CXJ62"/>
      <c r="CXK62"/>
      <c r="CXL62"/>
      <c r="CXM62"/>
      <c r="CXN62"/>
      <c r="CXO62"/>
      <c r="CXP62"/>
      <c r="CXQ62"/>
      <c r="CXR62"/>
      <c r="CXS62"/>
      <c r="CXT62"/>
      <c r="CXU62"/>
      <c r="CXV62"/>
      <c r="CXW62"/>
      <c r="CXX62"/>
      <c r="CXY62"/>
      <c r="CXZ62"/>
      <c r="CYA62"/>
      <c r="CYB62"/>
      <c r="CYC62"/>
      <c r="CYD62"/>
      <c r="CYE62"/>
      <c r="CYF62"/>
      <c r="CYG62"/>
      <c r="CYH62"/>
      <c r="CYI62"/>
      <c r="CYJ62"/>
      <c r="CYK62"/>
      <c r="CYL62"/>
      <c r="CYM62"/>
      <c r="CYN62"/>
      <c r="CYO62"/>
      <c r="CYP62"/>
      <c r="CYQ62"/>
      <c r="CYR62"/>
      <c r="CYS62"/>
      <c r="CYT62"/>
      <c r="CYU62"/>
      <c r="CYV62"/>
      <c r="CYW62"/>
      <c r="CYX62"/>
      <c r="CYY62"/>
      <c r="CYZ62"/>
      <c r="CZA62"/>
      <c r="CZB62"/>
      <c r="CZC62"/>
      <c r="CZD62"/>
      <c r="CZE62"/>
      <c r="CZF62"/>
      <c r="CZG62"/>
      <c r="CZH62"/>
      <c r="CZI62"/>
      <c r="CZJ62"/>
      <c r="CZK62"/>
      <c r="CZL62"/>
      <c r="CZM62"/>
      <c r="CZN62"/>
      <c r="CZO62"/>
      <c r="CZP62"/>
      <c r="CZQ62"/>
      <c r="CZR62"/>
      <c r="CZS62"/>
      <c r="CZT62"/>
      <c r="CZU62"/>
      <c r="CZV62"/>
      <c r="CZW62"/>
      <c r="CZX62"/>
      <c r="CZY62"/>
      <c r="CZZ62"/>
      <c r="DAA62"/>
      <c r="DAB62"/>
      <c r="DAC62"/>
      <c r="DAD62"/>
      <c r="DAE62"/>
      <c r="DAF62"/>
      <c r="DAG62"/>
      <c r="DAH62"/>
      <c r="DAI62"/>
      <c r="DAJ62"/>
      <c r="DAK62"/>
      <c r="DAL62"/>
      <c r="DAM62"/>
      <c r="DAN62"/>
      <c r="DAO62"/>
      <c r="DAP62"/>
      <c r="DAQ62"/>
      <c r="DAR62"/>
      <c r="DAS62"/>
      <c r="DAT62"/>
      <c r="DAU62"/>
      <c r="DAV62"/>
      <c r="DAW62"/>
      <c r="DAX62"/>
      <c r="DAY62"/>
      <c r="DAZ62"/>
      <c r="DBA62"/>
      <c r="DBB62"/>
      <c r="DBC62"/>
      <c r="DBD62"/>
      <c r="DBE62"/>
      <c r="DBF62"/>
      <c r="DBG62"/>
      <c r="DBH62"/>
      <c r="DBI62"/>
      <c r="DBJ62"/>
      <c r="DBK62"/>
      <c r="DBL62"/>
      <c r="DBM62"/>
      <c r="DBN62"/>
      <c r="DBO62"/>
      <c r="DBP62"/>
      <c r="DBQ62"/>
      <c r="DBR62"/>
      <c r="DBS62"/>
      <c r="DBT62"/>
      <c r="DBU62"/>
      <c r="DBV62"/>
      <c r="DBW62"/>
      <c r="DBX62"/>
      <c r="DBY62"/>
      <c r="DBZ62"/>
      <c r="DCA62"/>
      <c r="DCB62"/>
      <c r="DCC62"/>
      <c r="DCD62"/>
      <c r="DCE62"/>
      <c r="DCF62"/>
      <c r="DCG62"/>
      <c r="DCH62"/>
      <c r="DCI62"/>
      <c r="DCJ62"/>
      <c r="DCK62"/>
      <c r="DCL62"/>
      <c r="DCM62"/>
      <c r="DCN62"/>
      <c r="DCO62"/>
      <c r="DCP62"/>
      <c r="DCQ62"/>
      <c r="DCR62"/>
      <c r="DCS62"/>
      <c r="DCT62"/>
      <c r="DCU62"/>
      <c r="DCV62"/>
      <c r="DCW62"/>
      <c r="DCX62"/>
      <c r="DCY62"/>
      <c r="DCZ62"/>
      <c r="DDA62"/>
      <c r="DDB62"/>
      <c r="DDC62"/>
      <c r="DDD62"/>
      <c r="DDE62"/>
      <c r="DDF62"/>
      <c r="DDG62"/>
      <c r="DDH62"/>
      <c r="DDI62"/>
      <c r="DDJ62"/>
      <c r="DDK62"/>
      <c r="DDL62"/>
      <c r="DDM62"/>
      <c r="DDN62"/>
      <c r="DDO62"/>
      <c r="DDP62"/>
      <c r="DDQ62"/>
      <c r="DDR62"/>
      <c r="DDS62"/>
      <c r="DDT62"/>
      <c r="DDU62"/>
      <c r="DDV62"/>
      <c r="DDW62"/>
      <c r="DDX62"/>
      <c r="DDY62"/>
      <c r="DDZ62"/>
      <c r="DEA62"/>
      <c r="DEB62"/>
      <c r="DEC62"/>
      <c r="DED62"/>
      <c r="DEE62"/>
      <c r="DEF62"/>
      <c r="DEG62"/>
      <c r="DEH62"/>
      <c r="DEI62"/>
      <c r="DEJ62"/>
      <c r="DEK62"/>
      <c r="DEL62"/>
      <c r="DEM62"/>
      <c r="DEN62"/>
      <c r="DEO62"/>
      <c r="DEP62"/>
      <c r="DEQ62"/>
      <c r="DER62"/>
      <c r="DES62"/>
      <c r="DET62"/>
      <c r="DEU62"/>
      <c r="DEV62"/>
      <c r="DEW62"/>
      <c r="DEX62"/>
      <c r="DEY62"/>
      <c r="DEZ62"/>
      <c r="DFA62"/>
      <c r="DFB62"/>
      <c r="DFC62"/>
      <c r="DFD62"/>
      <c r="DFE62"/>
      <c r="DFF62"/>
      <c r="DFG62"/>
      <c r="DFH62"/>
      <c r="DFI62"/>
      <c r="DFJ62"/>
      <c r="DFK62"/>
      <c r="DFL62"/>
      <c r="DFM62"/>
      <c r="DFN62"/>
      <c r="DFO62"/>
      <c r="DFP62"/>
      <c r="DFQ62"/>
      <c r="DFR62"/>
      <c r="DFS62"/>
      <c r="DFT62"/>
      <c r="DFU62"/>
      <c r="DFV62"/>
      <c r="DFW62"/>
      <c r="DFX62"/>
      <c r="DFY62"/>
      <c r="DFZ62"/>
      <c r="DGA62"/>
      <c r="DGB62"/>
      <c r="DGC62"/>
      <c r="DGD62"/>
      <c r="DGE62"/>
      <c r="DGF62"/>
      <c r="DGG62"/>
      <c r="DGH62"/>
      <c r="DGI62"/>
      <c r="DGJ62"/>
      <c r="DGK62"/>
      <c r="DGL62"/>
      <c r="DGM62"/>
      <c r="DGN62"/>
      <c r="DGO62"/>
      <c r="DGP62"/>
      <c r="DGQ62"/>
      <c r="DGR62"/>
      <c r="DGS62"/>
      <c r="DGT62"/>
      <c r="DGU62"/>
      <c r="DGV62"/>
      <c r="DGW62"/>
      <c r="DGX62"/>
      <c r="DGY62"/>
      <c r="DGZ62"/>
      <c r="DHA62"/>
      <c r="DHB62"/>
      <c r="DHC62"/>
      <c r="DHD62"/>
      <c r="DHE62"/>
      <c r="DHF62"/>
      <c r="DHG62"/>
      <c r="DHH62"/>
      <c r="DHI62"/>
      <c r="DHJ62"/>
      <c r="DHK62"/>
      <c r="DHL62"/>
      <c r="DHM62"/>
      <c r="DHN62"/>
      <c r="DHO62"/>
      <c r="DHP62"/>
      <c r="DHQ62"/>
      <c r="DHR62"/>
      <c r="DHS62"/>
      <c r="DHT62"/>
      <c r="DHU62"/>
      <c r="DHV62"/>
      <c r="DHW62"/>
      <c r="DHX62"/>
      <c r="DHY62"/>
      <c r="DHZ62"/>
      <c r="DIA62"/>
      <c r="DIB62"/>
      <c r="DIC62"/>
      <c r="DID62"/>
      <c r="DIE62"/>
      <c r="DIF62"/>
      <c r="DIG62"/>
      <c r="DIH62"/>
      <c r="DII62"/>
      <c r="DIJ62"/>
      <c r="DIK62"/>
      <c r="DIL62"/>
      <c r="DIM62"/>
      <c r="DIN62"/>
      <c r="DIO62"/>
      <c r="DIP62"/>
      <c r="DIQ62"/>
      <c r="DIR62"/>
      <c r="DIS62"/>
      <c r="DIT62"/>
      <c r="DIU62"/>
      <c r="DIV62"/>
      <c r="DIW62"/>
      <c r="DIX62"/>
      <c r="DIY62"/>
      <c r="DIZ62"/>
      <c r="DJA62"/>
      <c r="DJB62"/>
      <c r="DJC62"/>
      <c r="DJD62"/>
      <c r="DJE62"/>
      <c r="DJF62"/>
      <c r="DJG62"/>
      <c r="DJH62"/>
      <c r="DJI62"/>
      <c r="DJJ62"/>
      <c r="DJK62"/>
      <c r="DJL62"/>
      <c r="DJM62"/>
      <c r="DJN62"/>
      <c r="DJO62"/>
      <c r="DJP62"/>
      <c r="DJQ62"/>
      <c r="DJR62"/>
      <c r="DJS62"/>
      <c r="DJT62"/>
      <c r="DJU62"/>
      <c r="DJV62"/>
      <c r="DJW62"/>
      <c r="DJX62"/>
      <c r="DJY62"/>
      <c r="DJZ62"/>
      <c r="DKA62"/>
      <c r="DKB62"/>
      <c r="DKC62"/>
      <c r="DKD62"/>
      <c r="DKE62"/>
      <c r="DKF62"/>
      <c r="DKG62"/>
      <c r="DKH62"/>
      <c r="DKI62"/>
      <c r="DKJ62"/>
      <c r="DKK62"/>
      <c r="DKL62"/>
      <c r="DKM62"/>
      <c r="DKN62"/>
      <c r="DKO62"/>
      <c r="DKP62"/>
      <c r="DKQ62"/>
      <c r="DKR62"/>
      <c r="DKS62"/>
      <c r="DKT62"/>
      <c r="DKU62"/>
      <c r="DKV62"/>
      <c r="DKW62"/>
      <c r="DKX62"/>
      <c r="DKY62"/>
      <c r="DKZ62"/>
      <c r="DLA62"/>
      <c r="DLB62"/>
      <c r="DLC62"/>
      <c r="DLD62"/>
      <c r="DLE62"/>
      <c r="DLF62"/>
      <c r="DLG62"/>
      <c r="DLH62"/>
      <c r="DLI62"/>
      <c r="DLJ62"/>
      <c r="DLK62"/>
      <c r="DLL62"/>
      <c r="DLM62"/>
      <c r="DLN62"/>
      <c r="DLO62"/>
      <c r="DLP62"/>
      <c r="DLQ62"/>
      <c r="DLR62"/>
      <c r="DLS62"/>
      <c r="DLT62"/>
      <c r="DLU62"/>
      <c r="DLV62"/>
      <c r="DLW62"/>
      <c r="DLX62"/>
      <c r="DLY62"/>
      <c r="DLZ62"/>
      <c r="DMA62"/>
      <c r="DMB62"/>
      <c r="DMC62"/>
      <c r="DMD62"/>
      <c r="DME62"/>
      <c r="DMF62"/>
      <c r="DMG62"/>
      <c r="DMH62"/>
      <c r="DMI62"/>
      <c r="DMJ62"/>
      <c r="DMK62"/>
      <c r="DML62"/>
      <c r="DMM62"/>
      <c r="DMN62"/>
      <c r="DMO62"/>
      <c r="DMP62"/>
      <c r="DMQ62"/>
      <c r="DMR62"/>
      <c r="DMS62"/>
      <c r="DMT62"/>
      <c r="DMU62"/>
      <c r="DMV62"/>
      <c r="DMW62"/>
      <c r="DMX62"/>
      <c r="DMY62"/>
      <c r="DMZ62"/>
      <c r="DNA62"/>
      <c r="DNB62"/>
      <c r="DNC62"/>
      <c r="DND62"/>
      <c r="DNE62"/>
      <c r="DNF62"/>
      <c r="DNG62"/>
      <c r="DNH62"/>
      <c r="DNI62"/>
      <c r="DNJ62"/>
      <c r="DNK62"/>
      <c r="DNL62"/>
      <c r="DNM62"/>
      <c r="DNN62"/>
      <c r="DNO62"/>
      <c r="DNP62"/>
      <c r="DNQ62"/>
      <c r="DNR62"/>
      <c r="DNS62"/>
      <c r="DNT62"/>
      <c r="DNU62"/>
      <c r="DNV62"/>
      <c r="DNW62"/>
      <c r="DNX62"/>
      <c r="DNY62"/>
      <c r="DNZ62"/>
      <c r="DOA62"/>
      <c r="DOB62"/>
      <c r="DOC62"/>
      <c r="DOD62"/>
      <c r="DOE62"/>
      <c r="DOF62"/>
      <c r="DOG62"/>
      <c r="DOH62"/>
      <c r="DOI62"/>
      <c r="DOJ62"/>
      <c r="DOK62"/>
      <c r="DOL62"/>
      <c r="DOM62"/>
      <c r="DON62"/>
      <c r="DOO62"/>
      <c r="DOP62"/>
      <c r="DOQ62"/>
      <c r="DOR62"/>
      <c r="DOS62"/>
      <c r="DOT62"/>
      <c r="DOU62"/>
      <c r="DOV62"/>
      <c r="DOW62"/>
      <c r="DOX62"/>
      <c r="DOY62"/>
      <c r="DOZ62"/>
      <c r="DPA62"/>
      <c r="DPB62"/>
      <c r="DPC62"/>
      <c r="DPD62"/>
      <c r="DPE62"/>
      <c r="DPF62"/>
      <c r="DPG62"/>
      <c r="DPH62"/>
      <c r="DPI62"/>
      <c r="DPJ62"/>
      <c r="DPK62"/>
      <c r="DPL62"/>
      <c r="DPM62"/>
      <c r="DPN62"/>
      <c r="DPO62"/>
      <c r="DPP62"/>
      <c r="DPQ62"/>
      <c r="DPR62"/>
      <c r="DPS62"/>
      <c r="DPT62"/>
      <c r="DPU62"/>
      <c r="DPV62"/>
      <c r="DPW62"/>
      <c r="DPX62"/>
      <c r="DPY62"/>
      <c r="DPZ62"/>
      <c r="DQA62"/>
      <c r="DQB62"/>
      <c r="DQC62"/>
      <c r="DQD62"/>
      <c r="DQE62"/>
      <c r="DQF62"/>
      <c r="DQG62"/>
      <c r="DQH62"/>
      <c r="DQI62"/>
      <c r="DQJ62"/>
      <c r="DQK62"/>
      <c r="DQL62"/>
      <c r="DQM62"/>
      <c r="DQN62"/>
      <c r="DQO62"/>
      <c r="DQP62"/>
      <c r="DQQ62"/>
      <c r="DQR62"/>
      <c r="DQS62"/>
      <c r="DQT62"/>
      <c r="DQU62"/>
      <c r="DQV62"/>
      <c r="DQW62"/>
      <c r="DQX62"/>
      <c r="DQY62"/>
      <c r="DQZ62"/>
      <c r="DRA62"/>
      <c r="DRB62"/>
      <c r="DRC62"/>
      <c r="DRD62"/>
      <c r="DRE62"/>
      <c r="DRF62"/>
      <c r="DRG62"/>
      <c r="DRH62"/>
      <c r="DRI62"/>
      <c r="DRJ62"/>
      <c r="DRK62"/>
      <c r="DRL62"/>
      <c r="DRM62"/>
      <c r="DRN62"/>
      <c r="DRO62"/>
      <c r="DRP62"/>
      <c r="DRQ62"/>
      <c r="DRR62"/>
      <c r="DRS62"/>
      <c r="DRT62"/>
      <c r="DRU62"/>
      <c r="DRV62"/>
      <c r="DRW62"/>
      <c r="DRX62"/>
      <c r="DRY62"/>
      <c r="DRZ62"/>
      <c r="DSA62"/>
      <c r="DSB62"/>
      <c r="DSC62"/>
      <c r="DSD62"/>
      <c r="DSE62"/>
      <c r="DSF62"/>
      <c r="DSG62"/>
      <c r="DSH62"/>
      <c r="DSI62"/>
      <c r="DSJ62"/>
      <c r="DSK62"/>
      <c r="DSL62"/>
      <c r="DSM62"/>
      <c r="DSN62"/>
      <c r="DSO62"/>
      <c r="DSP62"/>
      <c r="DSQ62"/>
      <c r="DSR62"/>
      <c r="DSS62"/>
      <c r="DST62"/>
      <c r="DSU62"/>
      <c r="DSV62"/>
      <c r="DSW62"/>
      <c r="DSX62"/>
      <c r="DSY62"/>
      <c r="DSZ62"/>
      <c r="DTA62"/>
      <c r="DTB62"/>
      <c r="DTC62"/>
      <c r="DTD62"/>
      <c r="DTE62"/>
      <c r="DTF62"/>
      <c r="DTG62"/>
      <c r="DTH62"/>
      <c r="DTI62"/>
      <c r="DTJ62"/>
      <c r="DTK62"/>
      <c r="DTL62"/>
      <c r="DTM62"/>
      <c r="DTN62"/>
      <c r="DTO62"/>
      <c r="DTP62"/>
      <c r="DTQ62"/>
      <c r="DTR62"/>
      <c r="DTS62"/>
      <c r="DTT62"/>
      <c r="DTU62"/>
      <c r="DTV62"/>
      <c r="DTW62"/>
      <c r="DTX62"/>
      <c r="DTY62"/>
      <c r="DTZ62"/>
      <c r="DUA62"/>
      <c r="DUB62"/>
      <c r="DUC62"/>
      <c r="DUD62"/>
      <c r="DUE62"/>
      <c r="DUF62"/>
      <c r="DUG62"/>
      <c r="DUH62"/>
      <c r="DUI62"/>
      <c r="DUJ62"/>
      <c r="DUK62"/>
      <c r="DUL62"/>
      <c r="DUM62"/>
      <c r="DUN62"/>
      <c r="DUO62"/>
      <c r="DUP62"/>
      <c r="DUQ62"/>
      <c r="DUR62"/>
      <c r="DUS62"/>
      <c r="DUT62"/>
      <c r="DUU62"/>
      <c r="DUV62"/>
      <c r="DUW62"/>
      <c r="DUX62"/>
      <c r="DUY62"/>
      <c r="DUZ62"/>
      <c r="DVA62"/>
      <c r="DVB62"/>
      <c r="DVC62"/>
      <c r="DVD62"/>
      <c r="DVE62"/>
      <c r="DVF62"/>
      <c r="DVG62"/>
      <c r="DVH62"/>
      <c r="DVI62"/>
      <c r="DVJ62"/>
      <c r="DVK62"/>
      <c r="DVL62"/>
      <c r="DVM62"/>
      <c r="DVN62"/>
      <c r="DVO62"/>
      <c r="DVP62"/>
      <c r="DVQ62"/>
      <c r="DVR62"/>
      <c r="DVS62"/>
      <c r="DVT62"/>
      <c r="DVU62"/>
      <c r="DVV62"/>
      <c r="DVW62"/>
      <c r="DVX62"/>
      <c r="DVY62"/>
      <c r="DVZ62"/>
      <c r="DWA62"/>
      <c r="DWB62"/>
      <c r="DWC62"/>
      <c r="DWD62"/>
      <c r="DWE62"/>
      <c r="DWF62"/>
      <c r="DWG62"/>
      <c r="DWH62"/>
      <c r="DWI62"/>
      <c r="DWJ62"/>
      <c r="DWK62"/>
      <c r="DWL62"/>
      <c r="DWM62"/>
      <c r="DWN62"/>
      <c r="DWO62"/>
      <c r="DWP62"/>
      <c r="DWQ62"/>
      <c r="DWR62"/>
      <c r="DWS62"/>
      <c r="DWT62"/>
      <c r="DWU62"/>
      <c r="DWV62"/>
      <c r="DWW62"/>
      <c r="DWX62"/>
      <c r="DWY62"/>
      <c r="DWZ62"/>
      <c r="DXA62"/>
      <c r="DXB62"/>
      <c r="DXC62"/>
      <c r="DXD62"/>
      <c r="DXE62"/>
      <c r="DXF62"/>
      <c r="DXG62"/>
      <c r="DXH62"/>
      <c r="DXI62"/>
      <c r="DXJ62"/>
      <c r="DXK62"/>
      <c r="DXL62"/>
      <c r="DXM62"/>
      <c r="DXN62"/>
      <c r="DXO62"/>
      <c r="DXP62"/>
      <c r="DXQ62"/>
      <c r="DXR62"/>
      <c r="DXS62"/>
      <c r="DXT62"/>
      <c r="DXU62"/>
      <c r="DXV62"/>
      <c r="DXW62"/>
      <c r="DXX62"/>
      <c r="DXY62"/>
      <c r="DXZ62"/>
      <c r="DYA62"/>
      <c r="DYB62"/>
      <c r="DYC62"/>
      <c r="DYD62"/>
      <c r="DYE62"/>
      <c r="DYF62"/>
      <c r="DYG62"/>
      <c r="DYH62"/>
      <c r="DYI62"/>
      <c r="DYJ62"/>
      <c r="DYK62"/>
      <c r="DYL62"/>
      <c r="DYM62"/>
      <c r="DYN62"/>
      <c r="DYO62"/>
      <c r="DYP62"/>
      <c r="DYQ62"/>
      <c r="DYR62"/>
      <c r="DYS62"/>
      <c r="DYT62"/>
      <c r="DYU62"/>
      <c r="DYV62"/>
      <c r="DYW62"/>
      <c r="DYX62"/>
      <c r="DYY62"/>
      <c r="DYZ62"/>
      <c r="DZA62"/>
      <c r="DZB62"/>
      <c r="DZC62"/>
      <c r="DZD62"/>
      <c r="DZE62"/>
      <c r="DZF62"/>
      <c r="DZG62"/>
      <c r="DZH62"/>
      <c r="DZI62"/>
      <c r="DZJ62"/>
      <c r="DZK62"/>
      <c r="DZL62"/>
      <c r="DZM62"/>
      <c r="DZN62"/>
      <c r="DZO62"/>
      <c r="DZP62"/>
      <c r="DZQ62"/>
      <c r="DZR62"/>
      <c r="DZS62"/>
      <c r="DZT62"/>
      <c r="DZU62"/>
      <c r="DZV62"/>
      <c r="DZW62"/>
      <c r="DZX62"/>
      <c r="DZY62"/>
      <c r="DZZ62"/>
      <c r="EAA62"/>
      <c r="EAB62"/>
      <c r="EAC62"/>
      <c r="EAD62"/>
      <c r="EAE62"/>
      <c r="EAF62"/>
      <c r="EAG62"/>
      <c r="EAH62"/>
      <c r="EAI62"/>
      <c r="EAJ62"/>
      <c r="EAK62"/>
      <c r="EAL62"/>
      <c r="EAM62"/>
      <c r="EAN62"/>
      <c r="EAO62"/>
      <c r="EAP62"/>
      <c r="EAQ62"/>
      <c r="EAR62"/>
      <c r="EAS62"/>
      <c r="EAT62"/>
      <c r="EAU62"/>
      <c r="EAV62"/>
      <c r="EAW62"/>
      <c r="EAX62"/>
      <c r="EAY62"/>
      <c r="EAZ62"/>
      <c r="EBA62"/>
      <c r="EBB62"/>
      <c r="EBC62"/>
      <c r="EBD62"/>
      <c r="EBE62"/>
      <c r="EBF62"/>
      <c r="EBG62"/>
      <c r="EBH62"/>
      <c r="EBI62"/>
      <c r="EBJ62"/>
      <c r="EBK62"/>
      <c r="EBL62"/>
      <c r="EBM62"/>
      <c r="EBN62"/>
      <c r="EBO62"/>
      <c r="EBP62"/>
      <c r="EBQ62"/>
      <c r="EBR62"/>
      <c r="EBS62"/>
      <c r="EBT62"/>
      <c r="EBU62"/>
      <c r="EBV62"/>
      <c r="EBW62"/>
      <c r="EBX62"/>
      <c r="EBY62"/>
      <c r="EBZ62"/>
      <c r="ECA62"/>
      <c r="ECB62"/>
      <c r="ECC62"/>
      <c r="ECD62"/>
      <c r="ECE62"/>
      <c r="ECF62"/>
      <c r="ECG62"/>
      <c r="ECH62"/>
      <c r="ECI62"/>
      <c r="ECJ62"/>
      <c r="ECK62"/>
      <c r="ECL62"/>
      <c r="ECM62"/>
      <c r="ECN62"/>
      <c r="ECO62"/>
      <c r="ECP62"/>
      <c r="ECQ62"/>
      <c r="ECR62"/>
      <c r="ECS62"/>
      <c r="ECT62"/>
      <c r="ECU62"/>
      <c r="ECV62"/>
      <c r="ECW62"/>
      <c r="ECX62"/>
      <c r="ECY62"/>
      <c r="ECZ62"/>
      <c r="EDA62"/>
      <c r="EDB62"/>
      <c r="EDC62"/>
      <c r="EDD62"/>
      <c r="EDE62"/>
      <c r="EDF62"/>
      <c r="EDG62"/>
      <c r="EDH62"/>
      <c r="EDI62"/>
      <c r="EDJ62"/>
      <c r="EDK62"/>
      <c r="EDL62"/>
      <c r="EDM62"/>
      <c r="EDN62"/>
      <c r="EDO62"/>
      <c r="EDP62"/>
      <c r="EDQ62"/>
      <c r="EDR62"/>
      <c r="EDS62"/>
      <c r="EDT62"/>
      <c r="EDU62"/>
      <c r="EDV62"/>
      <c r="EDW62"/>
      <c r="EDX62"/>
      <c r="EDY62"/>
      <c r="EDZ62"/>
      <c r="EEA62"/>
      <c r="EEB62"/>
      <c r="EEC62"/>
      <c r="EED62"/>
      <c r="EEE62"/>
      <c r="EEF62"/>
      <c r="EEG62"/>
      <c r="EEH62"/>
      <c r="EEI62"/>
      <c r="EEJ62"/>
      <c r="EEK62"/>
      <c r="EEL62"/>
      <c r="EEM62"/>
      <c r="EEN62"/>
      <c r="EEO62"/>
      <c r="EEP62"/>
      <c r="EEQ62"/>
      <c r="EER62"/>
      <c r="EES62"/>
      <c r="EET62"/>
      <c r="EEU62"/>
      <c r="EEV62"/>
      <c r="EEW62"/>
      <c r="EEX62"/>
      <c r="EEY62"/>
      <c r="EEZ62"/>
      <c r="EFA62"/>
      <c r="EFB62"/>
      <c r="EFC62"/>
      <c r="EFD62"/>
      <c r="EFE62"/>
      <c r="EFF62"/>
      <c r="EFG62"/>
      <c r="EFH62"/>
      <c r="EFI62"/>
      <c r="EFJ62"/>
      <c r="EFK62"/>
      <c r="EFL62"/>
      <c r="EFM62"/>
      <c r="EFN62"/>
      <c r="EFO62"/>
      <c r="EFP62"/>
      <c r="EFQ62"/>
      <c r="EFR62"/>
      <c r="EFS62"/>
      <c r="EFT62"/>
      <c r="EFU62"/>
      <c r="EFV62"/>
      <c r="EFW62"/>
      <c r="EFX62"/>
      <c r="EFY62"/>
      <c r="EFZ62"/>
      <c r="EGA62"/>
      <c r="EGB62"/>
      <c r="EGC62"/>
      <c r="EGD62"/>
      <c r="EGE62"/>
      <c r="EGF62"/>
      <c r="EGG62"/>
      <c r="EGH62"/>
      <c r="EGI62"/>
      <c r="EGJ62"/>
      <c r="EGK62"/>
      <c r="EGL62"/>
      <c r="EGM62"/>
      <c r="EGN62"/>
      <c r="EGO62"/>
      <c r="EGP62"/>
      <c r="EGQ62"/>
      <c r="EGR62"/>
      <c r="EGS62"/>
      <c r="EGT62"/>
      <c r="EGU62"/>
      <c r="EGV62"/>
      <c r="EGW62"/>
      <c r="EGX62"/>
      <c r="EGY62"/>
      <c r="EGZ62"/>
      <c r="EHA62"/>
      <c r="EHB62"/>
      <c r="EHC62"/>
      <c r="EHD62"/>
      <c r="EHE62"/>
      <c r="EHF62"/>
      <c r="EHG62"/>
      <c r="EHH62"/>
      <c r="EHI62"/>
      <c r="EHJ62"/>
      <c r="EHK62"/>
      <c r="EHL62"/>
      <c r="EHM62"/>
      <c r="EHN62"/>
      <c r="EHO62"/>
      <c r="EHP62"/>
      <c r="EHQ62"/>
      <c r="EHR62"/>
      <c r="EHS62"/>
      <c r="EHT62"/>
      <c r="EHU62"/>
      <c r="EHV62"/>
      <c r="EHW62"/>
      <c r="EHX62"/>
      <c r="EHY62"/>
      <c r="EHZ62"/>
      <c r="EIA62"/>
      <c r="EIB62"/>
      <c r="EIC62"/>
      <c r="EID62"/>
      <c r="EIE62"/>
      <c r="EIF62"/>
      <c r="EIG62"/>
      <c r="EIH62"/>
      <c r="EII62"/>
      <c r="EIJ62"/>
      <c r="EIK62"/>
      <c r="EIL62"/>
      <c r="EIM62"/>
      <c r="EIN62"/>
      <c r="EIO62"/>
      <c r="EIP62"/>
      <c r="EIQ62"/>
      <c r="EIR62"/>
      <c r="EIS62"/>
      <c r="EIT62"/>
      <c r="EIU62"/>
      <c r="EIV62"/>
      <c r="EIW62"/>
      <c r="EIX62"/>
      <c r="EIY62"/>
      <c r="EIZ62"/>
      <c r="EJA62"/>
      <c r="EJB62"/>
      <c r="EJC62"/>
      <c r="EJD62"/>
      <c r="EJE62"/>
      <c r="EJF62"/>
      <c r="EJG62"/>
      <c r="EJH62"/>
      <c r="EJI62"/>
      <c r="EJJ62"/>
      <c r="EJK62"/>
      <c r="EJL62"/>
      <c r="EJM62"/>
      <c r="EJN62"/>
      <c r="EJO62"/>
      <c r="EJP62"/>
      <c r="EJQ62"/>
      <c r="EJR62"/>
      <c r="EJS62"/>
      <c r="EJT62"/>
      <c r="EJU62"/>
      <c r="EJV62"/>
      <c r="EJW62"/>
      <c r="EJX62"/>
      <c r="EJY62"/>
      <c r="EJZ62"/>
      <c r="EKA62"/>
      <c r="EKB62"/>
      <c r="EKC62"/>
      <c r="EKD62"/>
      <c r="EKE62"/>
      <c r="EKF62"/>
      <c r="EKG62"/>
      <c r="EKH62"/>
      <c r="EKI62"/>
      <c r="EKJ62"/>
      <c r="EKK62"/>
      <c r="EKL62"/>
      <c r="EKM62"/>
      <c r="EKN62"/>
      <c r="EKO62"/>
      <c r="EKP62"/>
      <c r="EKQ62"/>
      <c r="EKR62"/>
      <c r="EKS62"/>
      <c r="EKT62"/>
      <c r="EKU62"/>
      <c r="EKV62"/>
      <c r="EKW62"/>
      <c r="EKX62"/>
      <c r="EKY62"/>
      <c r="EKZ62"/>
      <c r="ELA62"/>
      <c r="ELB62"/>
      <c r="ELC62"/>
      <c r="ELD62"/>
      <c r="ELE62"/>
      <c r="ELF62"/>
      <c r="ELG62"/>
      <c r="ELH62"/>
      <c r="ELI62"/>
      <c r="ELJ62"/>
      <c r="ELK62"/>
      <c r="ELL62"/>
      <c r="ELM62"/>
      <c r="ELN62"/>
      <c r="ELO62"/>
      <c r="ELP62"/>
      <c r="ELQ62"/>
      <c r="ELR62"/>
      <c r="ELS62"/>
      <c r="ELT62"/>
      <c r="ELU62"/>
      <c r="ELV62"/>
      <c r="ELW62"/>
      <c r="ELX62"/>
      <c r="ELY62"/>
      <c r="ELZ62"/>
      <c r="EMA62"/>
      <c r="EMB62"/>
      <c r="EMC62"/>
      <c r="EMD62"/>
      <c r="EME62"/>
      <c r="EMF62"/>
      <c r="EMG62"/>
      <c r="EMH62"/>
      <c r="EMI62"/>
      <c r="EMJ62"/>
      <c r="EMK62"/>
      <c r="EML62"/>
      <c r="EMM62"/>
      <c r="EMN62"/>
      <c r="EMO62"/>
      <c r="EMP62"/>
      <c r="EMQ62"/>
      <c r="EMR62"/>
      <c r="EMS62"/>
      <c r="EMT62"/>
      <c r="EMU62"/>
      <c r="EMV62"/>
      <c r="EMW62"/>
      <c r="EMX62"/>
      <c r="EMY62"/>
      <c r="EMZ62"/>
      <c r="ENA62"/>
      <c r="ENB62"/>
      <c r="ENC62"/>
      <c r="END62"/>
      <c r="ENE62"/>
      <c r="ENF62"/>
      <c r="ENG62"/>
      <c r="ENH62"/>
      <c r="ENI62"/>
      <c r="ENJ62"/>
      <c r="ENK62"/>
      <c r="ENL62"/>
      <c r="ENM62"/>
      <c r="ENN62"/>
      <c r="ENO62"/>
      <c r="ENP62"/>
      <c r="ENQ62"/>
      <c r="ENR62"/>
      <c r="ENS62"/>
      <c r="ENT62"/>
      <c r="ENU62"/>
      <c r="ENV62"/>
      <c r="ENW62"/>
      <c r="ENX62"/>
      <c r="ENY62"/>
      <c r="ENZ62"/>
      <c r="EOA62"/>
      <c r="EOB62"/>
      <c r="EOC62"/>
      <c r="EOD62"/>
      <c r="EOE62"/>
      <c r="EOF62"/>
      <c r="EOG62"/>
      <c r="EOH62"/>
      <c r="EOI62"/>
      <c r="EOJ62"/>
      <c r="EOK62"/>
      <c r="EOL62"/>
      <c r="EOM62"/>
      <c r="EON62"/>
      <c r="EOO62"/>
      <c r="EOP62"/>
      <c r="EOQ62"/>
      <c r="EOR62"/>
      <c r="EOS62"/>
      <c r="EOT62"/>
      <c r="EOU62"/>
      <c r="EOV62"/>
      <c r="EOW62"/>
      <c r="EOX62"/>
      <c r="EOY62"/>
      <c r="EOZ62"/>
      <c r="EPA62"/>
      <c r="EPB62"/>
      <c r="EPC62"/>
      <c r="EPD62"/>
      <c r="EPE62"/>
      <c r="EPF62"/>
      <c r="EPG62"/>
      <c r="EPH62"/>
      <c r="EPI62"/>
      <c r="EPJ62"/>
      <c r="EPK62"/>
      <c r="EPL62"/>
      <c r="EPM62"/>
      <c r="EPN62"/>
      <c r="EPO62"/>
      <c r="EPP62"/>
      <c r="EPQ62"/>
      <c r="EPR62"/>
      <c r="EPS62"/>
      <c r="EPT62"/>
      <c r="EPU62"/>
      <c r="EPV62"/>
      <c r="EPW62"/>
      <c r="EPX62"/>
      <c r="EPY62"/>
      <c r="EPZ62"/>
      <c r="EQA62"/>
      <c r="EQB62"/>
      <c r="EQC62"/>
      <c r="EQD62"/>
      <c r="EQE62"/>
      <c r="EQF62"/>
      <c r="EQG62"/>
      <c r="EQH62"/>
      <c r="EQI62"/>
      <c r="EQJ62"/>
      <c r="EQK62"/>
      <c r="EQL62"/>
      <c r="EQM62"/>
      <c r="EQN62"/>
      <c r="EQO62"/>
      <c r="EQP62"/>
      <c r="EQQ62"/>
      <c r="EQR62"/>
      <c r="EQS62"/>
      <c r="EQT62"/>
      <c r="EQU62"/>
      <c r="EQV62"/>
      <c r="EQW62"/>
      <c r="EQX62"/>
      <c r="EQY62"/>
      <c r="EQZ62"/>
      <c r="ERA62"/>
      <c r="ERB62"/>
      <c r="ERC62"/>
      <c r="ERD62"/>
      <c r="ERE62"/>
      <c r="ERF62"/>
      <c r="ERG62"/>
      <c r="ERH62"/>
      <c r="ERI62"/>
      <c r="ERJ62"/>
      <c r="ERK62"/>
      <c r="ERL62"/>
      <c r="ERM62"/>
      <c r="ERN62"/>
      <c r="ERO62"/>
      <c r="ERP62"/>
      <c r="ERQ62"/>
      <c r="ERR62"/>
      <c r="ERS62"/>
      <c r="ERT62"/>
      <c r="ERU62"/>
      <c r="ERV62"/>
      <c r="ERW62"/>
      <c r="ERX62"/>
      <c r="ERY62"/>
      <c r="ERZ62"/>
      <c r="ESA62"/>
      <c r="ESB62"/>
      <c r="ESC62"/>
      <c r="ESD62"/>
      <c r="ESE62"/>
      <c r="ESF62"/>
      <c r="ESG62"/>
      <c r="ESH62"/>
      <c r="ESI62"/>
      <c r="ESJ62"/>
      <c r="ESK62"/>
      <c r="ESL62"/>
      <c r="ESM62"/>
      <c r="ESN62"/>
      <c r="ESO62"/>
      <c r="ESP62"/>
      <c r="ESQ62"/>
      <c r="ESR62"/>
      <c r="ESS62"/>
      <c r="EST62"/>
      <c r="ESU62"/>
      <c r="ESV62"/>
      <c r="ESW62"/>
      <c r="ESX62"/>
      <c r="ESY62"/>
      <c r="ESZ62"/>
      <c r="ETA62"/>
      <c r="ETB62"/>
      <c r="ETC62"/>
      <c r="ETD62"/>
      <c r="ETE62"/>
      <c r="ETF62"/>
      <c r="ETG62"/>
      <c r="ETH62"/>
      <c r="ETI62"/>
      <c r="ETJ62"/>
      <c r="ETK62"/>
      <c r="ETL62"/>
      <c r="ETM62"/>
      <c r="ETN62"/>
      <c r="ETO62"/>
      <c r="ETP62"/>
      <c r="ETQ62"/>
      <c r="ETR62"/>
      <c r="ETS62"/>
      <c r="ETT62"/>
      <c r="ETU62"/>
      <c r="ETV62"/>
      <c r="ETW62"/>
      <c r="ETX62"/>
      <c r="ETY62"/>
      <c r="ETZ62"/>
      <c r="EUA62"/>
      <c r="EUB62"/>
      <c r="EUC62"/>
      <c r="EUD62"/>
      <c r="EUE62"/>
      <c r="EUF62"/>
      <c r="EUG62"/>
      <c r="EUH62"/>
      <c r="EUI62"/>
      <c r="EUJ62"/>
      <c r="EUK62"/>
      <c r="EUL62"/>
      <c r="EUM62"/>
      <c r="EUN62"/>
      <c r="EUO62"/>
      <c r="EUP62"/>
      <c r="EUQ62"/>
      <c r="EUR62"/>
      <c r="EUS62"/>
      <c r="EUT62"/>
      <c r="EUU62"/>
      <c r="EUV62"/>
      <c r="EUW62"/>
      <c r="EUX62"/>
      <c r="EUY62"/>
      <c r="EUZ62"/>
      <c r="EVA62"/>
      <c r="EVB62"/>
      <c r="EVC62"/>
      <c r="EVD62"/>
      <c r="EVE62"/>
      <c r="EVF62"/>
      <c r="EVG62"/>
      <c r="EVH62"/>
      <c r="EVI62"/>
      <c r="EVJ62"/>
      <c r="EVK62"/>
      <c r="EVL62"/>
      <c r="EVM62"/>
      <c r="EVN62"/>
      <c r="EVO62"/>
      <c r="EVP62"/>
      <c r="EVQ62"/>
      <c r="EVR62"/>
      <c r="EVS62"/>
      <c r="EVT62"/>
      <c r="EVU62"/>
      <c r="EVV62"/>
      <c r="EVW62"/>
      <c r="EVX62"/>
      <c r="EVY62"/>
      <c r="EVZ62"/>
      <c r="EWA62"/>
      <c r="EWB62"/>
      <c r="EWC62"/>
      <c r="EWD62"/>
      <c r="EWE62"/>
      <c r="EWF62"/>
      <c r="EWG62"/>
      <c r="EWH62"/>
      <c r="EWI62"/>
      <c r="EWJ62"/>
      <c r="EWK62"/>
      <c r="EWL62"/>
      <c r="EWM62"/>
      <c r="EWN62"/>
      <c r="EWO62"/>
      <c r="EWP62"/>
      <c r="EWQ62"/>
      <c r="EWR62"/>
      <c r="EWS62"/>
      <c r="EWT62"/>
      <c r="EWU62"/>
      <c r="EWV62"/>
      <c r="EWW62"/>
      <c r="EWX62"/>
      <c r="EWY62"/>
      <c r="EWZ62"/>
      <c r="EXA62"/>
      <c r="EXB62"/>
      <c r="EXC62"/>
      <c r="EXD62"/>
      <c r="EXE62"/>
      <c r="EXF62"/>
      <c r="EXG62"/>
      <c r="EXH62"/>
      <c r="EXI62"/>
      <c r="EXJ62"/>
      <c r="EXK62"/>
      <c r="EXL62"/>
      <c r="EXM62"/>
      <c r="EXN62"/>
      <c r="EXO62"/>
      <c r="EXP62"/>
      <c r="EXQ62"/>
      <c r="EXR62"/>
      <c r="EXS62"/>
      <c r="EXT62"/>
      <c r="EXU62"/>
      <c r="EXV62"/>
      <c r="EXW62"/>
      <c r="EXX62"/>
      <c r="EXY62"/>
      <c r="EXZ62"/>
      <c r="EYA62"/>
      <c r="EYB62"/>
      <c r="EYC62"/>
      <c r="EYD62"/>
      <c r="EYE62"/>
      <c r="EYF62"/>
      <c r="EYG62"/>
      <c r="EYH62"/>
      <c r="EYI62"/>
      <c r="EYJ62"/>
      <c r="EYK62"/>
      <c r="EYL62"/>
      <c r="EYM62"/>
      <c r="EYN62"/>
      <c r="EYO62"/>
      <c r="EYP62"/>
      <c r="EYQ62"/>
      <c r="EYR62"/>
      <c r="EYS62"/>
      <c r="EYT62"/>
      <c r="EYU62"/>
      <c r="EYV62"/>
      <c r="EYW62"/>
      <c r="EYX62"/>
      <c r="EYY62"/>
      <c r="EYZ62"/>
      <c r="EZA62"/>
      <c r="EZB62"/>
      <c r="EZC62"/>
      <c r="EZD62"/>
      <c r="EZE62"/>
      <c r="EZF62"/>
      <c r="EZG62"/>
      <c r="EZH62"/>
      <c r="EZI62"/>
      <c r="EZJ62"/>
      <c r="EZK62"/>
      <c r="EZL62"/>
      <c r="EZM62"/>
      <c r="EZN62"/>
      <c r="EZO62"/>
      <c r="EZP62"/>
      <c r="EZQ62"/>
      <c r="EZR62"/>
      <c r="EZS62"/>
      <c r="EZT62"/>
      <c r="EZU62"/>
      <c r="EZV62"/>
      <c r="EZW62"/>
      <c r="EZX62"/>
      <c r="EZY62"/>
      <c r="EZZ62"/>
      <c r="FAA62"/>
      <c r="FAB62"/>
      <c r="FAC62"/>
      <c r="FAD62"/>
      <c r="FAE62"/>
      <c r="FAF62"/>
      <c r="FAG62"/>
      <c r="FAH62"/>
      <c r="FAI62"/>
      <c r="FAJ62"/>
      <c r="FAK62"/>
      <c r="FAL62"/>
      <c r="FAM62"/>
      <c r="FAN62"/>
      <c r="FAO62"/>
      <c r="FAP62"/>
      <c r="FAQ62"/>
      <c r="FAR62"/>
      <c r="FAS62"/>
      <c r="FAT62"/>
      <c r="FAU62"/>
      <c r="FAV62"/>
      <c r="FAW62"/>
      <c r="FAX62"/>
      <c r="FAY62"/>
      <c r="FAZ62"/>
      <c r="FBA62"/>
      <c r="FBB62"/>
      <c r="FBC62"/>
      <c r="FBD62"/>
      <c r="FBE62"/>
      <c r="FBF62"/>
      <c r="FBG62"/>
      <c r="FBH62"/>
      <c r="FBI62"/>
      <c r="FBJ62"/>
      <c r="FBK62"/>
      <c r="FBL62"/>
      <c r="FBM62"/>
      <c r="FBN62"/>
      <c r="FBO62"/>
      <c r="FBP62"/>
      <c r="FBQ62"/>
      <c r="FBR62"/>
      <c r="FBS62"/>
      <c r="FBT62"/>
      <c r="FBU62"/>
      <c r="FBV62"/>
      <c r="FBW62"/>
      <c r="FBX62"/>
      <c r="FBY62"/>
      <c r="FBZ62"/>
      <c r="FCA62"/>
      <c r="FCB62"/>
      <c r="FCC62"/>
      <c r="FCD62"/>
      <c r="FCE62"/>
      <c r="FCF62"/>
      <c r="FCG62"/>
      <c r="FCH62"/>
      <c r="FCI62"/>
      <c r="FCJ62"/>
      <c r="FCK62"/>
      <c r="FCL62"/>
      <c r="FCM62"/>
      <c r="FCN62"/>
      <c r="FCO62"/>
      <c r="FCP62"/>
      <c r="FCQ62"/>
      <c r="FCR62"/>
      <c r="FCS62"/>
      <c r="FCT62"/>
      <c r="FCU62"/>
      <c r="FCV62"/>
      <c r="FCW62"/>
      <c r="FCX62"/>
      <c r="FCY62"/>
      <c r="FCZ62"/>
      <c r="FDA62"/>
      <c r="FDB62"/>
      <c r="FDC62"/>
      <c r="FDD62"/>
      <c r="FDE62"/>
      <c r="FDF62"/>
      <c r="FDG62"/>
      <c r="FDH62"/>
      <c r="FDI62"/>
      <c r="FDJ62"/>
      <c r="FDK62"/>
      <c r="FDL62"/>
      <c r="FDM62"/>
      <c r="FDN62"/>
      <c r="FDO62"/>
      <c r="FDP62"/>
      <c r="FDQ62"/>
      <c r="FDR62"/>
      <c r="FDS62"/>
      <c r="FDT62"/>
      <c r="FDU62"/>
      <c r="FDV62"/>
      <c r="FDW62"/>
      <c r="FDX62"/>
      <c r="FDY62"/>
      <c r="FDZ62"/>
      <c r="FEA62"/>
      <c r="FEB62"/>
      <c r="FEC62"/>
      <c r="FED62"/>
      <c r="FEE62"/>
      <c r="FEF62"/>
      <c r="FEG62"/>
      <c r="FEH62"/>
      <c r="FEI62"/>
      <c r="FEJ62"/>
      <c r="FEK62"/>
      <c r="FEL62"/>
      <c r="FEM62"/>
      <c r="FEN62"/>
      <c r="FEO62"/>
      <c r="FEP62"/>
      <c r="FEQ62"/>
      <c r="FER62"/>
      <c r="FES62"/>
      <c r="FET62"/>
      <c r="FEU62"/>
      <c r="FEV62"/>
      <c r="FEW62"/>
      <c r="FEX62"/>
      <c r="FEY62"/>
      <c r="FEZ62"/>
      <c r="FFA62"/>
      <c r="FFB62"/>
      <c r="FFC62"/>
      <c r="FFD62"/>
      <c r="FFE62"/>
      <c r="FFF62"/>
      <c r="FFG62"/>
      <c r="FFH62"/>
      <c r="FFI62"/>
      <c r="FFJ62"/>
      <c r="FFK62"/>
      <c r="FFL62"/>
      <c r="FFM62"/>
      <c r="FFN62"/>
      <c r="FFO62"/>
      <c r="FFP62"/>
      <c r="FFQ62"/>
      <c r="FFR62"/>
      <c r="FFS62"/>
      <c r="FFT62"/>
      <c r="FFU62"/>
      <c r="FFV62"/>
      <c r="FFW62"/>
      <c r="FFX62"/>
      <c r="FFY62"/>
      <c r="FFZ62"/>
      <c r="FGA62"/>
      <c r="FGB62"/>
      <c r="FGC62"/>
      <c r="FGD62"/>
      <c r="FGE62"/>
      <c r="FGF62"/>
      <c r="FGG62"/>
      <c r="FGH62"/>
      <c r="FGI62"/>
      <c r="FGJ62"/>
      <c r="FGK62"/>
      <c r="FGL62"/>
      <c r="FGM62"/>
      <c r="FGN62"/>
      <c r="FGO62"/>
      <c r="FGP62"/>
      <c r="FGQ62"/>
      <c r="FGR62"/>
      <c r="FGS62"/>
      <c r="FGT62"/>
      <c r="FGU62"/>
      <c r="FGV62"/>
      <c r="FGW62"/>
      <c r="FGX62"/>
      <c r="FGY62"/>
      <c r="FGZ62"/>
      <c r="FHA62"/>
      <c r="FHB62"/>
      <c r="FHC62"/>
      <c r="FHD62"/>
      <c r="FHE62"/>
      <c r="FHF62"/>
      <c r="FHG62"/>
      <c r="FHH62"/>
      <c r="FHI62"/>
      <c r="FHJ62"/>
      <c r="FHK62"/>
      <c r="FHL62"/>
      <c r="FHM62"/>
      <c r="FHN62"/>
      <c r="FHO62"/>
      <c r="FHP62"/>
      <c r="FHQ62"/>
      <c r="FHR62"/>
      <c r="FHS62"/>
      <c r="FHT62"/>
      <c r="FHU62"/>
      <c r="FHV62"/>
      <c r="FHW62"/>
      <c r="FHX62"/>
      <c r="FHY62"/>
      <c r="FHZ62"/>
      <c r="FIA62"/>
      <c r="FIB62"/>
      <c r="FIC62"/>
      <c r="FID62"/>
      <c r="FIE62"/>
      <c r="FIF62"/>
      <c r="FIG62"/>
      <c r="FIH62"/>
      <c r="FII62"/>
      <c r="FIJ62"/>
      <c r="FIK62"/>
      <c r="FIL62"/>
      <c r="FIM62"/>
      <c r="FIN62"/>
      <c r="FIO62"/>
      <c r="FIP62"/>
      <c r="FIQ62"/>
      <c r="FIR62"/>
      <c r="FIS62"/>
      <c r="FIT62"/>
      <c r="FIU62"/>
      <c r="FIV62"/>
      <c r="FIW62"/>
      <c r="FIX62"/>
      <c r="FIY62"/>
      <c r="FIZ62"/>
      <c r="FJA62"/>
      <c r="FJB62"/>
      <c r="FJC62"/>
      <c r="FJD62"/>
      <c r="FJE62"/>
      <c r="FJF62"/>
      <c r="FJG62"/>
      <c r="FJH62"/>
      <c r="FJI62"/>
      <c r="FJJ62"/>
      <c r="FJK62"/>
      <c r="FJL62"/>
      <c r="FJM62"/>
      <c r="FJN62"/>
      <c r="FJO62"/>
      <c r="FJP62"/>
      <c r="FJQ62"/>
      <c r="FJR62"/>
      <c r="FJS62"/>
      <c r="FJT62"/>
      <c r="FJU62"/>
      <c r="FJV62"/>
      <c r="FJW62"/>
      <c r="FJX62"/>
      <c r="FJY62"/>
      <c r="FJZ62"/>
      <c r="FKA62"/>
      <c r="FKB62"/>
      <c r="FKC62"/>
      <c r="FKD62"/>
      <c r="FKE62"/>
      <c r="FKF62"/>
      <c r="FKG62"/>
      <c r="FKH62"/>
      <c r="FKI62"/>
      <c r="FKJ62"/>
      <c r="FKK62"/>
      <c r="FKL62"/>
      <c r="FKM62"/>
      <c r="FKN62"/>
      <c r="FKO62"/>
      <c r="FKP62"/>
      <c r="FKQ62"/>
      <c r="FKR62"/>
      <c r="FKS62"/>
      <c r="FKT62"/>
      <c r="FKU62"/>
      <c r="FKV62"/>
      <c r="FKW62"/>
      <c r="FKX62"/>
      <c r="FKY62"/>
      <c r="FKZ62"/>
      <c r="FLA62"/>
      <c r="FLB62"/>
      <c r="FLC62"/>
      <c r="FLD62"/>
      <c r="FLE62"/>
      <c r="FLF62"/>
      <c r="FLG62"/>
      <c r="FLH62"/>
      <c r="FLI62"/>
      <c r="FLJ62"/>
      <c r="FLK62"/>
      <c r="FLL62"/>
      <c r="FLM62"/>
      <c r="FLN62"/>
      <c r="FLO62"/>
      <c r="FLP62"/>
      <c r="FLQ62"/>
      <c r="FLR62"/>
      <c r="FLS62"/>
      <c r="FLT62"/>
      <c r="FLU62"/>
      <c r="FLV62"/>
      <c r="FLW62"/>
      <c r="FLX62"/>
      <c r="FLY62"/>
      <c r="FLZ62"/>
      <c r="FMA62"/>
      <c r="FMB62"/>
      <c r="FMC62"/>
      <c r="FMD62"/>
      <c r="FME62"/>
      <c r="FMF62"/>
      <c r="FMG62"/>
      <c r="FMH62"/>
      <c r="FMI62"/>
      <c r="FMJ62"/>
      <c r="FMK62"/>
      <c r="FML62"/>
      <c r="FMM62"/>
      <c r="FMN62"/>
      <c r="FMO62"/>
      <c r="FMP62"/>
      <c r="FMQ62"/>
      <c r="FMR62"/>
      <c r="FMS62"/>
      <c r="FMT62"/>
      <c r="FMU62"/>
      <c r="FMV62"/>
      <c r="FMW62"/>
      <c r="FMX62"/>
      <c r="FMY62"/>
      <c r="FMZ62"/>
      <c r="FNA62"/>
      <c r="FNB62"/>
      <c r="FNC62"/>
      <c r="FND62"/>
      <c r="FNE62"/>
      <c r="FNF62"/>
      <c r="FNG62"/>
      <c r="FNH62"/>
      <c r="FNI62"/>
      <c r="FNJ62"/>
      <c r="FNK62"/>
      <c r="FNL62"/>
      <c r="FNM62"/>
      <c r="FNN62"/>
      <c r="FNO62"/>
      <c r="FNP62"/>
      <c r="FNQ62"/>
      <c r="FNR62"/>
      <c r="FNS62"/>
      <c r="FNT62"/>
      <c r="FNU62"/>
      <c r="FNV62"/>
      <c r="FNW62"/>
      <c r="FNX62"/>
      <c r="FNY62"/>
      <c r="FNZ62"/>
      <c r="FOA62"/>
      <c r="FOB62"/>
      <c r="FOC62"/>
      <c r="FOD62"/>
      <c r="FOE62"/>
      <c r="FOF62"/>
      <c r="FOG62"/>
      <c r="FOH62"/>
      <c r="FOI62"/>
      <c r="FOJ62"/>
      <c r="FOK62"/>
      <c r="FOL62"/>
      <c r="FOM62"/>
      <c r="FON62"/>
      <c r="FOO62"/>
      <c r="FOP62"/>
      <c r="FOQ62"/>
      <c r="FOR62"/>
      <c r="FOS62"/>
      <c r="FOT62"/>
      <c r="FOU62"/>
      <c r="FOV62"/>
      <c r="FOW62"/>
      <c r="FOX62"/>
      <c r="FOY62"/>
      <c r="FOZ62"/>
      <c r="FPA62"/>
      <c r="FPB62"/>
      <c r="FPC62"/>
      <c r="FPD62"/>
      <c r="FPE62"/>
      <c r="FPF62"/>
      <c r="FPG62"/>
      <c r="FPH62"/>
      <c r="FPI62"/>
      <c r="FPJ62"/>
      <c r="FPK62"/>
      <c r="FPL62"/>
      <c r="FPM62"/>
      <c r="FPN62"/>
      <c r="FPO62"/>
      <c r="FPP62"/>
      <c r="FPQ62"/>
      <c r="FPR62"/>
      <c r="FPS62"/>
      <c r="FPT62"/>
      <c r="FPU62"/>
      <c r="FPV62"/>
      <c r="FPW62"/>
      <c r="FPX62"/>
      <c r="FPY62"/>
      <c r="FPZ62"/>
      <c r="FQA62"/>
      <c r="FQB62"/>
      <c r="FQC62"/>
      <c r="FQD62"/>
      <c r="FQE62"/>
      <c r="FQF62"/>
      <c r="FQG62"/>
      <c r="FQH62"/>
      <c r="FQI62"/>
      <c r="FQJ62"/>
      <c r="FQK62"/>
      <c r="FQL62"/>
      <c r="FQM62"/>
      <c r="FQN62"/>
      <c r="FQO62"/>
      <c r="FQP62"/>
      <c r="FQQ62"/>
      <c r="FQR62"/>
      <c r="FQS62"/>
      <c r="FQT62"/>
      <c r="FQU62"/>
      <c r="FQV62"/>
      <c r="FQW62"/>
      <c r="FQX62"/>
      <c r="FQY62"/>
      <c r="FQZ62"/>
      <c r="FRA62"/>
      <c r="FRB62"/>
      <c r="FRC62"/>
      <c r="FRD62"/>
      <c r="FRE62"/>
      <c r="FRF62"/>
      <c r="FRG62"/>
      <c r="FRH62"/>
      <c r="FRI62"/>
      <c r="FRJ62"/>
      <c r="FRK62"/>
      <c r="FRL62"/>
      <c r="FRM62"/>
      <c r="FRN62"/>
      <c r="FRO62"/>
      <c r="FRP62"/>
      <c r="FRQ62"/>
      <c r="FRR62"/>
      <c r="FRS62"/>
      <c r="FRT62"/>
      <c r="FRU62"/>
      <c r="FRV62"/>
      <c r="FRW62"/>
      <c r="FRX62"/>
      <c r="FRY62"/>
      <c r="FRZ62"/>
      <c r="FSA62"/>
      <c r="FSB62"/>
      <c r="FSC62"/>
      <c r="FSD62"/>
      <c r="FSE62"/>
      <c r="FSF62"/>
      <c r="FSG62"/>
      <c r="FSH62"/>
      <c r="FSI62"/>
      <c r="FSJ62"/>
      <c r="FSK62"/>
      <c r="FSL62"/>
      <c r="FSM62"/>
      <c r="FSN62"/>
      <c r="FSO62"/>
      <c r="FSP62"/>
      <c r="FSQ62"/>
      <c r="FSR62"/>
      <c r="FSS62"/>
      <c r="FST62"/>
      <c r="FSU62"/>
      <c r="FSV62"/>
      <c r="FSW62"/>
      <c r="FSX62"/>
      <c r="FSY62"/>
      <c r="FSZ62"/>
      <c r="FTA62"/>
      <c r="FTB62"/>
      <c r="FTC62"/>
      <c r="FTD62"/>
      <c r="FTE62"/>
      <c r="FTF62"/>
      <c r="FTG62"/>
      <c r="FTH62"/>
      <c r="FTI62"/>
      <c r="FTJ62"/>
      <c r="FTK62"/>
      <c r="FTL62"/>
      <c r="FTM62"/>
      <c r="FTN62"/>
      <c r="FTO62"/>
      <c r="FTP62"/>
      <c r="FTQ62"/>
      <c r="FTR62"/>
      <c r="FTS62"/>
      <c r="FTT62"/>
      <c r="FTU62"/>
      <c r="FTV62"/>
      <c r="FTW62"/>
      <c r="FTX62"/>
      <c r="FTY62"/>
      <c r="FTZ62"/>
      <c r="FUA62"/>
      <c r="FUB62"/>
      <c r="FUC62"/>
      <c r="FUD62"/>
      <c r="FUE62"/>
      <c r="FUF62"/>
      <c r="FUG62"/>
      <c r="FUH62"/>
      <c r="FUI62"/>
      <c r="FUJ62"/>
      <c r="FUK62"/>
      <c r="FUL62"/>
      <c r="FUM62"/>
      <c r="FUN62"/>
      <c r="FUO62"/>
      <c r="FUP62"/>
      <c r="FUQ62"/>
      <c r="FUR62"/>
      <c r="FUS62"/>
      <c r="FUT62"/>
      <c r="FUU62"/>
      <c r="FUV62"/>
      <c r="FUW62"/>
      <c r="FUX62"/>
      <c r="FUY62"/>
      <c r="FUZ62"/>
      <c r="FVA62"/>
      <c r="FVB62"/>
      <c r="FVC62"/>
      <c r="FVD62"/>
      <c r="FVE62"/>
      <c r="FVF62"/>
      <c r="FVG62"/>
      <c r="FVH62"/>
      <c r="FVI62"/>
      <c r="FVJ62"/>
      <c r="FVK62"/>
      <c r="FVL62"/>
      <c r="FVM62"/>
      <c r="FVN62"/>
      <c r="FVO62"/>
      <c r="FVP62"/>
      <c r="FVQ62"/>
      <c r="FVR62"/>
      <c r="FVS62"/>
      <c r="FVT62"/>
      <c r="FVU62"/>
      <c r="FVV62"/>
      <c r="FVW62"/>
      <c r="FVX62"/>
      <c r="FVY62"/>
      <c r="FVZ62"/>
      <c r="FWA62"/>
      <c r="FWB62"/>
      <c r="FWC62"/>
      <c r="FWD62"/>
      <c r="FWE62"/>
      <c r="FWF62"/>
      <c r="FWG62"/>
      <c r="FWH62"/>
      <c r="FWI62"/>
      <c r="FWJ62"/>
      <c r="FWK62"/>
      <c r="FWL62"/>
      <c r="FWM62"/>
      <c r="FWN62"/>
      <c r="FWO62"/>
      <c r="FWP62"/>
      <c r="FWQ62"/>
      <c r="FWR62"/>
      <c r="FWS62"/>
      <c r="FWT62"/>
      <c r="FWU62"/>
      <c r="FWV62"/>
      <c r="FWW62"/>
      <c r="FWX62"/>
      <c r="FWY62"/>
      <c r="FWZ62"/>
      <c r="FXA62"/>
      <c r="FXB62"/>
      <c r="FXC62"/>
      <c r="FXD62"/>
      <c r="FXE62"/>
      <c r="FXF62"/>
      <c r="FXG62"/>
      <c r="FXH62"/>
      <c r="FXI62"/>
      <c r="FXJ62"/>
      <c r="FXK62"/>
      <c r="FXL62"/>
      <c r="FXM62"/>
      <c r="FXN62"/>
      <c r="FXO62"/>
      <c r="FXP62"/>
      <c r="FXQ62"/>
      <c r="FXR62"/>
      <c r="FXS62"/>
      <c r="FXT62"/>
      <c r="FXU62"/>
      <c r="FXV62"/>
      <c r="FXW62"/>
      <c r="FXX62"/>
      <c r="FXY62"/>
      <c r="FXZ62"/>
      <c r="FYA62"/>
      <c r="FYB62"/>
      <c r="FYC62"/>
      <c r="FYD62"/>
      <c r="FYE62"/>
      <c r="FYF62"/>
      <c r="FYG62"/>
      <c r="FYH62"/>
      <c r="FYI62"/>
      <c r="FYJ62"/>
      <c r="FYK62"/>
      <c r="FYL62"/>
      <c r="FYM62"/>
      <c r="FYN62"/>
      <c r="FYO62"/>
      <c r="FYP62"/>
      <c r="FYQ62"/>
      <c r="FYR62"/>
      <c r="FYS62"/>
      <c r="FYT62"/>
      <c r="FYU62"/>
      <c r="FYV62"/>
      <c r="FYW62"/>
      <c r="FYX62"/>
      <c r="FYY62"/>
      <c r="FYZ62"/>
      <c r="FZA62"/>
      <c r="FZB62"/>
      <c r="FZC62"/>
      <c r="FZD62"/>
      <c r="FZE62"/>
      <c r="FZF62"/>
      <c r="FZG62"/>
      <c r="FZH62"/>
      <c r="FZI62"/>
      <c r="FZJ62"/>
      <c r="FZK62"/>
      <c r="FZL62"/>
      <c r="FZM62"/>
      <c r="FZN62"/>
      <c r="FZO62"/>
      <c r="FZP62"/>
      <c r="FZQ62"/>
      <c r="FZR62"/>
      <c r="FZS62"/>
      <c r="FZT62"/>
      <c r="FZU62"/>
      <c r="FZV62"/>
      <c r="FZW62"/>
      <c r="FZX62"/>
      <c r="FZY62"/>
      <c r="FZZ62"/>
      <c r="GAA62"/>
      <c r="GAB62"/>
      <c r="GAC62"/>
      <c r="GAD62"/>
      <c r="GAE62"/>
      <c r="GAF62"/>
      <c r="GAG62"/>
      <c r="GAH62"/>
      <c r="GAI62"/>
      <c r="GAJ62"/>
      <c r="GAK62"/>
      <c r="GAL62"/>
      <c r="GAM62"/>
      <c r="GAN62"/>
      <c r="GAO62"/>
      <c r="GAP62"/>
      <c r="GAQ62"/>
      <c r="GAR62"/>
      <c r="GAS62"/>
      <c r="GAT62"/>
      <c r="GAU62"/>
      <c r="GAV62"/>
      <c r="GAW62"/>
      <c r="GAX62"/>
      <c r="GAY62"/>
      <c r="GAZ62"/>
      <c r="GBA62"/>
      <c r="GBB62"/>
      <c r="GBC62"/>
      <c r="GBD62"/>
      <c r="GBE62"/>
      <c r="GBF62"/>
      <c r="GBG62"/>
      <c r="GBH62"/>
      <c r="GBI62"/>
      <c r="GBJ62"/>
      <c r="GBK62"/>
      <c r="GBL62"/>
      <c r="GBM62"/>
      <c r="GBN62"/>
      <c r="GBO62"/>
      <c r="GBP62"/>
      <c r="GBQ62"/>
      <c r="GBR62"/>
      <c r="GBS62"/>
      <c r="GBT62"/>
      <c r="GBU62"/>
      <c r="GBV62"/>
      <c r="GBW62"/>
      <c r="GBX62"/>
      <c r="GBY62"/>
      <c r="GBZ62"/>
      <c r="GCA62"/>
      <c r="GCB62"/>
      <c r="GCC62"/>
      <c r="GCD62"/>
      <c r="GCE62"/>
      <c r="GCF62"/>
      <c r="GCG62"/>
      <c r="GCH62"/>
      <c r="GCI62"/>
      <c r="GCJ62"/>
      <c r="GCK62"/>
      <c r="GCL62"/>
      <c r="GCM62"/>
      <c r="GCN62"/>
      <c r="GCO62"/>
      <c r="GCP62"/>
      <c r="GCQ62"/>
      <c r="GCR62"/>
      <c r="GCS62"/>
      <c r="GCT62"/>
      <c r="GCU62"/>
      <c r="GCV62"/>
      <c r="GCW62"/>
      <c r="GCX62"/>
      <c r="GCY62"/>
      <c r="GCZ62"/>
      <c r="GDA62"/>
      <c r="GDB62"/>
      <c r="GDC62"/>
      <c r="GDD62"/>
      <c r="GDE62"/>
      <c r="GDF62"/>
      <c r="GDG62"/>
      <c r="GDH62"/>
      <c r="GDI62"/>
      <c r="GDJ62"/>
      <c r="GDK62"/>
      <c r="GDL62"/>
      <c r="GDM62"/>
      <c r="GDN62"/>
      <c r="GDO62"/>
      <c r="GDP62"/>
      <c r="GDQ62"/>
      <c r="GDR62"/>
      <c r="GDS62"/>
      <c r="GDT62"/>
      <c r="GDU62"/>
      <c r="GDV62"/>
      <c r="GDW62"/>
      <c r="GDX62"/>
      <c r="GDY62"/>
      <c r="GDZ62"/>
      <c r="GEA62"/>
      <c r="GEB62"/>
      <c r="GEC62"/>
      <c r="GED62"/>
      <c r="GEE62"/>
      <c r="GEF62"/>
      <c r="GEG62"/>
      <c r="GEH62"/>
      <c r="GEI62"/>
      <c r="GEJ62"/>
      <c r="GEK62"/>
      <c r="GEL62"/>
      <c r="GEM62"/>
      <c r="GEN62"/>
      <c r="GEO62"/>
      <c r="GEP62"/>
      <c r="GEQ62"/>
      <c r="GER62"/>
      <c r="GES62"/>
      <c r="GET62"/>
      <c r="GEU62"/>
      <c r="GEV62"/>
      <c r="GEW62"/>
      <c r="GEX62"/>
      <c r="GEY62"/>
      <c r="GEZ62"/>
      <c r="GFA62"/>
      <c r="GFB62"/>
      <c r="GFC62"/>
      <c r="GFD62"/>
      <c r="GFE62"/>
      <c r="GFF62"/>
      <c r="GFG62"/>
      <c r="GFH62"/>
      <c r="GFI62"/>
      <c r="GFJ62"/>
      <c r="GFK62"/>
      <c r="GFL62"/>
      <c r="GFM62"/>
      <c r="GFN62"/>
      <c r="GFO62"/>
      <c r="GFP62"/>
      <c r="GFQ62"/>
      <c r="GFR62"/>
      <c r="GFS62"/>
      <c r="GFT62"/>
      <c r="GFU62"/>
      <c r="GFV62"/>
      <c r="GFW62"/>
      <c r="GFX62"/>
      <c r="GFY62"/>
      <c r="GFZ62"/>
      <c r="GGA62"/>
      <c r="GGB62"/>
      <c r="GGC62"/>
      <c r="GGD62"/>
      <c r="GGE62"/>
      <c r="GGF62"/>
      <c r="GGG62"/>
      <c r="GGH62"/>
      <c r="GGI62"/>
      <c r="GGJ62"/>
      <c r="GGK62"/>
      <c r="GGL62"/>
      <c r="GGM62"/>
      <c r="GGN62"/>
      <c r="GGO62"/>
      <c r="GGP62"/>
      <c r="GGQ62"/>
      <c r="GGR62"/>
      <c r="GGS62"/>
      <c r="GGT62"/>
      <c r="GGU62"/>
      <c r="GGV62"/>
      <c r="GGW62"/>
      <c r="GGX62"/>
      <c r="GGY62"/>
      <c r="GGZ62"/>
      <c r="GHA62"/>
      <c r="GHB62"/>
      <c r="GHC62"/>
      <c r="GHD62"/>
      <c r="GHE62"/>
      <c r="GHF62"/>
      <c r="GHG62"/>
      <c r="GHH62"/>
      <c r="GHI62"/>
      <c r="GHJ62"/>
      <c r="GHK62"/>
      <c r="GHL62"/>
      <c r="GHM62"/>
      <c r="GHN62"/>
      <c r="GHO62"/>
      <c r="GHP62"/>
      <c r="GHQ62"/>
      <c r="GHR62"/>
      <c r="GHS62"/>
      <c r="GHT62"/>
      <c r="GHU62"/>
      <c r="GHV62"/>
      <c r="GHW62"/>
      <c r="GHX62"/>
      <c r="GHY62"/>
      <c r="GHZ62"/>
      <c r="GIA62"/>
      <c r="GIB62"/>
      <c r="GIC62"/>
      <c r="GID62"/>
      <c r="GIE62"/>
      <c r="GIF62"/>
      <c r="GIG62"/>
      <c r="GIH62"/>
      <c r="GII62"/>
      <c r="GIJ62"/>
      <c r="GIK62"/>
      <c r="GIL62"/>
      <c r="GIM62"/>
      <c r="GIN62"/>
      <c r="GIO62"/>
      <c r="GIP62"/>
      <c r="GIQ62"/>
      <c r="GIR62"/>
      <c r="GIS62"/>
      <c r="GIT62"/>
      <c r="GIU62"/>
      <c r="GIV62"/>
      <c r="GIW62"/>
      <c r="GIX62"/>
      <c r="GIY62"/>
      <c r="GIZ62"/>
      <c r="GJA62"/>
      <c r="GJB62"/>
      <c r="GJC62"/>
      <c r="GJD62"/>
      <c r="GJE62"/>
      <c r="GJF62"/>
      <c r="GJG62"/>
      <c r="GJH62"/>
      <c r="GJI62"/>
      <c r="GJJ62"/>
      <c r="GJK62"/>
      <c r="GJL62"/>
      <c r="GJM62"/>
      <c r="GJN62"/>
      <c r="GJO62"/>
      <c r="GJP62"/>
      <c r="GJQ62"/>
      <c r="GJR62"/>
      <c r="GJS62"/>
      <c r="GJT62"/>
      <c r="GJU62"/>
      <c r="GJV62"/>
      <c r="GJW62"/>
      <c r="GJX62"/>
      <c r="GJY62"/>
      <c r="GJZ62"/>
      <c r="GKA62"/>
      <c r="GKB62"/>
      <c r="GKC62"/>
      <c r="GKD62"/>
      <c r="GKE62"/>
      <c r="GKF62"/>
      <c r="GKG62"/>
      <c r="GKH62"/>
      <c r="GKI62"/>
      <c r="GKJ62"/>
      <c r="GKK62"/>
      <c r="GKL62"/>
      <c r="GKM62"/>
      <c r="GKN62"/>
      <c r="GKO62"/>
      <c r="GKP62"/>
      <c r="GKQ62"/>
      <c r="GKR62"/>
      <c r="GKS62"/>
      <c r="GKT62"/>
      <c r="GKU62"/>
      <c r="GKV62"/>
      <c r="GKW62"/>
      <c r="GKX62"/>
      <c r="GKY62"/>
      <c r="GKZ62"/>
      <c r="GLA62"/>
      <c r="GLB62"/>
      <c r="GLC62"/>
      <c r="GLD62"/>
      <c r="GLE62"/>
      <c r="GLF62"/>
      <c r="GLG62"/>
      <c r="GLH62"/>
      <c r="GLI62"/>
      <c r="GLJ62"/>
      <c r="GLK62"/>
      <c r="GLL62"/>
      <c r="GLM62"/>
      <c r="GLN62"/>
      <c r="GLO62"/>
      <c r="GLP62"/>
      <c r="GLQ62"/>
      <c r="GLR62"/>
      <c r="GLS62"/>
      <c r="GLT62"/>
      <c r="GLU62"/>
      <c r="GLV62"/>
      <c r="GLW62"/>
      <c r="GLX62"/>
      <c r="GLY62"/>
      <c r="GLZ62"/>
      <c r="GMA62"/>
      <c r="GMB62"/>
      <c r="GMC62"/>
      <c r="GMD62"/>
      <c r="GME62"/>
      <c r="GMF62"/>
      <c r="GMG62"/>
      <c r="GMH62"/>
      <c r="GMI62"/>
      <c r="GMJ62"/>
      <c r="GMK62"/>
      <c r="GML62"/>
      <c r="GMM62"/>
      <c r="GMN62"/>
      <c r="GMO62"/>
      <c r="GMP62"/>
      <c r="GMQ62"/>
      <c r="GMR62"/>
      <c r="GMS62"/>
      <c r="GMT62"/>
      <c r="GMU62"/>
      <c r="GMV62"/>
      <c r="GMW62"/>
      <c r="GMX62"/>
      <c r="GMY62"/>
      <c r="GMZ62"/>
      <c r="GNA62"/>
      <c r="GNB62"/>
      <c r="GNC62"/>
      <c r="GND62"/>
      <c r="GNE62"/>
      <c r="GNF62"/>
      <c r="GNG62"/>
      <c r="GNH62"/>
      <c r="GNI62"/>
      <c r="GNJ62"/>
      <c r="GNK62"/>
      <c r="GNL62"/>
      <c r="GNM62"/>
      <c r="GNN62"/>
      <c r="GNO62"/>
      <c r="GNP62"/>
      <c r="GNQ62"/>
      <c r="GNR62"/>
      <c r="GNS62"/>
      <c r="GNT62"/>
      <c r="GNU62"/>
      <c r="GNV62"/>
      <c r="GNW62"/>
      <c r="GNX62"/>
      <c r="GNY62"/>
      <c r="GNZ62"/>
      <c r="GOA62"/>
      <c r="GOB62"/>
      <c r="GOC62"/>
      <c r="GOD62"/>
      <c r="GOE62"/>
      <c r="GOF62"/>
      <c r="GOG62"/>
      <c r="GOH62"/>
      <c r="GOI62"/>
      <c r="GOJ62"/>
      <c r="GOK62"/>
      <c r="GOL62"/>
      <c r="GOM62"/>
      <c r="GON62"/>
      <c r="GOO62"/>
      <c r="GOP62"/>
      <c r="GOQ62"/>
      <c r="GOR62"/>
      <c r="GOS62"/>
      <c r="GOT62"/>
      <c r="GOU62"/>
      <c r="GOV62"/>
      <c r="GOW62"/>
      <c r="GOX62"/>
      <c r="GOY62"/>
      <c r="GOZ62"/>
      <c r="GPA62"/>
      <c r="GPB62"/>
      <c r="GPC62"/>
      <c r="GPD62"/>
      <c r="GPE62"/>
      <c r="GPF62"/>
      <c r="GPG62"/>
      <c r="GPH62"/>
      <c r="GPI62"/>
      <c r="GPJ62"/>
      <c r="GPK62"/>
      <c r="GPL62"/>
      <c r="GPM62"/>
      <c r="GPN62"/>
      <c r="GPO62"/>
      <c r="GPP62"/>
      <c r="GPQ62"/>
      <c r="GPR62"/>
      <c r="GPS62"/>
      <c r="GPT62"/>
      <c r="GPU62"/>
      <c r="GPV62"/>
      <c r="GPW62"/>
      <c r="GPX62"/>
      <c r="GPY62"/>
      <c r="GPZ62"/>
      <c r="GQA62"/>
      <c r="GQB62"/>
      <c r="GQC62"/>
      <c r="GQD62"/>
      <c r="GQE62"/>
      <c r="GQF62"/>
      <c r="GQG62"/>
      <c r="GQH62"/>
      <c r="GQI62"/>
      <c r="GQJ62"/>
      <c r="GQK62"/>
      <c r="GQL62"/>
      <c r="GQM62"/>
      <c r="GQN62"/>
      <c r="GQO62"/>
      <c r="GQP62"/>
      <c r="GQQ62"/>
      <c r="GQR62"/>
      <c r="GQS62"/>
      <c r="GQT62"/>
      <c r="GQU62"/>
      <c r="GQV62"/>
      <c r="GQW62"/>
      <c r="GQX62"/>
      <c r="GQY62"/>
      <c r="GQZ62"/>
      <c r="GRA62"/>
      <c r="GRB62"/>
      <c r="GRC62"/>
      <c r="GRD62"/>
      <c r="GRE62"/>
      <c r="GRF62"/>
      <c r="GRG62"/>
      <c r="GRH62"/>
      <c r="GRI62"/>
      <c r="GRJ62"/>
      <c r="GRK62"/>
      <c r="GRL62"/>
      <c r="GRM62"/>
      <c r="GRN62"/>
      <c r="GRO62"/>
      <c r="GRP62"/>
      <c r="GRQ62"/>
      <c r="GRR62"/>
      <c r="GRS62"/>
      <c r="GRT62"/>
      <c r="GRU62"/>
      <c r="GRV62"/>
      <c r="GRW62"/>
      <c r="GRX62"/>
      <c r="GRY62"/>
      <c r="GRZ62"/>
      <c r="GSA62"/>
      <c r="GSB62"/>
      <c r="GSC62"/>
      <c r="GSD62"/>
      <c r="GSE62"/>
      <c r="GSF62"/>
      <c r="GSG62"/>
      <c r="GSH62"/>
      <c r="GSI62"/>
      <c r="GSJ62"/>
      <c r="GSK62"/>
      <c r="GSL62"/>
      <c r="GSM62"/>
      <c r="GSN62"/>
      <c r="GSO62"/>
      <c r="GSP62"/>
      <c r="GSQ62"/>
      <c r="GSR62"/>
      <c r="GSS62"/>
      <c r="GST62"/>
      <c r="GSU62"/>
      <c r="GSV62"/>
      <c r="GSW62"/>
      <c r="GSX62"/>
      <c r="GSY62"/>
      <c r="GSZ62"/>
      <c r="GTA62"/>
      <c r="GTB62"/>
      <c r="GTC62"/>
      <c r="GTD62"/>
      <c r="GTE62"/>
      <c r="GTF62"/>
      <c r="GTG62"/>
      <c r="GTH62"/>
      <c r="GTI62"/>
      <c r="GTJ62"/>
      <c r="GTK62"/>
      <c r="GTL62"/>
      <c r="GTM62"/>
      <c r="GTN62"/>
      <c r="GTO62"/>
      <c r="GTP62"/>
      <c r="GTQ62"/>
      <c r="GTR62"/>
      <c r="GTS62"/>
      <c r="GTT62"/>
      <c r="GTU62"/>
      <c r="GTV62"/>
      <c r="GTW62"/>
      <c r="GTX62"/>
      <c r="GTY62"/>
      <c r="GTZ62"/>
      <c r="GUA62"/>
      <c r="GUB62"/>
      <c r="GUC62"/>
      <c r="GUD62"/>
      <c r="GUE62"/>
      <c r="GUF62"/>
      <c r="GUG62"/>
      <c r="GUH62"/>
      <c r="GUI62"/>
      <c r="GUJ62"/>
      <c r="GUK62"/>
      <c r="GUL62"/>
      <c r="GUM62"/>
      <c r="GUN62"/>
      <c r="GUO62"/>
      <c r="GUP62"/>
      <c r="GUQ62"/>
      <c r="GUR62"/>
      <c r="GUS62"/>
      <c r="GUT62"/>
      <c r="GUU62"/>
      <c r="GUV62"/>
      <c r="GUW62"/>
      <c r="GUX62"/>
      <c r="GUY62"/>
      <c r="GUZ62"/>
      <c r="GVA62"/>
      <c r="GVB62"/>
      <c r="GVC62"/>
      <c r="GVD62"/>
      <c r="GVE62"/>
      <c r="GVF62"/>
      <c r="GVG62"/>
      <c r="GVH62"/>
      <c r="GVI62"/>
      <c r="GVJ62"/>
      <c r="GVK62"/>
      <c r="GVL62"/>
      <c r="GVM62"/>
      <c r="GVN62"/>
      <c r="GVO62"/>
      <c r="GVP62"/>
      <c r="GVQ62"/>
      <c r="GVR62"/>
      <c r="GVS62"/>
      <c r="GVT62"/>
      <c r="GVU62"/>
      <c r="GVV62"/>
      <c r="GVW62"/>
      <c r="GVX62"/>
      <c r="GVY62"/>
      <c r="GVZ62"/>
      <c r="GWA62"/>
      <c r="GWB62"/>
      <c r="GWC62"/>
      <c r="GWD62"/>
      <c r="GWE62"/>
      <c r="GWF62"/>
      <c r="GWG62"/>
      <c r="GWH62"/>
      <c r="GWI62"/>
      <c r="GWJ62"/>
      <c r="GWK62"/>
      <c r="GWL62"/>
      <c r="GWM62"/>
      <c r="GWN62"/>
      <c r="GWO62"/>
      <c r="GWP62"/>
      <c r="GWQ62"/>
      <c r="GWR62"/>
      <c r="GWS62"/>
      <c r="GWT62"/>
      <c r="GWU62"/>
      <c r="GWV62"/>
      <c r="GWW62"/>
      <c r="GWX62"/>
      <c r="GWY62"/>
      <c r="GWZ62"/>
      <c r="GXA62"/>
      <c r="GXB62"/>
      <c r="GXC62"/>
      <c r="GXD62"/>
      <c r="GXE62"/>
      <c r="GXF62"/>
      <c r="GXG62"/>
      <c r="GXH62"/>
      <c r="GXI62"/>
      <c r="GXJ62"/>
      <c r="GXK62"/>
      <c r="GXL62"/>
      <c r="GXM62"/>
      <c r="GXN62"/>
      <c r="GXO62"/>
      <c r="GXP62"/>
      <c r="GXQ62"/>
      <c r="GXR62"/>
      <c r="GXS62"/>
      <c r="GXT62"/>
      <c r="GXU62"/>
      <c r="GXV62"/>
      <c r="GXW62"/>
      <c r="GXX62"/>
      <c r="GXY62"/>
      <c r="GXZ62"/>
      <c r="GYA62"/>
      <c r="GYB62"/>
      <c r="GYC62"/>
      <c r="GYD62"/>
      <c r="GYE62"/>
      <c r="GYF62"/>
      <c r="GYG62"/>
      <c r="GYH62"/>
      <c r="GYI62"/>
      <c r="GYJ62"/>
      <c r="GYK62"/>
      <c r="GYL62"/>
      <c r="GYM62"/>
      <c r="GYN62"/>
      <c r="GYO62"/>
      <c r="GYP62"/>
      <c r="GYQ62"/>
      <c r="GYR62"/>
      <c r="GYS62"/>
      <c r="GYT62"/>
      <c r="GYU62"/>
      <c r="GYV62"/>
      <c r="GYW62"/>
      <c r="GYX62"/>
      <c r="GYY62"/>
      <c r="GYZ62"/>
      <c r="GZA62"/>
      <c r="GZB62"/>
      <c r="GZC62"/>
      <c r="GZD62"/>
      <c r="GZE62"/>
      <c r="GZF62"/>
      <c r="GZG62"/>
      <c r="GZH62"/>
      <c r="GZI62"/>
      <c r="GZJ62"/>
      <c r="GZK62"/>
      <c r="GZL62"/>
      <c r="GZM62"/>
      <c r="GZN62"/>
      <c r="GZO62"/>
      <c r="GZP62"/>
      <c r="GZQ62"/>
      <c r="GZR62"/>
      <c r="GZS62"/>
      <c r="GZT62"/>
      <c r="GZU62"/>
      <c r="GZV62"/>
      <c r="GZW62"/>
      <c r="GZX62"/>
      <c r="GZY62"/>
      <c r="GZZ62"/>
      <c r="HAA62"/>
      <c r="HAB62"/>
      <c r="HAC62"/>
      <c r="HAD62"/>
      <c r="HAE62"/>
      <c r="HAF62"/>
      <c r="HAG62"/>
      <c r="HAH62"/>
      <c r="HAI62"/>
      <c r="HAJ62"/>
      <c r="HAK62"/>
      <c r="HAL62"/>
      <c r="HAM62"/>
      <c r="HAN62"/>
      <c r="HAO62"/>
      <c r="HAP62"/>
      <c r="HAQ62"/>
      <c r="HAR62"/>
      <c r="HAS62"/>
      <c r="HAT62"/>
      <c r="HAU62"/>
      <c r="HAV62"/>
      <c r="HAW62"/>
      <c r="HAX62"/>
      <c r="HAY62"/>
      <c r="HAZ62"/>
      <c r="HBA62"/>
      <c r="HBB62"/>
      <c r="HBC62"/>
      <c r="HBD62"/>
      <c r="HBE62"/>
      <c r="HBF62"/>
      <c r="HBG62"/>
      <c r="HBH62"/>
      <c r="HBI62"/>
      <c r="HBJ62"/>
      <c r="HBK62"/>
      <c r="HBL62"/>
      <c r="HBM62"/>
      <c r="HBN62"/>
      <c r="HBO62"/>
      <c r="HBP62"/>
      <c r="HBQ62"/>
      <c r="HBR62"/>
      <c r="HBS62"/>
      <c r="HBT62"/>
      <c r="HBU62"/>
      <c r="HBV62"/>
      <c r="HBW62"/>
      <c r="HBX62"/>
      <c r="HBY62"/>
      <c r="HBZ62"/>
      <c r="HCA62"/>
      <c r="HCB62"/>
      <c r="HCC62"/>
      <c r="HCD62"/>
      <c r="HCE62"/>
      <c r="HCF62"/>
      <c r="HCG62"/>
      <c r="HCH62"/>
      <c r="HCI62"/>
      <c r="HCJ62"/>
      <c r="HCK62"/>
      <c r="HCL62"/>
      <c r="HCM62"/>
      <c r="HCN62"/>
      <c r="HCO62"/>
      <c r="HCP62"/>
      <c r="HCQ62"/>
      <c r="HCR62"/>
      <c r="HCS62"/>
      <c r="HCT62"/>
      <c r="HCU62"/>
      <c r="HCV62"/>
      <c r="HCW62"/>
      <c r="HCX62"/>
      <c r="HCY62"/>
      <c r="HCZ62"/>
      <c r="HDA62"/>
      <c r="HDB62"/>
      <c r="HDC62"/>
      <c r="HDD62"/>
      <c r="HDE62"/>
      <c r="HDF62"/>
      <c r="HDG62"/>
      <c r="HDH62"/>
      <c r="HDI62"/>
      <c r="HDJ62"/>
      <c r="HDK62"/>
      <c r="HDL62"/>
      <c r="HDM62"/>
      <c r="HDN62"/>
      <c r="HDO62"/>
      <c r="HDP62"/>
      <c r="HDQ62"/>
      <c r="HDR62"/>
      <c r="HDS62"/>
      <c r="HDT62"/>
      <c r="HDU62"/>
      <c r="HDV62"/>
      <c r="HDW62"/>
      <c r="HDX62"/>
      <c r="HDY62"/>
      <c r="HDZ62"/>
      <c r="HEA62"/>
      <c r="HEB62"/>
      <c r="HEC62"/>
      <c r="HED62"/>
      <c r="HEE62"/>
      <c r="HEF62"/>
      <c r="HEG62"/>
      <c r="HEH62"/>
      <c r="HEI62"/>
      <c r="HEJ62"/>
      <c r="HEK62"/>
      <c r="HEL62"/>
      <c r="HEM62"/>
      <c r="HEN62"/>
      <c r="HEO62"/>
      <c r="HEP62"/>
      <c r="HEQ62"/>
      <c r="HER62"/>
      <c r="HES62"/>
      <c r="HET62"/>
      <c r="HEU62"/>
      <c r="HEV62"/>
      <c r="HEW62"/>
      <c r="HEX62"/>
      <c r="HEY62"/>
      <c r="HEZ62"/>
      <c r="HFA62"/>
      <c r="HFB62"/>
      <c r="HFC62"/>
      <c r="HFD62"/>
      <c r="HFE62"/>
      <c r="HFF62"/>
      <c r="HFG62"/>
      <c r="HFH62"/>
      <c r="HFI62"/>
      <c r="HFJ62"/>
      <c r="HFK62"/>
      <c r="HFL62"/>
      <c r="HFM62"/>
      <c r="HFN62"/>
      <c r="HFO62"/>
      <c r="HFP62"/>
      <c r="HFQ62"/>
      <c r="HFR62"/>
      <c r="HFS62"/>
      <c r="HFT62"/>
      <c r="HFU62"/>
      <c r="HFV62"/>
      <c r="HFW62"/>
      <c r="HFX62"/>
      <c r="HFY62"/>
      <c r="HFZ62"/>
      <c r="HGA62"/>
      <c r="HGB62"/>
      <c r="HGC62"/>
      <c r="HGD62"/>
      <c r="HGE62"/>
      <c r="HGF62"/>
      <c r="HGG62"/>
      <c r="HGH62"/>
      <c r="HGI62"/>
      <c r="HGJ62"/>
      <c r="HGK62"/>
      <c r="HGL62"/>
      <c r="HGM62"/>
      <c r="HGN62"/>
      <c r="HGO62"/>
      <c r="HGP62"/>
      <c r="HGQ62"/>
      <c r="HGR62"/>
      <c r="HGS62"/>
      <c r="HGT62"/>
      <c r="HGU62"/>
      <c r="HGV62"/>
      <c r="HGW62"/>
      <c r="HGX62"/>
      <c r="HGY62"/>
      <c r="HGZ62"/>
      <c r="HHA62"/>
      <c r="HHB62"/>
      <c r="HHC62"/>
      <c r="HHD62"/>
      <c r="HHE62"/>
      <c r="HHF62"/>
      <c r="HHG62"/>
      <c r="HHH62"/>
      <c r="HHI62"/>
      <c r="HHJ62"/>
      <c r="HHK62"/>
      <c r="HHL62"/>
      <c r="HHM62"/>
      <c r="HHN62"/>
      <c r="HHO62"/>
      <c r="HHP62"/>
      <c r="HHQ62"/>
      <c r="HHR62"/>
      <c r="HHS62"/>
      <c r="HHT62"/>
      <c r="HHU62"/>
      <c r="HHV62"/>
      <c r="HHW62"/>
      <c r="HHX62"/>
      <c r="HHY62"/>
      <c r="HHZ62"/>
      <c r="HIA62"/>
      <c r="HIB62"/>
      <c r="HIC62"/>
      <c r="HID62"/>
      <c r="HIE62"/>
      <c r="HIF62"/>
      <c r="HIG62"/>
      <c r="HIH62"/>
      <c r="HII62"/>
      <c r="HIJ62"/>
      <c r="HIK62"/>
      <c r="HIL62"/>
      <c r="HIM62"/>
      <c r="HIN62"/>
      <c r="HIO62"/>
      <c r="HIP62"/>
      <c r="HIQ62"/>
      <c r="HIR62"/>
      <c r="HIS62"/>
      <c r="HIT62"/>
      <c r="HIU62"/>
      <c r="HIV62"/>
      <c r="HIW62"/>
      <c r="HIX62"/>
      <c r="HIY62"/>
      <c r="HIZ62"/>
      <c r="HJA62"/>
      <c r="HJB62"/>
      <c r="HJC62"/>
      <c r="HJD62"/>
      <c r="HJE62"/>
      <c r="HJF62"/>
      <c r="HJG62"/>
      <c r="HJH62"/>
      <c r="HJI62"/>
      <c r="HJJ62"/>
      <c r="HJK62"/>
      <c r="HJL62"/>
      <c r="HJM62"/>
      <c r="HJN62"/>
      <c r="HJO62"/>
      <c r="HJP62"/>
      <c r="HJQ62"/>
      <c r="HJR62"/>
      <c r="HJS62"/>
      <c r="HJT62"/>
      <c r="HJU62"/>
      <c r="HJV62"/>
      <c r="HJW62"/>
      <c r="HJX62"/>
      <c r="HJY62"/>
      <c r="HJZ62"/>
      <c r="HKA62"/>
      <c r="HKB62"/>
      <c r="HKC62"/>
      <c r="HKD62"/>
      <c r="HKE62"/>
      <c r="HKF62"/>
      <c r="HKG62"/>
      <c r="HKH62"/>
      <c r="HKI62"/>
      <c r="HKJ62"/>
      <c r="HKK62"/>
      <c r="HKL62"/>
      <c r="HKM62"/>
      <c r="HKN62"/>
      <c r="HKO62"/>
      <c r="HKP62"/>
      <c r="HKQ62"/>
      <c r="HKR62"/>
      <c r="HKS62"/>
      <c r="HKT62"/>
      <c r="HKU62"/>
      <c r="HKV62"/>
      <c r="HKW62"/>
      <c r="HKX62"/>
      <c r="HKY62"/>
      <c r="HKZ62"/>
      <c r="HLA62"/>
      <c r="HLB62"/>
      <c r="HLC62"/>
      <c r="HLD62"/>
      <c r="HLE62"/>
      <c r="HLF62"/>
      <c r="HLG62"/>
      <c r="HLH62"/>
      <c r="HLI62"/>
      <c r="HLJ62"/>
      <c r="HLK62"/>
      <c r="HLL62"/>
      <c r="HLM62"/>
      <c r="HLN62"/>
      <c r="HLO62"/>
      <c r="HLP62"/>
      <c r="HLQ62"/>
      <c r="HLR62"/>
      <c r="HLS62"/>
      <c r="HLT62"/>
      <c r="HLU62"/>
      <c r="HLV62"/>
      <c r="HLW62"/>
      <c r="HLX62"/>
      <c r="HLY62"/>
      <c r="HLZ62"/>
      <c r="HMA62"/>
      <c r="HMB62"/>
      <c r="HMC62"/>
      <c r="HMD62"/>
      <c r="HME62"/>
      <c r="HMF62"/>
      <c r="HMG62"/>
      <c r="HMH62"/>
      <c r="HMI62"/>
      <c r="HMJ62"/>
      <c r="HMK62"/>
      <c r="HML62"/>
      <c r="HMM62"/>
      <c r="HMN62"/>
      <c r="HMO62"/>
      <c r="HMP62"/>
      <c r="HMQ62"/>
      <c r="HMR62"/>
      <c r="HMS62"/>
      <c r="HMT62"/>
      <c r="HMU62"/>
      <c r="HMV62"/>
      <c r="HMW62"/>
      <c r="HMX62"/>
      <c r="HMY62"/>
      <c r="HMZ62"/>
      <c r="HNA62"/>
      <c r="HNB62"/>
      <c r="HNC62"/>
      <c r="HND62"/>
      <c r="HNE62"/>
      <c r="HNF62"/>
      <c r="HNG62"/>
      <c r="HNH62"/>
      <c r="HNI62"/>
      <c r="HNJ62"/>
      <c r="HNK62"/>
      <c r="HNL62"/>
      <c r="HNM62"/>
      <c r="HNN62"/>
      <c r="HNO62"/>
      <c r="HNP62"/>
      <c r="HNQ62"/>
      <c r="HNR62"/>
      <c r="HNS62"/>
      <c r="HNT62"/>
      <c r="HNU62"/>
      <c r="HNV62"/>
      <c r="HNW62"/>
      <c r="HNX62"/>
      <c r="HNY62"/>
      <c r="HNZ62"/>
      <c r="HOA62"/>
      <c r="HOB62"/>
      <c r="HOC62"/>
      <c r="HOD62"/>
      <c r="HOE62"/>
      <c r="HOF62"/>
      <c r="HOG62"/>
      <c r="HOH62"/>
      <c r="HOI62"/>
      <c r="HOJ62"/>
      <c r="HOK62"/>
      <c r="HOL62"/>
      <c r="HOM62"/>
      <c r="HON62"/>
      <c r="HOO62"/>
      <c r="HOP62"/>
      <c r="HOQ62"/>
      <c r="HOR62"/>
      <c r="HOS62"/>
      <c r="HOT62"/>
      <c r="HOU62"/>
      <c r="HOV62"/>
      <c r="HOW62"/>
      <c r="HOX62"/>
      <c r="HOY62"/>
      <c r="HOZ62"/>
      <c r="HPA62"/>
      <c r="HPB62"/>
      <c r="HPC62"/>
      <c r="HPD62"/>
      <c r="HPE62"/>
      <c r="HPF62"/>
      <c r="HPG62"/>
      <c r="HPH62"/>
      <c r="HPI62"/>
      <c r="HPJ62"/>
      <c r="HPK62"/>
      <c r="HPL62"/>
      <c r="HPM62"/>
      <c r="HPN62"/>
      <c r="HPO62"/>
      <c r="HPP62"/>
      <c r="HPQ62"/>
      <c r="HPR62"/>
      <c r="HPS62"/>
      <c r="HPT62"/>
      <c r="HPU62"/>
      <c r="HPV62"/>
      <c r="HPW62"/>
      <c r="HPX62"/>
      <c r="HPY62"/>
      <c r="HPZ62"/>
      <c r="HQA62"/>
      <c r="HQB62"/>
      <c r="HQC62"/>
      <c r="HQD62"/>
      <c r="HQE62"/>
      <c r="HQF62"/>
      <c r="HQG62"/>
      <c r="HQH62"/>
      <c r="HQI62"/>
      <c r="HQJ62"/>
      <c r="HQK62"/>
      <c r="HQL62"/>
      <c r="HQM62"/>
      <c r="HQN62"/>
      <c r="HQO62"/>
      <c r="HQP62"/>
      <c r="HQQ62"/>
      <c r="HQR62"/>
      <c r="HQS62"/>
      <c r="HQT62"/>
      <c r="HQU62"/>
      <c r="HQV62"/>
      <c r="HQW62"/>
      <c r="HQX62"/>
      <c r="HQY62"/>
      <c r="HQZ62"/>
      <c r="HRA62"/>
      <c r="HRB62"/>
      <c r="HRC62"/>
      <c r="HRD62"/>
      <c r="HRE62"/>
      <c r="HRF62"/>
      <c r="HRG62"/>
      <c r="HRH62"/>
      <c r="HRI62"/>
      <c r="HRJ62"/>
      <c r="HRK62"/>
      <c r="HRL62"/>
      <c r="HRM62"/>
      <c r="HRN62"/>
      <c r="HRO62"/>
      <c r="HRP62"/>
      <c r="HRQ62"/>
      <c r="HRR62"/>
      <c r="HRS62"/>
      <c r="HRT62"/>
      <c r="HRU62"/>
      <c r="HRV62"/>
      <c r="HRW62"/>
      <c r="HRX62"/>
      <c r="HRY62"/>
      <c r="HRZ62"/>
      <c r="HSA62"/>
      <c r="HSB62"/>
      <c r="HSC62"/>
      <c r="HSD62"/>
      <c r="HSE62"/>
      <c r="HSF62"/>
      <c r="HSG62"/>
      <c r="HSH62"/>
      <c r="HSI62"/>
      <c r="HSJ62"/>
      <c r="HSK62"/>
      <c r="HSL62"/>
      <c r="HSM62"/>
      <c r="HSN62"/>
      <c r="HSO62"/>
      <c r="HSP62"/>
      <c r="HSQ62"/>
      <c r="HSR62"/>
      <c r="HSS62"/>
      <c r="HST62"/>
      <c r="HSU62"/>
      <c r="HSV62"/>
      <c r="HSW62"/>
      <c r="HSX62"/>
      <c r="HSY62"/>
      <c r="HSZ62"/>
      <c r="HTA62"/>
      <c r="HTB62"/>
      <c r="HTC62"/>
      <c r="HTD62"/>
      <c r="HTE62"/>
      <c r="HTF62"/>
      <c r="HTG62"/>
      <c r="HTH62"/>
      <c r="HTI62"/>
      <c r="HTJ62"/>
      <c r="HTK62"/>
      <c r="HTL62"/>
      <c r="HTM62"/>
      <c r="HTN62"/>
      <c r="HTO62"/>
      <c r="HTP62"/>
      <c r="HTQ62"/>
      <c r="HTR62"/>
      <c r="HTS62"/>
      <c r="HTT62"/>
      <c r="HTU62"/>
      <c r="HTV62"/>
      <c r="HTW62"/>
      <c r="HTX62"/>
      <c r="HTY62"/>
      <c r="HTZ62"/>
      <c r="HUA62"/>
      <c r="HUB62"/>
      <c r="HUC62"/>
      <c r="HUD62"/>
      <c r="HUE62"/>
      <c r="HUF62"/>
      <c r="HUG62"/>
      <c r="HUH62"/>
      <c r="HUI62"/>
      <c r="HUJ62"/>
      <c r="HUK62"/>
      <c r="HUL62"/>
      <c r="HUM62"/>
      <c r="HUN62"/>
      <c r="HUO62"/>
      <c r="HUP62"/>
      <c r="HUQ62"/>
      <c r="HUR62"/>
      <c r="HUS62"/>
      <c r="HUT62"/>
      <c r="HUU62"/>
      <c r="HUV62"/>
      <c r="HUW62"/>
      <c r="HUX62"/>
      <c r="HUY62"/>
      <c r="HUZ62"/>
      <c r="HVA62"/>
      <c r="HVB62"/>
      <c r="HVC62"/>
      <c r="HVD62"/>
      <c r="HVE62"/>
      <c r="HVF62"/>
      <c r="HVG62"/>
      <c r="HVH62"/>
      <c r="HVI62"/>
      <c r="HVJ62"/>
      <c r="HVK62"/>
      <c r="HVL62"/>
      <c r="HVM62"/>
      <c r="HVN62"/>
      <c r="HVO62"/>
      <c r="HVP62"/>
      <c r="HVQ62"/>
      <c r="HVR62"/>
      <c r="HVS62"/>
      <c r="HVT62"/>
      <c r="HVU62"/>
      <c r="HVV62"/>
      <c r="HVW62"/>
      <c r="HVX62"/>
      <c r="HVY62"/>
      <c r="HVZ62"/>
      <c r="HWA62"/>
      <c r="HWB62"/>
      <c r="HWC62"/>
      <c r="HWD62"/>
      <c r="HWE62"/>
      <c r="HWF62"/>
      <c r="HWG62"/>
      <c r="HWH62"/>
      <c r="HWI62"/>
      <c r="HWJ62"/>
      <c r="HWK62"/>
      <c r="HWL62"/>
      <c r="HWM62"/>
      <c r="HWN62"/>
      <c r="HWO62"/>
      <c r="HWP62"/>
      <c r="HWQ62"/>
      <c r="HWR62"/>
      <c r="HWS62"/>
      <c r="HWT62"/>
      <c r="HWU62"/>
      <c r="HWV62"/>
      <c r="HWW62"/>
      <c r="HWX62"/>
      <c r="HWY62"/>
      <c r="HWZ62"/>
      <c r="HXA62"/>
      <c r="HXB62"/>
      <c r="HXC62"/>
      <c r="HXD62"/>
      <c r="HXE62"/>
      <c r="HXF62"/>
      <c r="HXG62"/>
      <c r="HXH62"/>
      <c r="HXI62"/>
      <c r="HXJ62"/>
      <c r="HXK62"/>
      <c r="HXL62"/>
      <c r="HXM62"/>
      <c r="HXN62"/>
      <c r="HXO62"/>
      <c r="HXP62"/>
      <c r="HXQ62"/>
      <c r="HXR62"/>
      <c r="HXS62"/>
      <c r="HXT62"/>
      <c r="HXU62"/>
      <c r="HXV62"/>
      <c r="HXW62"/>
      <c r="HXX62"/>
      <c r="HXY62"/>
      <c r="HXZ62"/>
      <c r="HYA62"/>
      <c r="HYB62"/>
      <c r="HYC62"/>
      <c r="HYD62"/>
      <c r="HYE62"/>
      <c r="HYF62"/>
      <c r="HYG62"/>
      <c r="HYH62"/>
      <c r="HYI62"/>
      <c r="HYJ62"/>
      <c r="HYK62"/>
      <c r="HYL62"/>
      <c r="HYM62"/>
      <c r="HYN62"/>
      <c r="HYO62"/>
      <c r="HYP62"/>
      <c r="HYQ62"/>
      <c r="HYR62"/>
      <c r="HYS62"/>
      <c r="HYT62"/>
      <c r="HYU62"/>
      <c r="HYV62"/>
      <c r="HYW62"/>
      <c r="HYX62"/>
      <c r="HYY62"/>
      <c r="HYZ62"/>
      <c r="HZA62"/>
      <c r="HZB62"/>
      <c r="HZC62"/>
      <c r="HZD62"/>
      <c r="HZE62"/>
      <c r="HZF62"/>
      <c r="HZG62"/>
      <c r="HZH62"/>
      <c r="HZI62"/>
      <c r="HZJ62"/>
      <c r="HZK62"/>
      <c r="HZL62"/>
      <c r="HZM62"/>
      <c r="HZN62"/>
      <c r="HZO62"/>
      <c r="HZP62"/>
      <c r="HZQ62"/>
      <c r="HZR62"/>
      <c r="HZS62"/>
      <c r="HZT62"/>
      <c r="HZU62"/>
      <c r="HZV62"/>
      <c r="HZW62"/>
      <c r="HZX62"/>
      <c r="HZY62"/>
      <c r="HZZ62"/>
      <c r="IAA62"/>
      <c r="IAB62"/>
      <c r="IAC62"/>
      <c r="IAD62"/>
      <c r="IAE62"/>
      <c r="IAF62"/>
      <c r="IAG62"/>
      <c r="IAH62"/>
      <c r="IAI62"/>
      <c r="IAJ62"/>
      <c r="IAK62"/>
      <c r="IAL62"/>
      <c r="IAM62"/>
      <c r="IAN62"/>
      <c r="IAO62"/>
      <c r="IAP62"/>
      <c r="IAQ62"/>
      <c r="IAR62"/>
      <c r="IAS62"/>
      <c r="IAT62"/>
      <c r="IAU62"/>
      <c r="IAV62"/>
      <c r="IAW62"/>
      <c r="IAX62"/>
      <c r="IAY62"/>
      <c r="IAZ62"/>
      <c r="IBA62"/>
      <c r="IBB62"/>
      <c r="IBC62"/>
      <c r="IBD62"/>
      <c r="IBE62"/>
      <c r="IBF62"/>
      <c r="IBG62"/>
      <c r="IBH62"/>
      <c r="IBI62"/>
      <c r="IBJ62"/>
      <c r="IBK62"/>
      <c r="IBL62"/>
      <c r="IBM62"/>
      <c r="IBN62"/>
      <c r="IBO62"/>
      <c r="IBP62"/>
      <c r="IBQ62"/>
      <c r="IBR62"/>
      <c r="IBS62"/>
      <c r="IBT62"/>
      <c r="IBU62"/>
      <c r="IBV62"/>
      <c r="IBW62"/>
      <c r="IBX62"/>
      <c r="IBY62"/>
      <c r="IBZ62"/>
      <c r="ICA62"/>
      <c r="ICB62"/>
      <c r="ICC62"/>
      <c r="ICD62"/>
      <c r="ICE62"/>
      <c r="ICF62"/>
      <c r="ICG62"/>
      <c r="ICH62"/>
      <c r="ICI62"/>
      <c r="ICJ62"/>
      <c r="ICK62"/>
      <c r="ICL62"/>
      <c r="ICM62"/>
      <c r="ICN62"/>
      <c r="ICO62"/>
      <c r="ICP62"/>
      <c r="ICQ62"/>
      <c r="ICR62"/>
      <c r="ICS62"/>
      <c r="ICT62"/>
      <c r="ICU62"/>
      <c r="ICV62"/>
      <c r="ICW62"/>
      <c r="ICX62"/>
      <c r="ICY62"/>
      <c r="ICZ62"/>
      <c r="IDA62"/>
      <c r="IDB62"/>
      <c r="IDC62"/>
      <c r="IDD62"/>
      <c r="IDE62"/>
      <c r="IDF62"/>
      <c r="IDG62"/>
      <c r="IDH62"/>
      <c r="IDI62"/>
      <c r="IDJ62"/>
      <c r="IDK62"/>
      <c r="IDL62"/>
      <c r="IDM62"/>
      <c r="IDN62"/>
      <c r="IDO62"/>
      <c r="IDP62"/>
      <c r="IDQ62"/>
      <c r="IDR62"/>
      <c r="IDS62"/>
      <c r="IDT62"/>
      <c r="IDU62"/>
      <c r="IDV62"/>
      <c r="IDW62"/>
      <c r="IDX62"/>
      <c r="IDY62"/>
      <c r="IDZ62"/>
      <c r="IEA62"/>
      <c r="IEB62"/>
      <c r="IEC62"/>
      <c r="IED62"/>
      <c r="IEE62"/>
      <c r="IEF62"/>
      <c r="IEG62"/>
      <c r="IEH62"/>
      <c r="IEI62"/>
      <c r="IEJ62"/>
      <c r="IEK62"/>
      <c r="IEL62"/>
      <c r="IEM62"/>
      <c r="IEN62"/>
      <c r="IEO62"/>
      <c r="IEP62"/>
      <c r="IEQ62"/>
      <c r="IER62"/>
      <c r="IES62"/>
      <c r="IET62"/>
      <c r="IEU62"/>
      <c r="IEV62"/>
      <c r="IEW62"/>
      <c r="IEX62"/>
      <c r="IEY62"/>
      <c r="IEZ62"/>
      <c r="IFA62"/>
      <c r="IFB62"/>
      <c r="IFC62"/>
      <c r="IFD62"/>
      <c r="IFE62"/>
      <c r="IFF62"/>
      <c r="IFG62"/>
      <c r="IFH62"/>
      <c r="IFI62"/>
      <c r="IFJ62"/>
      <c r="IFK62"/>
      <c r="IFL62"/>
      <c r="IFM62"/>
      <c r="IFN62"/>
      <c r="IFO62"/>
      <c r="IFP62"/>
      <c r="IFQ62"/>
      <c r="IFR62"/>
      <c r="IFS62"/>
      <c r="IFT62"/>
      <c r="IFU62"/>
      <c r="IFV62"/>
      <c r="IFW62"/>
      <c r="IFX62"/>
      <c r="IFY62"/>
      <c r="IFZ62"/>
      <c r="IGA62"/>
      <c r="IGB62"/>
      <c r="IGC62"/>
      <c r="IGD62"/>
      <c r="IGE62"/>
      <c r="IGF62"/>
      <c r="IGG62"/>
      <c r="IGH62"/>
      <c r="IGI62"/>
      <c r="IGJ62"/>
      <c r="IGK62"/>
      <c r="IGL62"/>
      <c r="IGM62"/>
      <c r="IGN62"/>
      <c r="IGO62"/>
      <c r="IGP62"/>
      <c r="IGQ62"/>
      <c r="IGR62"/>
      <c r="IGS62"/>
      <c r="IGT62"/>
      <c r="IGU62"/>
      <c r="IGV62"/>
      <c r="IGW62"/>
      <c r="IGX62"/>
      <c r="IGY62"/>
      <c r="IGZ62"/>
      <c r="IHA62"/>
      <c r="IHB62"/>
      <c r="IHC62"/>
      <c r="IHD62"/>
      <c r="IHE62"/>
      <c r="IHF62"/>
      <c r="IHG62"/>
      <c r="IHH62"/>
      <c r="IHI62"/>
      <c r="IHJ62"/>
      <c r="IHK62"/>
      <c r="IHL62"/>
      <c r="IHM62"/>
      <c r="IHN62"/>
      <c r="IHO62"/>
      <c r="IHP62"/>
      <c r="IHQ62"/>
      <c r="IHR62"/>
      <c r="IHS62"/>
      <c r="IHT62"/>
      <c r="IHU62"/>
      <c r="IHV62"/>
      <c r="IHW62"/>
      <c r="IHX62"/>
      <c r="IHY62"/>
      <c r="IHZ62"/>
      <c r="IIA62"/>
      <c r="IIB62"/>
      <c r="IIC62"/>
      <c r="IID62"/>
      <c r="IIE62"/>
      <c r="IIF62"/>
      <c r="IIG62"/>
      <c r="IIH62"/>
      <c r="III62"/>
      <c r="IIJ62"/>
      <c r="IIK62"/>
      <c r="IIL62"/>
      <c r="IIM62"/>
      <c r="IIN62"/>
      <c r="IIO62"/>
      <c r="IIP62"/>
      <c r="IIQ62"/>
      <c r="IIR62"/>
      <c r="IIS62"/>
      <c r="IIT62"/>
      <c r="IIU62"/>
      <c r="IIV62"/>
      <c r="IIW62"/>
      <c r="IIX62"/>
      <c r="IIY62"/>
      <c r="IIZ62"/>
      <c r="IJA62"/>
      <c r="IJB62"/>
      <c r="IJC62"/>
      <c r="IJD62"/>
      <c r="IJE62"/>
      <c r="IJF62"/>
      <c r="IJG62"/>
      <c r="IJH62"/>
      <c r="IJI62"/>
      <c r="IJJ62"/>
      <c r="IJK62"/>
      <c r="IJL62"/>
      <c r="IJM62"/>
      <c r="IJN62"/>
      <c r="IJO62"/>
      <c r="IJP62"/>
      <c r="IJQ62"/>
      <c r="IJR62"/>
      <c r="IJS62"/>
      <c r="IJT62"/>
      <c r="IJU62"/>
      <c r="IJV62"/>
      <c r="IJW62"/>
      <c r="IJX62"/>
      <c r="IJY62"/>
      <c r="IJZ62"/>
      <c r="IKA62"/>
      <c r="IKB62"/>
      <c r="IKC62"/>
      <c r="IKD62"/>
      <c r="IKE62"/>
      <c r="IKF62"/>
      <c r="IKG62"/>
      <c r="IKH62"/>
      <c r="IKI62"/>
      <c r="IKJ62"/>
      <c r="IKK62"/>
      <c r="IKL62"/>
      <c r="IKM62"/>
      <c r="IKN62"/>
      <c r="IKO62"/>
      <c r="IKP62"/>
      <c r="IKQ62"/>
      <c r="IKR62"/>
      <c r="IKS62"/>
      <c r="IKT62"/>
      <c r="IKU62"/>
      <c r="IKV62"/>
      <c r="IKW62"/>
      <c r="IKX62"/>
      <c r="IKY62"/>
      <c r="IKZ62"/>
      <c r="ILA62"/>
      <c r="ILB62"/>
      <c r="ILC62"/>
      <c r="ILD62"/>
      <c r="ILE62"/>
      <c r="ILF62"/>
      <c r="ILG62"/>
      <c r="ILH62"/>
      <c r="ILI62"/>
      <c r="ILJ62"/>
      <c r="ILK62"/>
      <c r="ILL62"/>
      <c r="ILM62"/>
      <c r="ILN62"/>
      <c r="ILO62"/>
      <c r="ILP62"/>
      <c r="ILQ62"/>
      <c r="ILR62"/>
      <c r="ILS62"/>
      <c r="ILT62"/>
      <c r="ILU62"/>
      <c r="ILV62"/>
      <c r="ILW62"/>
      <c r="ILX62"/>
      <c r="ILY62"/>
      <c r="ILZ62"/>
      <c r="IMA62"/>
      <c r="IMB62"/>
      <c r="IMC62"/>
      <c r="IMD62"/>
      <c r="IME62"/>
      <c r="IMF62"/>
      <c r="IMG62"/>
      <c r="IMH62"/>
      <c r="IMI62"/>
      <c r="IMJ62"/>
      <c r="IMK62"/>
      <c r="IML62"/>
      <c r="IMM62"/>
      <c r="IMN62"/>
      <c r="IMO62"/>
      <c r="IMP62"/>
      <c r="IMQ62"/>
      <c r="IMR62"/>
      <c r="IMS62"/>
      <c r="IMT62"/>
      <c r="IMU62"/>
      <c r="IMV62"/>
      <c r="IMW62"/>
      <c r="IMX62"/>
      <c r="IMY62"/>
      <c r="IMZ62"/>
      <c r="INA62"/>
      <c r="INB62"/>
      <c r="INC62"/>
      <c r="IND62"/>
      <c r="INE62"/>
      <c r="INF62"/>
      <c r="ING62"/>
      <c r="INH62"/>
      <c r="INI62"/>
      <c r="INJ62"/>
      <c r="INK62"/>
      <c r="INL62"/>
      <c r="INM62"/>
      <c r="INN62"/>
      <c r="INO62"/>
      <c r="INP62"/>
      <c r="INQ62"/>
      <c r="INR62"/>
      <c r="INS62"/>
      <c r="INT62"/>
      <c r="INU62"/>
      <c r="INV62"/>
      <c r="INW62"/>
      <c r="INX62"/>
      <c r="INY62"/>
      <c r="INZ62"/>
      <c r="IOA62"/>
      <c r="IOB62"/>
      <c r="IOC62"/>
      <c r="IOD62"/>
      <c r="IOE62"/>
      <c r="IOF62"/>
      <c r="IOG62"/>
      <c r="IOH62"/>
      <c r="IOI62"/>
      <c r="IOJ62"/>
      <c r="IOK62"/>
      <c r="IOL62"/>
      <c r="IOM62"/>
      <c r="ION62"/>
      <c r="IOO62"/>
      <c r="IOP62"/>
      <c r="IOQ62"/>
      <c r="IOR62"/>
      <c r="IOS62"/>
      <c r="IOT62"/>
      <c r="IOU62"/>
      <c r="IOV62"/>
      <c r="IOW62"/>
      <c r="IOX62"/>
      <c r="IOY62"/>
      <c r="IOZ62"/>
      <c r="IPA62"/>
      <c r="IPB62"/>
      <c r="IPC62"/>
      <c r="IPD62"/>
      <c r="IPE62"/>
      <c r="IPF62"/>
      <c r="IPG62"/>
      <c r="IPH62"/>
      <c r="IPI62"/>
      <c r="IPJ62"/>
      <c r="IPK62"/>
      <c r="IPL62"/>
      <c r="IPM62"/>
      <c r="IPN62"/>
      <c r="IPO62"/>
      <c r="IPP62"/>
      <c r="IPQ62"/>
      <c r="IPR62"/>
      <c r="IPS62"/>
      <c r="IPT62"/>
      <c r="IPU62"/>
      <c r="IPV62"/>
      <c r="IPW62"/>
      <c r="IPX62"/>
      <c r="IPY62"/>
      <c r="IPZ62"/>
      <c r="IQA62"/>
      <c r="IQB62"/>
      <c r="IQC62"/>
      <c r="IQD62"/>
      <c r="IQE62"/>
      <c r="IQF62"/>
      <c r="IQG62"/>
      <c r="IQH62"/>
      <c r="IQI62"/>
      <c r="IQJ62"/>
      <c r="IQK62"/>
      <c r="IQL62"/>
      <c r="IQM62"/>
      <c r="IQN62"/>
      <c r="IQO62"/>
      <c r="IQP62"/>
      <c r="IQQ62"/>
      <c r="IQR62"/>
      <c r="IQS62"/>
      <c r="IQT62"/>
      <c r="IQU62"/>
      <c r="IQV62"/>
      <c r="IQW62"/>
      <c r="IQX62"/>
      <c r="IQY62"/>
      <c r="IQZ62"/>
      <c r="IRA62"/>
      <c r="IRB62"/>
      <c r="IRC62"/>
      <c r="IRD62"/>
      <c r="IRE62"/>
      <c r="IRF62"/>
      <c r="IRG62"/>
      <c r="IRH62"/>
      <c r="IRI62"/>
      <c r="IRJ62"/>
      <c r="IRK62"/>
      <c r="IRL62"/>
      <c r="IRM62"/>
      <c r="IRN62"/>
      <c r="IRO62"/>
      <c r="IRP62"/>
      <c r="IRQ62"/>
      <c r="IRR62"/>
      <c r="IRS62"/>
      <c r="IRT62"/>
      <c r="IRU62"/>
      <c r="IRV62"/>
      <c r="IRW62"/>
      <c r="IRX62"/>
      <c r="IRY62"/>
      <c r="IRZ62"/>
      <c r="ISA62"/>
      <c r="ISB62"/>
      <c r="ISC62"/>
      <c r="ISD62"/>
      <c r="ISE62"/>
      <c r="ISF62"/>
      <c r="ISG62"/>
      <c r="ISH62"/>
      <c r="ISI62"/>
      <c r="ISJ62"/>
      <c r="ISK62"/>
      <c r="ISL62"/>
      <c r="ISM62"/>
      <c r="ISN62"/>
      <c r="ISO62"/>
      <c r="ISP62"/>
      <c r="ISQ62"/>
      <c r="ISR62"/>
      <c r="ISS62"/>
      <c r="IST62"/>
      <c r="ISU62"/>
      <c r="ISV62"/>
      <c r="ISW62"/>
      <c r="ISX62"/>
      <c r="ISY62"/>
      <c r="ISZ62"/>
      <c r="ITA62"/>
      <c r="ITB62"/>
      <c r="ITC62"/>
      <c r="ITD62"/>
      <c r="ITE62"/>
      <c r="ITF62"/>
      <c r="ITG62"/>
      <c r="ITH62"/>
      <c r="ITI62"/>
      <c r="ITJ62"/>
      <c r="ITK62"/>
      <c r="ITL62"/>
      <c r="ITM62"/>
      <c r="ITN62"/>
      <c r="ITO62"/>
      <c r="ITP62"/>
      <c r="ITQ62"/>
      <c r="ITR62"/>
      <c r="ITS62"/>
      <c r="ITT62"/>
      <c r="ITU62"/>
      <c r="ITV62"/>
      <c r="ITW62"/>
      <c r="ITX62"/>
      <c r="ITY62"/>
      <c r="ITZ62"/>
      <c r="IUA62"/>
      <c r="IUB62"/>
      <c r="IUC62"/>
      <c r="IUD62"/>
      <c r="IUE62"/>
      <c r="IUF62"/>
      <c r="IUG62"/>
      <c r="IUH62"/>
      <c r="IUI62"/>
      <c r="IUJ62"/>
      <c r="IUK62"/>
      <c r="IUL62"/>
      <c r="IUM62"/>
      <c r="IUN62"/>
      <c r="IUO62"/>
      <c r="IUP62"/>
      <c r="IUQ62"/>
      <c r="IUR62"/>
      <c r="IUS62"/>
      <c r="IUT62"/>
      <c r="IUU62"/>
      <c r="IUV62"/>
      <c r="IUW62"/>
      <c r="IUX62"/>
      <c r="IUY62"/>
      <c r="IUZ62"/>
      <c r="IVA62"/>
      <c r="IVB62"/>
      <c r="IVC62"/>
      <c r="IVD62"/>
      <c r="IVE62"/>
      <c r="IVF62"/>
      <c r="IVG62"/>
      <c r="IVH62"/>
      <c r="IVI62"/>
      <c r="IVJ62"/>
      <c r="IVK62"/>
      <c r="IVL62"/>
      <c r="IVM62"/>
      <c r="IVN62"/>
      <c r="IVO62"/>
      <c r="IVP62"/>
      <c r="IVQ62"/>
      <c r="IVR62"/>
      <c r="IVS62"/>
      <c r="IVT62"/>
      <c r="IVU62"/>
      <c r="IVV62"/>
      <c r="IVW62"/>
      <c r="IVX62"/>
      <c r="IVY62"/>
      <c r="IVZ62"/>
      <c r="IWA62"/>
      <c r="IWB62"/>
      <c r="IWC62"/>
      <c r="IWD62"/>
      <c r="IWE62"/>
      <c r="IWF62"/>
      <c r="IWG62"/>
      <c r="IWH62"/>
      <c r="IWI62"/>
      <c r="IWJ62"/>
      <c r="IWK62"/>
      <c r="IWL62"/>
      <c r="IWM62"/>
      <c r="IWN62"/>
      <c r="IWO62"/>
      <c r="IWP62"/>
      <c r="IWQ62"/>
      <c r="IWR62"/>
      <c r="IWS62"/>
      <c r="IWT62"/>
      <c r="IWU62"/>
      <c r="IWV62"/>
      <c r="IWW62"/>
      <c r="IWX62"/>
      <c r="IWY62"/>
      <c r="IWZ62"/>
      <c r="IXA62"/>
      <c r="IXB62"/>
      <c r="IXC62"/>
      <c r="IXD62"/>
      <c r="IXE62"/>
      <c r="IXF62"/>
      <c r="IXG62"/>
      <c r="IXH62"/>
      <c r="IXI62"/>
      <c r="IXJ62"/>
      <c r="IXK62"/>
      <c r="IXL62"/>
      <c r="IXM62"/>
      <c r="IXN62"/>
      <c r="IXO62"/>
      <c r="IXP62"/>
      <c r="IXQ62"/>
      <c r="IXR62"/>
      <c r="IXS62"/>
      <c r="IXT62"/>
      <c r="IXU62"/>
      <c r="IXV62"/>
      <c r="IXW62"/>
      <c r="IXX62"/>
      <c r="IXY62"/>
      <c r="IXZ62"/>
      <c r="IYA62"/>
      <c r="IYB62"/>
      <c r="IYC62"/>
      <c r="IYD62"/>
      <c r="IYE62"/>
      <c r="IYF62"/>
      <c r="IYG62"/>
      <c r="IYH62"/>
      <c r="IYI62"/>
      <c r="IYJ62"/>
      <c r="IYK62"/>
      <c r="IYL62"/>
      <c r="IYM62"/>
      <c r="IYN62"/>
      <c r="IYO62"/>
      <c r="IYP62"/>
      <c r="IYQ62"/>
      <c r="IYR62"/>
      <c r="IYS62"/>
      <c r="IYT62"/>
      <c r="IYU62"/>
      <c r="IYV62"/>
      <c r="IYW62"/>
      <c r="IYX62"/>
      <c r="IYY62"/>
      <c r="IYZ62"/>
      <c r="IZA62"/>
      <c r="IZB62"/>
      <c r="IZC62"/>
      <c r="IZD62"/>
      <c r="IZE62"/>
      <c r="IZF62"/>
      <c r="IZG62"/>
      <c r="IZH62"/>
      <c r="IZI62"/>
      <c r="IZJ62"/>
      <c r="IZK62"/>
      <c r="IZL62"/>
      <c r="IZM62"/>
      <c r="IZN62"/>
      <c r="IZO62"/>
      <c r="IZP62"/>
      <c r="IZQ62"/>
      <c r="IZR62"/>
      <c r="IZS62"/>
      <c r="IZT62"/>
      <c r="IZU62"/>
      <c r="IZV62"/>
      <c r="IZW62"/>
      <c r="IZX62"/>
      <c r="IZY62"/>
      <c r="IZZ62"/>
      <c r="JAA62"/>
      <c r="JAB62"/>
      <c r="JAC62"/>
      <c r="JAD62"/>
      <c r="JAE62"/>
      <c r="JAF62"/>
      <c r="JAG62"/>
      <c r="JAH62"/>
      <c r="JAI62"/>
      <c r="JAJ62"/>
      <c r="JAK62"/>
      <c r="JAL62"/>
      <c r="JAM62"/>
      <c r="JAN62"/>
      <c r="JAO62"/>
      <c r="JAP62"/>
      <c r="JAQ62"/>
      <c r="JAR62"/>
      <c r="JAS62"/>
      <c r="JAT62"/>
      <c r="JAU62"/>
      <c r="JAV62"/>
      <c r="JAW62"/>
      <c r="JAX62"/>
      <c r="JAY62"/>
      <c r="JAZ62"/>
      <c r="JBA62"/>
      <c r="JBB62"/>
      <c r="JBC62"/>
      <c r="JBD62"/>
      <c r="JBE62"/>
      <c r="JBF62"/>
      <c r="JBG62"/>
      <c r="JBH62"/>
      <c r="JBI62"/>
      <c r="JBJ62"/>
      <c r="JBK62"/>
      <c r="JBL62"/>
      <c r="JBM62"/>
      <c r="JBN62"/>
      <c r="JBO62"/>
      <c r="JBP62"/>
      <c r="JBQ62"/>
      <c r="JBR62"/>
      <c r="JBS62"/>
      <c r="JBT62"/>
      <c r="JBU62"/>
      <c r="JBV62"/>
      <c r="JBW62"/>
      <c r="JBX62"/>
      <c r="JBY62"/>
      <c r="JBZ62"/>
      <c r="JCA62"/>
      <c r="JCB62"/>
      <c r="JCC62"/>
      <c r="JCD62"/>
      <c r="JCE62"/>
      <c r="JCF62"/>
      <c r="JCG62"/>
      <c r="JCH62"/>
      <c r="JCI62"/>
      <c r="JCJ62"/>
      <c r="JCK62"/>
      <c r="JCL62"/>
      <c r="JCM62"/>
      <c r="JCN62"/>
      <c r="JCO62"/>
      <c r="JCP62"/>
      <c r="JCQ62"/>
      <c r="JCR62"/>
      <c r="JCS62"/>
      <c r="JCT62"/>
      <c r="JCU62"/>
      <c r="JCV62"/>
      <c r="JCW62"/>
      <c r="JCX62"/>
      <c r="JCY62"/>
      <c r="JCZ62"/>
      <c r="JDA62"/>
      <c r="JDB62"/>
      <c r="JDC62"/>
      <c r="JDD62"/>
      <c r="JDE62"/>
      <c r="JDF62"/>
      <c r="JDG62"/>
      <c r="JDH62"/>
      <c r="JDI62"/>
      <c r="JDJ62"/>
      <c r="JDK62"/>
      <c r="JDL62"/>
      <c r="JDM62"/>
      <c r="JDN62"/>
      <c r="JDO62"/>
      <c r="JDP62"/>
      <c r="JDQ62"/>
      <c r="JDR62"/>
      <c r="JDS62"/>
      <c r="JDT62"/>
      <c r="JDU62"/>
      <c r="JDV62"/>
      <c r="JDW62"/>
      <c r="JDX62"/>
      <c r="JDY62"/>
      <c r="JDZ62"/>
      <c r="JEA62"/>
      <c r="JEB62"/>
      <c r="JEC62"/>
      <c r="JED62"/>
      <c r="JEE62"/>
      <c r="JEF62"/>
      <c r="JEG62"/>
      <c r="JEH62"/>
      <c r="JEI62"/>
      <c r="JEJ62"/>
      <c r="JEK62"/>
      <c r="JEL62"/>
      <c r="JEM62"/>
      <c r="JEN62"/>
      <c r="JEO62"/>
      <c r="JEP62"/>
      <c r="JEQ62"/>
      <c r="JER62"/>
      <c r="JES62"/>
      <c r="JET62"/>
      <c r="JEU62"/>
      <c r="JEV62"/>
      <c r="JEW62"/>
      <c r="JEX62"/>
      <c r="JEY62"/>
      <c r="JEZ62"/>
      <c r="JFA62"/>
      <c r="JFB62"/>
      <c r="JFC62"/>
      <c r="JFD62"/>
      <c r="JFE62"/>
      <c r="JFF62"/>
      <c r="JFG62"/>
      <c r="JFH62"/>
      <c r="JFI62"/>
      <c r="JFJ62"/>
      <c r="JFK62"/>
      <c r="JFL62"/>
      <c r="JFM62"/>
      <c r="JFN62"/>
      <c r="JFO62"/>
      <c r="JFP62"/>
      <c r="JFQ62"/>
      <c r="JFR62"/>
      <c r="JFS62"/>
      <c r="JFT62"/>
      <c r="JFU62"/>
      <c r="JFV62"/>
      <c r="JFW62"/>
      <c r="JFX62"/>
      <c r="JFY62"/>
      <c r="JFZ62"/>
      <c r="JGA62"/>
      <c r="JGB62"/>
      <c r="JGC62"/>
      <c r="JGD62"/>
      <c r="JGE62"/>
      <c r="JGF62"/>
      <c r="JGG62"/>
      <c r="JGH62"/>
      <c r="JGI62"/>
      <c r="JGJ62"/>
      <c r="JGK62"/>
      <c r="JGL62"/>
      <c r="JGM62"/>
      <c r="JGN62"/>
      <c r="JGO62"/>
      <c r="JGP62"/>
      <c r="JGQ62"/>
      <c r="JGR62"/>
      <c r="JGS62"/>
      <c r="JGT62"/>
      <c r="JGU62"/>
      <c r="JGV62"/>
      <c r="JGW62"/>
      <c r="JGX62"/>
      <c r="JGY62"/>
      <c r="JGZ62"/>
      <c r="JHA62"/>
      <c r="JHB62"/>
      <c r="JHC62"/>
      <c r="JHD62"/>
      <c r="JHE62"/>
      <c r="JHF62"/>
      <c r="JHG62"/>
      <c r="JHH62"/>
      <c r="JHI62"/>
      <c r="JHJ62"/>
      <c r="JHK62"/>
      <c r="JHL62"/>
      <c r="JHM62"/>
      <c r="JHN62"/>
      <c r="JHO62"/>
      <c r="JHP62"/>
      <c r="JHQ62"/>
      <c r="JHR62"/>
      <c r="JHS62"/>
      <c r="JHT62"/>
      <c r="JHU62"/>
      <c r="JHV62"/>
      <c r="JHW62"/>
      <c r="JHX62"/>
      <c r="JHY62"/>
      <c r="JHZ62"/>
      <c r="JIA62"/>
      <c r="JIB62"/>
      <c r="JIC62"/>
      <c r="JID62"/>
      <c r="JIE62"/>
      <c r="JIF62"/>
      <c r="JIG62"/>
      <c r="JIH62"/>
      <c r="JII62"/>
      <c r="JIJ62"/>
      <c r="JIK62"/>
      <c r="JIL62"/>
      <c r="JIM62"/>
      <c r="JIN62"/>
      <c r="JIO62"/>
      <c r="JIP62"/>
      <c r="JIQ62"/>
      <c r="JIR62"/>
      <c r="JIS62"/>
      <c r="JIT62"/>
      <c r="JIU62"/>
      <c r="JIV62"/>
      <c r="JIW62"/>
      <c r="JIX62"/>
      <c r="JIY62"/>
      <c r="JIZ62"/>
      <c r="JJA62"/>
      <c r="JJB62"/>
      <c r="JJC62"/>
      <c r="JJD62"/>
      <c r="JJE62"/>
      <c r="JJF62"/>
      <c r="JJG62"/>
      <c r="JJH62"/>
      <c r="JJI62"/>
      <c r="JJJ62"/>
      <c r="JJK62"/>
      <c r="JJL62"/>
      <c r="JJM62"/>
      <c r="JJN62"/>
      <c r="JJO62"/>
      <c r="JJP62"/>
      <c r="JJQ62"/>
      <c r="JJR62"/>
      <c r="JJS62"/>
      <c r="JJT62"/>
      <c r="JJU62"/>
      <c r="JJV62"/>
      <c r="JJW62"/>
      <c r="JJX62"/>
      <c r="JJY62"/>
      <c r="JJZ62"/>
      <c r="JKA62"/>
      <c r="JKB62"/>
      <c r="JKC62"/>
      <c r="JKD62"/>
      <c r="JKE62"/>
      <c r="JKF62"/>
      <c r="JKG62"/>
      <c r="JKH62"/>
      <c r="JKI62"/>
      <c r="JKJ62"/>
      <c r="JKK62"/>
      <c r="JKL62"/>
      <c r="JKM62"/>
      <c r="JKN62"/>
      <c r="JKO62"/>
      <c r="JKP62"/>
      <c r="JKQ62"/>
      <c r="JKR62"/>
      <c r="JKS62"/>
      <c r="JKT62"/>
      <c r="JKU62"/>
      <c r="JKV62"/>
      <c r="JKW62"/>
      <c r="JKX62"/>
      <c r="JKY62"/>
      <c r="JKZ62"/>
      <c r="JLA62"/>
      <c r="JLB62"/>
      <c r="JLC62"/>
      <c r="JLD62"/>
      <c r="JLE62"/>
      <c r="JLF62"/>
      <c r="JLG62"/>
      <c r="JLH62"/>
      <c r="JLI62"/>
      <c r="JLJ62"/>
      <c r="JLK62"/>
      <c r="JLL62"/>
      <c r="JLM62"/>
      <c r="JLN62"/>
      <c r="JLO62"/>
      <c r="JLP62"/>
      <c r="JLQ62"/>
      <c r="JLR62"/>
      <c r="JLS62"/>
      <c r="JLT62"/>
      <c r="JLU62"/>
      <c r="JLV62"/>
      <c r="JLW62"/>
      <c r="JLX62"/>
      <c r="JLY62"/>
      <c r="JLZ62"/>
      <c r="JMA62"/>
      <c r="JMB62"/>
      <c r="JMC62"/>
      <c r="JMD62"/>
      <c r="JME62"/>
      <c r="JMF62"/>
      <c r="JMG62"/>
      <c r="JMH62"/>
      <c r="JMI62"/>
      <c r="JMJ62"/>
      <c r="JMK62"/>
      <c r="JML62"/>
      <c r="JMM62"/>
      <c r="JMN62"/>
      <c r="JMO62"/>
      <c r="JMP62"/>
      <c r="JMQ62"/>
      <c r="JMR62"/>
      <c r="JMS62"/>
      <c r="JMT62"/>
      <c r="JMU62"/>
      <c r="JMV62"/>
      <c r="JMW62"/>
      <c r="JMX62"/>
      <c r="JMY62"/>
      <c r="JMZ62"/>
      <c r="JNA62"/>
      <c r="JNB62"/>
      <c r="JNC62"/>
      <c r="JND62"/>
      <c r="JNE62"/>
      <c r="JNF62"/>
      <c r="JNG62"/>
      <c r="JNH62"/>
      <c r="JNI62"/>
      <c r="JNJ62"/>
      <c r="JNK62"/>
      <c r="JNL62"/>
      <c r="JNM62"/>
      <c r="JNN62"/>
      <c r="JNO62"/>
      <c r="JNP62"/>
      <c r="JNQ62"/>
      <c r="JNR62"/>
      <c r="JNS62"/>
      <c r="JNT62"/>
      <c r="JNU62"/>
      <c r="JNV62"/>
      <c r="JNW62"/>
      <c r="JNX62"/>
      <c r="JNY62"/>
      <c r="JNZ62"/>
      <c r="JOA62"/>
      <c r="JOB62"/>
      <c r="JOC62"/>
      <c r="JOD62"/>
      <c r="JOE62"/>
      <c r="JOF62"/>
      <c r="JOG62"/>
      <c r="JOH62"/>
      <c r="JOI62"/>
      <c r="JOJ62"/>
      <c r="JOK62"/>
      <c r="JOL62"/>
      <c r="JOM62"/>
      <c r="JON62"/>
      <c r="JOO62"/>
      <c r="JOP62"/>
      <c r="JOQ62"/>
      <c r="JOR62"/>
      <c r="JOS62"/>
      <c r="JOT62"/>
      <c r="JOU62"/>
      <c r="JOV62"/>
      <c r="JOW62"/>
      <c r="JOX62"/>
      <c r="JOY62"/>
      <c r="JOZ62"/>
      <c r="JPA62"/>
      <c r="JPB62"/>
      <c r="JPC62"/>
      <c r="JPD62"/>
      <c r="JPE62"/>
      <c r="JPF62"/>
      <c r="JPG62"/>
      <c r="JPH62"/>
      <c r="JPI62"/>
      <c r="JPJ62"/>
      <c r="JPK62"/>
      <c r="JPL62"/>
      <c r="JPM62"/>
      <c r="JPN62"/>
      <c r="JPO62"/>
      <c r="JPP62"/>
      <c r="JPQ62"/>
      <c r="JPR62"/>
      <c r="JPS62"/>
      <c r="JPT62"/>
      <c r="JPU62"/>
      <c r="JPV62"/>
      <c r="JPW62"/>
      <c r="JPX62"/>
      <c r="JPY62"/>
      <c r="JPZ62"/>
      <c r="JQA62"/>
      <c r="JQB62"/>
      <c r="JQC62"/>
      <c r="JQD62"/>
      <c r="JQE62"/>
      <c r="JQF62"/>
      <c r="JQG62"/>
      <c r="JQH62"/>
      <c r="JQI62"/>
      <c r="JQJ62"/>
      <c r="JQK62"/>
      <c r="JQL62"/>
      <c r="JQM62"/>
      <c r="JQN62"/>
      <c r="JQO62"/>
      <c r="JQP62"/>
      <c r="JQQ62"/>
      <c r="JQR62"/>
      <c r="JQS62"/>
      <c r="JQT62"/>
      <c r="JQU62"/>
      <c r="JQV62"/>
      <c r="JQW62"/>
      <c r="JQX62"/>
      <c r="JQY62"/>
      <c r="JQZ62"/>
      <c r="JRA62"/>
      <c r="JRB62"/>
      <c r="JRC62"/>
      <c r="JRD62"/>
      <c r="JRE62"/>
      <c r="JRF62"/>
      <c r="JRG62"/>
      <c r="JRH62"/>
      <c r="JRI62"/>
      <c r="JRJ62"/>
      <c r="JRK62"/>
      <c r="JRL62"/>
      <c r="JRM62"/>
      <c r="JRN62"/>
      <c r="JRO62"/>
      <c r="JRP62"/>
      <c r="JRQ62"/>
      <c r="JRR62"/>
      <c r="JRS62"/>
      <c r="JRT62"/>
      <c r="JRU62"/>
      <c r="JRV62"/>
      <c r="JRW62"/>
      <c r="JRX62"/>
      <c r="JRY62"/>
      <c r="JRZ62"/>
      <c r="JSA62"/>
      <c r="JSB62"/>
      <c r="JSC62"/>
      <c r="JSD62"/>
      <c r="JSE62"/>
      <c r="JSF62"/>
      <c r="JSG62"/>
      <c r="JSH62"/>
      <c r="JSI62"/>
      <c r="JSJ62"/>
      <c r="JSK62"/>
      <c r="JSL62"/>
      <c r="JSM62"/>
      <c r="JSN62"/>
      <c r="JSO62"/>
      <c r="JSP62"/>
      <c r="JSQ62"/>
      <c r="JSR62"/>
      <c r="JSS62"/>
      <c r="JST62"/>
      <c r="JSU62"/>
      <c r="JSV62"/>
      <c r="JSW62"/>
      <c r="JSX62"/>
      <c r="JSY62"/>
      <c r="JSZ62"/>
      <c r="JTA62"/>
      <c r="JTB62"/>
      <c r="JTC62"/>
      <c r="JTD62"/>
      <c r="JTE62"/>
      <c r="JTF62"/>
      <c r="JTG62"/>
      <c r="JTH62"/>
      <c r="JTI62"/>
      <c r="JTJ62"/>
      <c r="JTK62"/>
      <c r="JTL62"/>
      <c r="JTM62"/>
      <c r="JTN62"/>
      <c r="JTO62"/>
      <c r="JTP62"/>
      <c r="JTQ62"/>
      <c r="JTR62"/>
      <c r="JTS62"/>
      <c r="JTT62"/>
      <c r="JTU62"/>
      <c r="JTV62"/>
      <c r="JTW62"/>
      <c r="JTX62"/>
      <c r="JTY62"/>
      <c r="JTZ62"/>
      <c r="JUA62"/>
      <c r="JUB62"/>
      <c r="JUC62"/>
      <c r="JUD62"/>
      <c r="JUE62"/>
      <c r="JUF62"/>
      <c r="JUG62"/>
      <c r="JUH62"/>
      <c r="JUI62"/>
      <c r="JUJ62"/>
      <c r="JUK62"/>
      <c r="JUL62"/>
      <c r="JUM62"/>
      <c r="JUN62"/>
      <c r="JUO62"/>
      <c r="JUP62"/>
      <c r="JUQ62"/>
      <c r="JUR62"/>
      <c r="JUS62"/>
      <c r="JUT62"/>
      <c r="JUU62"/>
      <c r="JUV62"/>
      <c r="JUW62"/>
      <c r="JUX62"/>
      <c r="JUY62"/>
      <c r="JUZ62"/>
      <c r="JVA62"/>
      <c r="JVB62"/>
      <c r="JVC62"/>
      <c r="JVD62"/>
      <c r="JVE62"/>
      <c r="JVF62"/>
      <c r="JVG62"/>
      <c r="JVH62"/>
      <c r="JVI62"/>
      <c r="JVJ62"/>
      <c r="JVK62"/>
      <c r="JVL62"/>
      <c r="JVM62"/>
      <c r="JVN62"/>
      <c r="JVO62"/>
      <c r="JVP62"/>
      <c r="JVQ62"/>
      <c r="JVR62"/>
      <c r="JVS62"/>
      <c r="JVT62"/>
      <c r="JVU62"/>
      <c r="JVV62"/>
      <c r="JVW62"/>
      <c r="JVX62"/>
      <c r="JVY62"/>
      <c r="JVZ62"/>
      <c r="JWA62"/>
      <c r="JWB62"/>
      <c r="JWC62"/>
      <c r="JWD62"/>
      <c r="JWE62"/>
      <c r="JWF62"/>
      <c r="JWG62"/>
      <c r="JWH62"/>
      <c r="JWI62"/>
      <c r="JWJ62"/>
      <c r="JWK62"/>
      <c r="JWL62"/>
      <c r="JWM62"/>
      <c r="JWN62"/>
      <c r="JWO62"/>
      <c r="JWP62"/>
      <c r="JWQ62"/>
      <c r="JWR62"/>
      <c r="JWS62"/>
      <c r="JWT62"/>
      <c r="JWU62"/>
      <c r="JWV62"/>
      <c r="JWW62"/>
      <c r="JWX62"/>
      <c r="JWY62"/>
      <c r="JWZ62"/>
      <c r="JXA62"/>
      <c r="JXB62"/>
      <c r="JXC62"/>
      <c r="JXD62"/>
      <c r="JXE62"/>
      <c r="JXF62"/>
      <c r="JXG62"/>
      <c r="JXH62"/>
      <c r="JXI62"/>
      <c r="JXJ62"/>
      <c r="JXK62"/>
      <c r="JXL62"/>
      <c r="JXM62"/>
      <c r="JXN62"/>
      <c r="JXO62"/>
      <c r="JXP62"/>
      <c r="JXQ62"/>
      <c r="JXR62"/>
      <c r="JXS62"/>
      <c r="JXT62"/>
      <c r="JXU62"/>
      <c r="JXV62"/>
      <c r="JXW62"/>
      <c r="JXX62"/>
      <c r="JXY62"/>
      <c r="JXZ62"/>
      <c r="JYA62"/>
      <c r="JYB62"/>
      <c r="JYC62"/>
      <c r="JYD62"/>
      <c r="JYE62"/>
      <c r="JYF62"/>
      <c r="JYG62"/>
      <c r="JYH62"/>
      <c r="JYI62"/>
      <c r="JYJ62"/>
      <c r="JYK62"/>
      <c r="JYL62"/>
      <c r="JYM62"/>
      <c r="JYN62"/>
      <c r="JYO62"/>
      <c r="JYP62"/>
      <c r="JYQ62"/>
      <c r="JYR62"/>
      <c r="JYS62"/>
      <c r="JYT62"/>
      <c r="JYU62"/>
      <c r="JYV62"/>
      <c r="JYW62"/>
      <c r="JYX62"/>
      <c r="JYY62"/>
      <c r="JYZ62"/>
      <c r="JZA62"/>
      <c r="JZB62"/>
      <c r="JZC62"/>
      <c r="JZD62"/>
      <c r="JZE62"/>
      <c r="JZF62"/>
      <c r="JZG62"/>
      <c r="JZH62"/>
      <c r="JZI62"/>
      <c r="JZJ62"/>
      <c r="JZK62"/>
      <c r="JZL62"/>
      <c r="JZM62"/>
      <c r="JZN62"/>
      <c r="JZO62"/>
      <c r="JZP62"/>
      <c r="JZQ62"/>
      <c r="JZR62"/>
      <c r="JZS62"/>
      <c r="JZT62"/>
      <c r="JZU62"/>
      <c r="JZV62"/>
      <c r="JZW62"/>
      <c r="JZX62"/>
      <c r="JZY62"/>
      <c r="JZZ62"/>
      <c r="KAA62"/>
      <c r="KAB62"/>
      <c r="KAC62"/>
      <c r="KAD62"/>
      <c r="KAE62"/>
      <c r="KAF62"/>
      <c r="KAG62"/>
      <c r="KAH62"/>
      <c r="KAI62"/>
      <c r="KAJ62"/>
      <c r="KAK62"/>
      <c r="KAL62"/>
      <c r="KAM62"/>
      <c r="KAN62"/>
      <c r="KAO62"/>
      <c r="KAP62"/>
      <c r="KAQ62"/>
      <c r="KAR62"/>
      <c r="KAS62"/>
      <c r="KAT62"/>
      <c r="KAU62"/>
      <c r="KAV62"/>
      <c r="KAW62"/>
      <c r="KAX62"/>
      <c r="KAY62"/>
      <c r="KAZ62"/>
      <c r="KBA62"/>
      <c r="KBB62"/>
      <c r="KBC62"/>
      <c r="KBD62"/>
      <c r="KBE62"/>
      <c r="KBF62"/>
      <c r="KBG62"/>
      <c r="KBH62"/>
      <c r="KBI62"/>
      <c r="KBJ62"/>
      <c r="KBK62"/>
      <c r="KBL62"/>
      <c r="KBM62"/>
      <c r="KBN62"/>
      <c r="KBO62"/>
      <c r="KBP62"/>
      <c r="KBQ62"/>
      <c r="KBR62"/>
      <c r="KBS62"/>
      <c r="KBT62"/>
      <c r="KBU62"/>
      <c r="KBV62"/>
      <c r="KBW62"/>
      <c r="KBX62"/>
      <c r="KBY62"/>
      <c r="KBZ62"/>
      <c r="KCA62"/>
      <c r="KCB62"/>
      <c r="KCC62"/>
      <c r="KCD62"/>
      <c r="KCE62"/>
      <c r="KCF62"/>
      <c r="KCG62"/>
      <c r="KCH62"/>
      <c r="KCI62"/>
      <c r="KCJ62"/>
      <c r="KCK62"/>
      <c r="KCL62"/>
      <c r="KCM62"/>
      <c r="KCN62"/>
      <c r="KCO62"/>
      <c r="KCP62"/>
      <c r="KCQ62"/>
      <c r="KCR62"/>
      <c r="KCS62"/>
      <c r="KCT62"/>
      <c r="KCU62"/>
      <c r="KCV62"/>
      <c r="KCW62"/>
      <c r="KCX62"/>
      <c r="KCY62"/>
      <c r="KCZ62"/>
      <c r="KDA62"/>
      <c r="KDB62"/>
      <c r="KDC62"/>
      <c r="KDD62"/>
      <c r="KDE62"/>
      <c r="KDF62"/>
      <c r="KDG62"/>
      <c r="KDH62"/>
      <c r="KDI62"/>
      <c r="KDJ62"/>
      <c r="KDK62"/>
      <c r="KDL62"/>
      <c r="KDM62"/>
      <c r="KDN62"/>
      <c r="KDO62"/>
      <c r="KDP62"/>
      <c r="KDQ62"/>
      <c r="KDR62"/>
      <c r="KDS62"/>
      <c r="KDT62"/>
      <c r="KDU62"/>
      <c r="KDV62"/>
      <c r="KDW62"/>
      <c r="KDX62"/>
      <c r="KDY62"/>
      <c r="KDZ62"/>
      <c r="KEA62"/>
      <c r="KEB62"/>
      <c r="KEC62"/>
      <c r="KED62"/>
      <c r="KEE62"/>
      <c r="KEF62"/>
      <c r="KEG62"/>
      <c r="KEH62"/>
      <c r="KEI62"/>
      <c r="KEJ62"/>
      <c r="KEK62"/>
      <c r="KEL62"/>
      <c r="KEM62"/>
      <c r="KEN62"/>
      <c r="KEO62"/>
      <c r="KEP62"/>
      <c r="KEQ62"/>
      <c r="KER62"/>
      <c r="KES62"/>
      <c r="KET62"/>
      <c r="KEU62"/>
      <c r="KEV62"/>
      <c r="KEW62"/>
      <c r="KEX62"/>
      <c r="KEY62"/>
      <c r="KEZ62"/>
      <c r="KFA62"/>
      <c r="KFB62"/>
      <c r="KFC62"/>
      <c r="KFD62"/>
      <c r="KFE62"/>
      <c r="KFF62"/>
      <c r="KFG62"/>
      <c r="KFH62"/>
      <c r="KFI62"/>
      <c r="KFJ62"/>
      <c r="KFK62"/>
      <c r="KFL62"/>
      <c r="KFM62"/>
      <c r="KFN62"/>
      <c r="KFO62"/>
      <c r="KFP62"/>
      <c r="KFQ62"/>
      <c r="KFR62"/>
      <c r="KFS62"/>
      <c r="KFT62"/>
      <c r="KFU62"/>
      <c r="KFV62"/>
      <c r="KFW62"/>
      <c r="KFX62"/>
      <c r="KFY62"/>
      <c r="KFZ62"/>
      <c r="KGA62"/>
      <c r="KGB62"/>
      <c r="KGC62"/>
      <c r="KGD62"/>
      <c r="KGE62"/>
      <c r="KGF62"/>
      <c r="KGG62"/>
      <c r="KGH62"/>
      <c r="KGI62"/>
      <c r="KGJ62"/>
      <c r="KGK62"/>
      <c r="KGL62"/>
      <c r="KGM62"/>
      <c r="KGN62"/>
      <c r="KGO62"/>
      <c r="KGP62"/>
      <c r="KGQ62"/>
      <c r="KGR62"/>
      <c r="KGS62"/>
      <c r="KGT62"/>
      <c r="KGU62"/>
      <c r="KGV62"/>
      <c r="KGW62"/>
      <c r="KGX62"/>
      <c r="KGY62"/>
      <c r="KGZ62"/>
      <c r="KHA62"/>
      <c r="KHB62"/>
      <c r="KHC62"/>
      <c r="KHD62"/>
      <c r="KHE62"/>
      <c r="KHF62"/>
      <c r="KHG62"/>
      <c r="KHH62"/>
      <c r="KHI62"/>
      <c r="KHJ62"/>
      <c r="KHK62"/>
      <c r="KHL62"/>
      <c r="KHM62"/>
      <c r="KHN62"/>
      <c r="KHO62"/>
      <c r="KHP62"/>
      <c r="KHQ62"/>
      <c r="KHR62"/>
      <c r="KHS62"/>
      <c r="KHT62"/>
      <c r="KHU62"/>
      <c r="KHV62"/>
      <c r="KHW62"/>
      <c r="KHX62"/>
      <c r="KHY62"/>
      <c r="KHZ62"/>
      <c r="KIA62"/>
      <c r="KIB62"/>
      <c r="KIC62"/>
      <c r="KID62"/>
      <c r="KIE62"/>
      <c r="KIF62"/>
      <c r="KIG62"/>
      <c r="KIH62"/>
      <c r="KII62"/>
      <c r="KIJ62"/>
      <c r="KIK62"/>
      <c r="KIL62"/>
      <c r="KIM62"/>
      <c r="KIN62"/>
      <c r="KIO62"/>
      <c r="KIP62"/>
      <c r="KIQ62"/>
      <c r="KIR62"/>
      <c r="KIS62"/>
      <c r="KIT62"/>
      <c r="KIU62"/>
      <c r="KIV62"/>
      <c r="KIW62"/>
      <c r="KIX62"/>
      <c r="KIY62"/>
      <c r="KIZ62"/>
      <c r="KJA62"/>
      <c r="KJB62"/>
      <c r="KJC62"/>
      <c r="KJD62"/>
      <c r="KJE62"/>
      <c r="KJF62"/>
      <c r="KJG62"/>
      <c r="KJH62"/>
      <c r="KJI62"/>
      <c r="KJJ62"/>
      <c r="KJK62"/>
      <c r="KJL62"/>
      <c r="KJM62"/>
      <c r="KJN62"/>
      <c r="KJO62"/>
      <c r="KJP62"/>
      <c r="KJQ62"/>
      <c r="KJR62"/>
      <c r="KJS62"/>
      <c r="KJT62"/>
      <c r="KJU62"/>
      <c r="KJV62"/>
      <c r="KJW62"/>
      <c r="KJX62"/>
      <c r="KJY62"/>
      <c r="KJZ62"/>
      <c r="KKA62"/>
      <c r="KKB62"/>
      <c r="KKC62"/>
      <c r="KKD62"/>
      <c r="KKE62"/>
      <c r="KKF62"/>
      <c r="KKG62"/>
      <c r="KKH62"/>
      <c r="KKI62"/>
      <c r="KKJ62"/>
      <c r="KKK62"/>
      <c r="KKL62"/>
      <c r="KKM62"/>
      <c r="KKN62"/>
      <c r="KKO62"/>
      <c r="KKP62"/>
      <c r="KKQ62"/>
      <c r="KKR62"/>
      <c r="KKS62"/>
      <c r="KKT62"/>
      <c r="KKU62"/>
      <c r="KKV62"/>
      <c r="KKW62"/>
      <c r="KKX62"/>
      <c r="KKY62"/>
      <c r="KKZ62"/>
      <c r="KLA62"/>
      <c r="KLB62"/>
      <c r="KLC62"/>
      <c r="KLD62"/>
      <c r="KLE62"/>
      <c r="KLF62"/>
      <c r="KLG62"/>
      <c r="KLH62"/>
      <c r="KLI62"/>
      <c r="KLJ62"/>
      <c r="KLK62"/>
      <c r="KLL62"/>
      <c r="KLM62"/>
      <c r="KLN62"/>
      <c r="KLO62"/>
      <c r="KLP62"/>
      <c r="KLQ62"/>
      <c r="KLR62"/>
      <c r="KLS62"/>
      <c r="KLT62"/>
      <c r="KLU62"/>
      <c r="KLV62"/>
      <c r="KLW62"/>
      <c r="KLX62"/>
      <c r="KLY62"/>
      <c r="KLZ62"/>
      <c r="KMA62"/>
      <c r="KMB62"/>
      <c r="KMC62"/>
      <c r="KMD62"/>
      <c r="KME62"/>
      <c r="KMF62"/>
      <c r="KMG62"/>
      <c r="KMH62"/>
      <c r="KMI62"/>
      <c r="KMJ62"/>
      <c r="KMK62"/>
      <c r="KML62"/>
      <c r="KMM62"/>
      <c r="KMN62"/>
      <c r="KMO62"/>
      <c r="KMP62"/>
      <c r="KMQ62"/>
      <c r="KMR62"/>
      <c r="KMS62"/>
      <c r="KMT62"/>
      <c r="KMU62"/>
      <c r="KMV62"/>
      <c r="KMW62"/>
      <c r="KMX62"/>
      <c r="KMY62"/>
      <c r="KMZ62"/>
      <c r="KNA62"/>
      <c r="KNB62"/>
      <c r="KNC62"/>
      <c r="KND62"/>
      <c r="KNE62"/>
      <c r="KNF62"/>
      <c r="KNG62"/>
      <c r="KNH62"/>
      <c r="KNI62"/>
      <c r="KNJ62"/>
      <c r="KNK62"/>
      <c r="KNL62"/>
      <c r="KNM62"/>
      <c r="KNN62"/>
      <c r="KNO62"/>
      <c r="KNP62"/>
      <c r="KNQ62"/>
      <c r="KNR62"/>
      <c r="KNS62"/>
      <c r="KNT62"/>
      <c r="KNU62"/>
      <c r="KNV62"/>
      <c r="KNW62"/>
      <c r="KNX62"/>
      <c r="KNY62"/>
      <c r="KNZ62"/>
      <c r="KOA62"/>
      <c r="KOB62"/>
      <c r="KOC62"/>
      <c r="KOD62"/>
      <c r="KOE62"/>
      <c r="KOF62"/>
      <c r="KOG62"/>
      <c r="KOH62"/>
      <c r="KOI62"/>
      <c r="KOJ62"/>
      <c r="KOK62"/>
      <c r="KOL62"/>
      <c r="KOM62"/>
      <c r="KON62"/>
      <c r="KOO62"/>
      <c r="KOP62"/>
      <c r="KOQ62"/>
      <c r="KOR62"/>
      <c r="KOS62"/>
      <c r="KOT62"/>
      <c r="KOU62"/>
      <c r="KOV62"/>
      <c r="KOW62"/>
      <c r="KOX62"/>
      <c r="KOY62"/>
      <c r="KOZ62"/>
      <c r="KPA62"/>
      <c r="KPB62"/>
      <c r="KPC62"/>
      <c r="KPD62"/>
      <c r="KPE62"/>
      <c r="KPF62"/>
      <c r="KPG62"/>
      <c r="KPH62"/>
      <c r="KPI62"/>
      <c r="KPJ62"/>
      <c r="KPK62"/>
      <c r="KPL62"/>
      <c r="KPM62"/>
      <c r="KPN62"/>
      <c r="KPO62"/>
      <c r="KPP62"/>
      <c r="KPQ62"/>
      <c r="KPR62"/>
      <c r="KPS62"/>
      <c r="KPT62"/>
      <c r="KPU62"/>
      <c r="KPV62"/>
      <c r="KPW62"/>
      <c r="KPX62"/>
      <c r="KPY62"/>
      <c r="KPZ62"/>
      <c r="KQA62"/>
      <c r="KQB62"/>
      <c r="KQC62"/>
      <c r="KQD62"/>
      <c r="KQE62"/>
      <c r="KQF62"/>
      <c r="KQG62"/>
      <c r="KQH62"/>
      <c r="KQI62"/>
      <c r="KQJ62"/>
      <c r="KQK62"/>
      <c r="KQL62"/>
      <c r="KQM62"/>
      <c r="KQN62"/>
      <c r="KQO62"/>
      <c r="KQP62"/>
      <c r="KQQ62"/>
      <c r="KQR62"/>
      <c r="KQS62"/>
      <c r="KQT62"/>
      <c r="KQU62"/>
      <c r="KQV62"/>
      <c r="KQW62"/>
      <c r="KQX62"/>
      <c r="KQY62"/>
      <c r="KQZ62"/>
      <c r="KRA62"/>
      <c r="KRB62"/>
      <c r="KRC62"/>
      <c r="KRD62"/>
      <c r="KRE62"/>
      <c r="KRF62"/>
      <c r="KRG62"/>
      <c r="KRH62"/>
      <c r="KRI62"/>
      <c r="KRJ62"/>
      <c r="KRK62"/>
      <c r="KRL62"/>
      <c r="KRM62"/>
      <c r="KRN62"/>
      <c r="KRO62"/>
      <c r="KRP62"/>
      <c r="KRQ62"/>
      <c r="KRR62"/>
      <c r="KRS62"/>
      <c r="KRT62"/>
      <c r="KRU62"/>
      <c r="KRV62"/>
      <c r="KRW62"/>
      <c r="KRX62"/>
      <c r="KRY62"/>
      <c r="KRZ62"/>
      <c r="KSA62"/>
      <c r="KSB62"/>
      <c r="KSC62"/>
      <c r="KSD62"/>
      <c r="KSE62"/>
      <c r="KSF62"/>
      <c r="KSG62"/>
      <c r="KSH62"/>
      <c r="KSI62"/>
      <c r="KSJ62"/>
      <c r="KSK62"/>
      <c r="KSL62"/>
      <c r="KSM62"/>
      <c r="KSN62"/>
      <c r="KSO62"/>
      <c r="KSP62"/>
      <c r="KSQ62"/>
      <c r="KSR62"/>
      <c r="KSS62"/>
      <c r="KST62"/>
      <c r="KSU62"/>
      <c r="KSV62"/>
      <c r="KSW62"/>
      <c r="KSX62"/>
      <c r="KSY62"/>
      <c r="KSZ62"/>
      <c r="KTA62"/>
      <c r="KTB62"/>
      <c r="KTC62"/>
      <c r="KTD62"/>
      <c r="KTE62"/>
      <c r="KTF62"/>
      <c r="KTG62"/>
      <c r="KTH62"/>
      <c r="KTI62"/>
      <c r="KTJ62"/>
      <c r="KTK62"/>
      <c r="KTL62"/>
      <c r="KTM62"/>
      <c r="KTN62"/>
      <c r="KTO62"/>
      <c r="KTP62"/>
      <c r="KTQ62"/>
      <c r="KTR62"/>
      <c r="KTS62"/>
      <c r="KTT62"/>
      <c r="KTU62"/>
      <c r="KTV62"/>
      <c r="KTW62"/>
      <c r="KTX62"/>
      <c r="KTY62"/>
      <c r="KTZ62"/>
      <c r="KUA62"/>
      <c r="KUB62"/>
      <c r="KUC62"/>
      <c r="KUD62"/>
      <c r="KUE62"/>
      <c r="KUF62"/>
      <c r="KUG62"/>
      <c r="KUH62"/>
      <c r="KUI62"/>
      <c r="KUJ62"/>
      <c r="KUK62"/>
      <c r="KUL62"/>
      <c r="KUM62"/>
      <c r="KUN62"/>
      <c r="KUO62"/>
      <c r="KUP62"/>
      <c r="KUQ62"/>
      <c r="KUR62"/>
      <c r="KUS62"/>
      <c r="KUT62"/>
      <c r="KUU62"/>
      <c r="KUV62"/>
      <c r="KUW62"/>
      <c r="KUX62"/>
      <c r="KUY62"/>
      <c r="KUZ62"/>
      <c r="KVA62"/>
      <c r="KVB62"/>
      <c r="KVC62"/>
      <c r="KVD62"/>
      <c r="KVE62"/>
      <c r="KVF62"/>
      <c r="KVG62"/>
      <c r="KVH62"/>
      <c r="KVI62"/>
      <c r="KVJ62"/>
      <c r="KVK62"/>
      <c r="KVL62"/>
      <c r="KVM62"/>
      <c r="KVN62"/>
      <c r="KVO62"/>
      <c r="KVP62"/>
      <c r="KVQ62"/>
      <c r="KVR62"/>
      <c r="KVS62"/>
      <c r="KVT62"/>
      <c r="KVU62"/>
      <c r="KVV62"/>
      <c r="KVW62"/>
      <c r="KVX62"/>
      <c r="KVY62"/>
      <c r="KVZ62"/>
      <c r="KWA62"/>
      <c r="KWB62"/>
      <c r="KWC62"/>
      <c r="KWD62"/>
      <c r="KWE62"/>
      <c r="KWF62"/>
      <c r="KWG62"/>
      <c r="KWH62"/>
      <c r="KWI62"/>
      <c r="KWJ62"/>
      <c r="KWK62"/>
      <c r="KWL62"/>
      <c r="KWM62"/>
      <c r="KWN62"/>
      <c r="KWO62"/>
      <c r="KWP62"/>
      <c r="KWQ62"/>
      <c r="KWR62"/>
      <c r="KWS62"/>
      <c r="KWT62"/>
      <c r="KWU62"/>
      <c r="KWV62"/>
      <c r="KWW62"/>
      <c r="KWX62"/>
      <c r="KWY62"/>
      <c r="KWZ62"/>
      <c r="KXA62"/>
      <c r="KXB62"/>
      <c r="KXC62"/>
      <c r="KXD62"/>
      <c r="KXE62"/>
      <c r="KXF62"/>
      <c r="KXG62"/>
      <c r="KXH62"/>
      <c r="KXI62"/>
      <c r="KXJ62"/>
      <c r="KXK62"/>
      <c r="KXL62"/>
      <c r="KXM62"/>
      <c r="KXN62"/>
      <c r="KXO62"/>
      <c r="KXP62"/>
      <c r="KXQ62"/>
      <c r="KXR62"/>
      <c r="KXS62"/>
      <c r="KXT62"/>
      <c r="KXU62"/>
      <c r="KXV62"/>
      <c r="KXW62"/>
      <c r="KXX62"/>
      <c r="KXY62"/>
      <c r="KXZ62"/>
      <c r="KYA62"/>
      <c r="KYB62"/>
      <c r="KYC62"/>
      <c r="KYD62"/>
      <c r="KYE62"/>
      <c r="KYF62"/>
      <c r="KYG62"/>
      <c r="KYH62"/>
      <c r="KYI62"/>
      <c r="KYJ62"/>
      <c r="KYK62"/>
      <c r="KYL62"/>
      <c r="KYM62"/>
      <c r="KYN62"/>
      <c r="KYO62"/>
      <c r="KYP62"/>
      <c r="KYQ62"/>
      <c r="KYR62"/>
      <c r="KYS62"/>
      <c r="KYT62"/>
      <c r="KYU62"/>
      <c r="KYV62"/>
      <c r="KYW62"/>
      <c r="KYX62"/>
      <c r="KYY62"/>
      <c r="KYZ62"/>
      <c r="KZA62"/>
      <c r="KZB62"/>
      <c r="KZC62"/>
      <c r="KZD62"/>
      <c r="KZE62"/>
      <c r="KZF62"/>
      <c r="KZG62"/>
      <c r="KZH62"/>
      <c r="KZI62"/>
      <c r="KZJ62"/>
      <c r="KZK62"/>
      <c r="KZL62"/>
      <c r="KZM62"/>
      <c r="KZN62"/>
      <c r="KZO62"/>
      <c r="KZP62"/>
      <c r="KZQ62"/>
      <c r="KZR62"/>
      <c r="KZS62"/>
      <c r="KZT62"/>
      <c r="KZU62"/>
      <c r="KZV62"/>
      <c r="KZW62"/>
      <c r="KZX62"/>
      <c r="KZY62"/>
      <c r="KZZ62"/>
      <c r="LAA62"/>
      <c r="LAB62"/>
      <c r="LAC62"/>
      <c r="LAD62"/>
      <c r="LAE62"/>
      <c r="LAF62"/>
      <c r="LAG62"/>
      <c r="LAH62"/>
      <c r="LAI62"/>
      <c r="LAJ62"/>
      <c r="LAK62"/>
      <c r="LAL62"/>
      <c r="LAM62"/>
      <c r="LAN62"/>
      <c r="LAO62"/>
      <c r="LAP62"/>
      <c r="LAQ62"/>
      <c r="LAR62"/>
      <c r="LAS62"/>
      <c r="LAT62"/>
      <c r="LAU62"/>
      <c r="LAV62"/>
      <c r="LAW62"/>
      <c r="LAX62"/>
      <c r="LAY62"/>
      <c r="LAZ62"/>
      <c r="LBA62"/>
      <c r="LBB62"/>
      <c r="LBC62"/>
      <c r="LBD62"/>
      <c r="LBE62"/>
      <c r="LBF62"/>
      <c r="LBG62"/>
      <c r="LBH62"/>
      <c r="LBI62"/>
      <c r="LBJ62"/>
      <c r="LBK62"/>
      <c r="LBL62"/>
      <c r="LBM62"/>
      <c r="LBN62"/>
      <c r="LBO62"/>
      <c r="LBP62"/>
      <c r="LBQ62"/>
      <c r="LBR62"/>
      <c r="LBS62"/>
      <c r="LBT62"/>
      <c r="LBU62"/>
      <c r="LBV62"/>
      <c r="LBW62"/>
      <c r="LBX62"/>
      <c r="LBY62"/>
      <c r="LBZ62"/>
      <c r="LCA62"/>
      <c r="LCB62"/>
      <c r="LCC62"/>
      <c r="LCD62"/>
      <c r="LCE62"/>
      <c r="LCF62"/>
      <c r="LCG62"/>
      <c r="LCH62"/>
      <c r="LCI62"/>
      <c r="LCJ62"/>
      <c r="LCK62"/>
      <c r="LCL62"/>
      <c r="LCM62"/>
      <c r="LCN62"/>
      <c r="LCO62"/>
      <c r="LCP62"/>
      <c r="LCQ62"/>
      <c r="LCR62"/>
      <c r="LCS62"/>
      <c r="LCT62"/>
      <c r="LCU62"/>
      <c r="LCV62"/>
      <c r="LCW62"/>
      <c r="LCX62"/>
      <c r="LCY62"/>
      <c r="LCZ62"/>
      <c r="LDA62"/>
      <c r="LDB62"/>
      <c r="LDC62"/>
      <c r="LDD62"/>
      <c r="LDE62"/>
      <c r="LDF62"/>
      <c r="LDG62"/>
      <c r="LDH62"/>
      <c r="LDI62"/>
      <c r="LDJ62"/>
      <c r="LDK62"/>
      <c r="LDL62"/>
      <c r="LDM62"/>
      <c r="LDN62"/>
      <c r="LDO62"/>
      <c r="LDP62"/>
      <c r="LDQ62"/>
      <c r="LDR62"/>
      <c r="LDS62"/>
      <c r="LDT62"/>
      <c r="LDU62"/>
      <c r="LDV62"/>
      <c r="LDW62"/>
      <c r="LDX62"/>
      <c r="LDY62"/>
      <c r="LDZ62"/>
      <c r="LEA62"/>
      <c r="LEB62"/>
      <c r="LEC62"/>
      <c r="LED62"/>
      <c r="LEE62"/>
      <c r="LEF62"/>
      <c r="LEG62"/>
      <c r="LEH62"/>
      <c r="LEI62"/>
      <c r="LEJ62"/>
      <c r="LEK62"/>
      <c r="LEL62"/>
      <c r="LEM62"/>
      <c r="LEN62"/>
      <c r="LEO62"/>
      <c r="LEP62"/>
      <c r="LEQ62"/>
      <c r="LER62"/>
      <c r="LES62"/>
      <c r="LET62"/>
      <c r="LEU62"/>
      <c r="LEV62"/>
      <c r="LEW62"/>
      <c r="LEX62"/>
      <c r="LEY62"/>
      <c r="LEZ62"/>
      <c r="LFA62"/>
      <c r="LFB62"/>
      <c r="LFC62"/>
      <c r="LFD62"/>
      <c r="LFE62"/>
      <c r="LFF62"/>
      <c r="LFG62"/>
      <c r="LFH62"/>
      <c r="LFI62"/>
      <c r="LFJ62"/>
      <c r="LFK62"/>
      <c r="LFL62"/>
      <c r="LFM62"/>
      <c r="LFN62"/>
      <c r="LFO62"/>
      <c r="LFP62"/>
      <c r="LFQ62"/>
      <c r="LFR62"/>
      <c r="LFS62"/>
      <c r="LFT62"/>
      <c r="LFU62"/>
      <c r="LFV62"/>
      <c r="LFW62"/>
      <c r="LFX62"/>
      <c r="LFY62"/>
      <c r="LFZ62"/>
      <c r="LGA62"/>
      <c r="LGB62"/>
      <c r="LGC62"/>
      <c r="LGD62"/>
      <c r="LGE62"/>
      <c r="LGF62"/>
      <c r="LGG62"/>
      <c r="LGH62"/>
      <c r="LGI62"/>
      <c r="LGJ62"/>
      <c r="LGK62"/>
      <c r="LGL62"/>
      <c r="LGM62"/>
      <c r="LGN62"/>
      <c r="LGO62"/>
      <c r="LGP62"/>
      <c r="LGQ62"/>
      <c r="LGR62"/>
      <c r="LGS62"/>
      <c r="LGT62"/>
      <c r="LGU62"/>
      <c r="LGV62"/>
      <c r="LGW62"/>
      <c r="LGX62"/>
      <c r="LGY62"/>
      <c r="LGZ62"/>
      <c r="LHA62"/>
      <c r="LHB62"/>
      <c r="LHC62"/>
      <c r="LHD62"/>
      <c r="LHE62"/>
      <c r="LHF62"/>
      <c r="LHG62"/>
      <c r="LHH62"/>
      <c r="LHI62"/>
      <c r="LHJ62"/>
      <c r="LHK62"/>
      <c r="LHL62"/>
      <c r="LHM62"/>
      <c r="LHN62"/>
      <c r="LHO62"/>
      <c r="LHP62"/>
      <c r="LHQ62"/>
      <c r="LHR62"/>
      <c r="LHS62"/>
      <c r="LHT62"/>
      <c r="LHU62"/>
      <c r="LHV62"/>
      <c r="LHW62"/>
      <c r="LHX62"/>
      <c r="LHY62"/>
      <c r="LHZ62"/>
      <c r="LIA62"/>
      <c r="LIB62"/>
      <c r="LIC62"/>
      <c r="LID62"/>
      <c r="LIE62"/>
      <c r="LIF62"/>
      <c r="LIG62"/>
      <c r="LIH62"/>
      <c r="LII62"/>
      <c r="LIJ62"/>
      <c r="LIK62"/>
      <c r="LIL62"/>
      <c r="LIM62"/>
      <c r="LIN62"/>
      <c r="LIO62"/>
      <c r="LIP62"/>
      <c r="LIQ62"/>
      <c r="LIR62"/>
      <c r="LIS62"/>
      <c r="LIT62"/>
      <c r="LIU62"/>
      <c r="LIV62"/>
      <c r="LIW62"/>
      <c r="LIX62"/>
      <c r="LIY62"/>
      <c r="LIZ62"/>
      <c r="LJA62"/>
      <c r="LJB62"/>
      <c r="LJC62"/>
      <c r="LJD62"/>
      <c r="LJE62"/>
      <c r="LJF62"/>
      <c r="LJG62"/>
      <c r="LJH62"/>
      <c r="LJI62"/>
      <c r="LJJ62"/>
      <c r="LJK62"/>
      <c r="LJL62"/>
      <c r="LJM62"/>
      <c r="LJN62"/>
      <c r="LJO62"/>
      <c r="LJP62"/>
      <c r="LJQ62"/>
      <c r="LJR62"/>
      <c r="LJS62"/>
      <c r="LJT62"/>
      <c r="LJU62"/>
      <c r="LJV62"/>
      <c r="LJW62"/>
      <c r="LJX62"/>
      <c r="LJY62"/>
      <c r="LJZ62"/>
      <c r="LKA62"/>
      <c r="LKB62"/>
      <c r="LKC62"/>
      <c r="LKD62"/>
      <c r="LKE62"/>
      <c r="LKF62"/>
      <c r="LKG62"/>
      <c r="LKH62"/>
      <c r="LKI62"/>
      <c r="LKJ62"/>
      <c r="LKK62"/>
      <c r="LKL62"/>
      <c r="LKM62"/>
      <c r="LKN62"/>
      <c r="LKO62"/>
      <c r="LKP62"/>
      <c r="LKQ62"/>
      <c r="LKR62"/>
      <c r="LKS62"/>
      <c r="LKT62"/>
      <c r="LKU62"/>
      <c r="LKV62"/>
      <c r="LKW62"/>
      <c r="LKX62"/>
      <c r="LKY62"/>
      <c r="LKZ62"/>
      <c r="LLA62"/>
      <c r="LLB62"/>
      <c r="LLC62"/>
      <c r="LLD62"/>
      <c r="LLE62"/>
      <c r="LLF62"/>
      <c r="LLG62"/>
      <c r="LLH62"/>
      <c r="LLI62"/>
      <c r="LLJ62"/>
      <c r="LLK62"/>
      <c r="LLL62"/>
      <c r="LLM62"/>
      <c r="LLN62"/>
      <c r="LLO62"/>
      <c r="LLP62"/>
      <c r="LLQ62"/>
      <c r="LLR62"/>
      <c r="LLS62"/>
      <c r="LLT62"/>
      <c r="LLU62"/>
      <c r="LLV62"/>
      <c r="LLW62"/>
      <c r="LLX62"/>
      <c r="LLY62"/>
      <c r="LLZ62"/>
      <c r="LMA62"/>
      <c r="LMB62"/>
      <c r="LMC62"/>
      <c r="LMD62"/>
      <c r="LME62"/>
      <c r="LMF62"/>
      <c r="LMG62"/>
      <c r="LMH62"/>
      <c r="LMI62"/>
      <c r="LMJ62"/>
      <c r="LMK62"/>
      <c r="LML62"/>
      <c r="LMM62"/>
      <c r="LMN62"/>
      <c r="LMO62"/>
      <c r="LMP62"/>
      <c r="LMQ62"/>
      <c r="LMR62"/>
      <c r="LMS62"/>
      <c r="LMT62"/>
      <c r="LMU62"/>
      <c r="LMV62"/>
      <c r="LMW62"/>
      <c r="LMX62"/>
      <c r="LMY62"/>
      <c r="LMZ62"/>
      <c r="LNA62"/>
      <c r="LNB62"/>
      <c r="LNC62"/>
      <c r="LND62"/>
      <c r="LNE62"/>
      <c r="LNF62"/>
      <c r="LNG62"/>
      <c r="LNH62"/>
      <c r="LNI62"/>
      <c r="LNJ62"/>
      <c r="LNK62"/>
      <c r="LNL62"/>
      <c r="LNM62"/>
      <c r="LNN62"/>
      <c r="LNO62"/>
      <c r="LNP62"/>
      <c r="LNQ62"/>
      <c r="LNR62"/>
      <c r="LNS62"/>
      <c r="LNT62"/>
      <c r="LNU62"/>
      <c r="LNV62"/>
      <c r="LNW62"/>
      <c r="LNX62"/>
      <c r="LNY62"/>
      <c r="LNZ62"/>
      <c r="LOA62"/>
      <c r="LOB62"/>
      <c r="LOC62"/>
      <c r="LOD62"/>
      <c r="LOE62"/>
      <c r="LOF62"/>
      <c r="LOG62"/>
      <c r="LOH62"/>
      <c r="LOI62"/>
      <c r="LOJ62"/>
      <c r="LOK62"/>
      <c r="LOL62"/>
      <c r="LOM62"/>
      <c r="LON62"/>
      <c r="LOO62"/>
      <c r="LOP62"/>
      <c r="LOQ62"/>
      <c r="LOR62"/>
      <c r="LOS62"/>
      <c r="LOT62"/>
      <c r="LOU62"/>
      <c r="LOV62"/>
      <c r="LOW62"/>
      <c r="LOX62"/>
      <c r="LOY62"/>
      <c r="LOZ62"/>
      <c r="LPA62"/>
      <c r="LPB62"/>
      <c r="LPC62"/>
      <c r="LPD62"/>
      <c r="LPE62"/>
      <c r="LPF62"/>
      <c r="LPG62"/>
      <c r="LPH62"/>
      <c r="LPI62"/>
      <c r="LPJ62"/>
      <c r="LPK62"/>
      <c r="LPL62"/>
      <c r="LPM62"/>
      <c r="LPN62"/>
      <c r="LPO62"/>
      <c r="LPP62"/>
      <c r="LPQ62"/>
      <c r="LPR62"/>
      <c r="LPS62"/>
      <c r="LPT62"/>
      <c r="LPU62"/>
      <c r="LPV62"/>
      <c r="LPW62"/>
      <c r="LPX62"/>
      <c r="LPY62"/>
      <c r="LPZ62"/>
      <c r="LQA62"/>
      <c r="LQB62"/>
      <c r="LQC62"/>
      <c r="LQD62"/>
      <c r="LQE62"/>
      <c r="LQF62"/>
      <c r="LQG62"/>
      <c r="LQH62"/>
      <c r="LQI62"/>
      <c r="LQJ62"/>
      <c r="LQK62"/>
      <c r="LQL62"/>
      <c r="LQM62"/>
      <c r="LQN62"/>
      <c r="LQO62"/>
      <c r="LQP62"/>
      <c r="LQQ62"/>
      <c r="LQR62"/>
      <c r="LQS62"/>
      <c r="LQT62"/>
      <c r="LQU62"/>
      <c r="LQV62"/>
      <c r="LQW62"/>
      <c r="LQX62"/>
      <c r="LQY62"/>
      <c r="LQZ62"/>
      <c r="LRA62"/>
      <c r="LRB62"/>
      <c r="LRC62"/>
      <c r="LRD62"/>
      <c r="LRE62"/>
      <c r="LRF62"/>
      <c r="LRG62"/>
      <c r="LRH62"/>
      <c r="LRI62"/>
      <c r="LRJ62"/>
      <c r="LRK62"/>
      <c r="LRL62"/>
      <c r="LRM62"/>
      <c r="LRN62"/>
      <c r="LRO62"/>
      <c r="LRP62"/>
      <c r="LRQ62"/>
      <c r="LRR62"/>
      <c r="LRS62"/>
      <c r="LRT62"/>
      <c r="LRU62"/>
      <c r="LRV62"/>
      <c r="LRW62"/>
      <c r="LRX62"/>
      <c r="LRY62"/>
      <c r="LRZ62"/>
      <c r="LSA62"/>
      <c r="LSB62"/>
      <c r="LSC62"/>
      <c r="LSD62"/>
      <c r="LSE62"/>
      <c r="LSF62"/>
      <c r="LSG62"/>
      <c r="LSH62"/>
      <c r="LSI62"/>
      <c r="LSJ62"/>
      <c r="LSK62"/>
      <c r="LSL62"/>
      <c r="LSM62"/>
      <c r="LSN62"/>
      <c r="LSO62"/>
      <c r="LSP62"/>
      <c r="LSQ62"/>
      <c r="LSR62"/>
      <c r="LSS62"/>
      <c r="LST62"/>
      <c r="LSU62"/>
      <c r="LSV62"/>
      <c r="LSW62"/>
      <c r="LSX62"/>
      <c r="LSY62"/>
      <c r="LSZ62"/>
      <c r="LTA62"/>
      <c r="LTB62"/>
      <c r="LTC62"/>
      <c r="LTD62"/>
      <c r="LTE62"/>
      <c r="LTF62"/>
      <c r="LTG62"/>
      <c r="LTH62"/>
      <c r="LTI62"/>
      <c r="LTJ62"/>
      <c r="LTK62"/>
      <c r="LTL62"/>
      <c r="LTM62"/>
      <c r="LTN62"/>
      <c r="LTO62"/>
      <c r="LTP62"/>
      <c r="LTQ62"/>
      <c r="LTR62"/>
      <c r="LTS62"/>
      <c r="LTT62"/>
      <c r="LTU62"/>
      <c r="LTV62"/>
      <c r="LTW62"/>
      <c r="LTX62"/>
      <c r="LTY62"/>
      <c r="LTZ62"/>
      <c r="LUA62"/>
      <c r="LUB62"/>
      <c r="LUC62"/>
      <c r="LUD62"/>
      <c r="LUE62"/>
      <c r="LUF62"/>
      <c r="LUG62"/>
      <c r="LUH62"/>
      <c r="LUI62"/>
      <c r="LUJ62"/>
      <c r="LUK62"/>
      <c r="LUL62"/>
      <c r="LUM62"/>
      <c r="LUN62"/>
      <c r="LUO62"/>
      <c r="LUP62"/>
      <c r="LUQ62"/>
      <c r="LUR62"/>
      <c r="LUS62"/>
      <c r="LUT62"/>
      <c r="LUU62"/>
      <c r="LUV62"/>
      <c r="LUW62"/>
      <c r="LUX62"/>
      <c r="LUY62"/>
      <c r="LUZ62"/>
      <c r="LVA62"/>
      <c r="LVB62"/>
      <c r="LVC62"/>
      <c r="LVD62"/>
      <c r="LVE62"/>
      <c r="LVF62"/>
      <c r="LVG62"/>
      <c r="LVH62"/>
      <c r="LVI62"/>
      <c r="LVJ62"/>
      <c r="LVK62"/>
      <c r="LVL62"/>
      <c r="LVM62"/>
      <c r="LVN62"/>
      <c r="LVO62"/>
      <c r="LVP62"/>
      <c r="LVQ62"/>
      <c r="LVR62"/>
      <c r="LVS62"/>
      <c r="LVT62"/>
      <c r="LVU62"/>
      <c r="LVV62"/>
      <c r="LVW62"/>
      <c r="LVX62"/>
      <c r="LVY62"/>
      <c r="LVZ62"/>
      <c r="LWA62"/>
      <c r="LWB62"/>
      <c r="LWC62"/>
      <c r="LWD62"/>
      <c r="LWE62"/>
      <c r="LWF62"/>
      <c r="LWG62"/>
      <c r="LWH62"/>
      <c r="LWI62"/>
      <c r="LWJ62"/>
      <c r="LWK62"/>
      <c r="LWL62"/>
      <c r="LWM62"/>
      <c r="LWN62"/>
      <c r="LWO62"/>
      <c r="LWP62"/>
      <c r="LWQ62"/>
      <c r="LWR62"/>
      <c r="LWS62"/>
      <c r="LWT62"/>
      <c r="LWU62"/>
      <c r="LWV62"/>
      <c r="LWW62"/>
      <c r="LWX62"/>
      <c r="LWY62"/>
      <c r="LWZ62"/>
      <c r="LXA62"/>
      <c r="LXB62"/>
      <c r="LXC62"/>
      <c r="LXD62"/>
      <c r="LXE62"/>
      <c r="LXF62"/>
      <c r="LXG62"/>
      <c r="LXH62"/>
      <c r="LXI62"/>
      <c r="LXJ62"/>
      <c r="LXK62"/>
      <c r="LXL62"/>
      <c r="LXM62"/>
      <c r="LXN62"/>
      <c r="LXO62"/>
      <c r="LXP62"/>
      <c r="LXQ62"/>
      <c r="LXR62"/>
      <c r="LXS62"/>
      <c r="LXT62"/>
      <c r="LXU62"/>
      <c r="LXV62"/>
      <c r="LXW62"/>
      <c r="LXX62"/>
      <c r="LXY62"/>
      <c r="LXZ62"/>
      <c r="LYA62"/>
      <c r="LYB62"/>
      <c r="LYC62"/>
      <c r="LYD62"/>
      <c r="LYE62"/>
      <c r="LYF62"/>
      <c r="LYG62"/>
      <c r="LYH62"/>
      <c r="LYI62"/>
      <c r="LYJ62"/>
      <c r="LYK62"/>
      <c r="LYL62"/>
      <c r="LYM62"/>
      <c r="LYN62"/>
      <c r="LYO62"/>
      <c r="LYP62"/>
      <c r="LYQ62"/>
      <c r="LYR62"/>
      <c r="LYS62"/>
      <c r="LYT62"/>
      <c r="LYU62"/>
      <c r="LYV62"/>
      <c r="LYW62"/>
      <c r="LYX62"/>
      <c r="LYY62"/>
      <c r="LYZ62"/>
      <c r="LZA62"/>
      <c r="LZB62"/>
      <c r="LZC62"/>
      <c r="LZD62"/>
      <c r="LZE62"/>
      <c r="LZF62"/>
      <c r="LZG62"/>
      <c r="LZH62"/>
      <c r="LZI62"/>
      <c r="LZJ62"/>
      <c r="LZK62"/>
      <c r="LZL62"/>
      <c r="LZM62"/>
      <c r="LZN62"/>
      <c r="LZO62"/>
      <c r="LZP62"/>
      <c r="LZQ62"/>
      <c r="LZR62"/>
      <c r="LZS62"/>
      <c r="LZT62"/>
      <c r="LZU62"/>
      <c r="LZV62"/>
      <c r="LZW62"/>
      <c r="LZX62"/>
      <c r="LZY62"/>
      <c r="LZZ62"/>
      <c r="MAA62"/>
      <c r="MAB62"/>
      <c r="MAC62"/>
      <c r="MAD62"/>
      <c r="MAE62"/>
      <c r="MAF62"/>
      <c r="MAG62"/>
      <c r="MAH62"/>
      <c r="MAI62"/>
      <c r="MAJ62"/>
      <c r="MAK62"/>
      <c r="MAL62"/>
      <c r="MAM62"/>
      <c r="MAN62"/>
      <c r="MAO62"/>
      <c r="MAP62"/>
      <c r="MAQ62"/>
      <c r="MAR62"/>
      <c r="MAS62"/>
      <c r="MAT62"/>
      <c r="MAU62"/>
      <c r="MAV62"/>
      <c r="MAW62"/>
      <c r="MAX62"/>
      <c r="MAY62"/>
      <c r="MAZ62"/>
      <c r="MBA62"/>
      <c r="MBB62"/>
      <c r="MBC62"/>
      <c r="MBD62"/>
      <c r="MBE62"/>
      <c r="MBF62"/>
      <c r="MBG62"/>
      <c r="MBH62"/>
      <c r="MBI62"/>
      <c r="MBJ62"/>
      <c r="MBK62"/>
      <c r="MBL62"/>
      <c r="MBM62"/>
      <c r="MBN62"/>
      <c r="MBO62"/>
      <c r="MBP62"/>
      <c r="MBQ62"/>
      <c r="MBR62"/>
      <c r="MBS62"/>
      <c r="MBT62"/>
      <c r="MBU62"/>
      <c r="MBV62"/>
      <c r="MBW62"/>
      <c r="MBX62"/>
      <c r="MBY62"/>
      <c r="MBZ62"/>
      <c r="MCA62"/>
      <c r="MCB62"/>
      <c r="MCC62"/>
      <c r="MCD62"/>
      <c r="MCE62"/>
      <c r="MCF62"/>
      <c r="MCG62"/>
      <c r="MCH62"/>
      <c r="MCI62"/>
      <c r="MCJ62"/>
      <c r="MCK62"/>
      <c r="MCL62"/>
      <c r="MCM62"/>
      <c r="MCN62"/>
      <c r="MCO62"/>
      <c r="MCP62"/>
      <c r="MCQ62"/>
      <c r="MCR62"/>
      <c r="MCS62"/>
      <c r="MCT62"/>
      <c r="MCU62"/>
      <c r="MCV62"/>
      <c r="MCW62"/>
      <c r="MCX62"/>
      <c r="MCY62"/>
      <c r="MCZ62"/>
      <c r="MDA62"/>
      <c r="MDB62"/>
      <c r="MDC62"/>
      <c r="MDD62"/>
      <c r="MDE62"/>
      <c r="MDF62"/>
      <c r="MDG62"/>
      <c r="MDH62"/>
      <c r="MDI62"/>
      <c r="MDJ62"/>
      <c r="MDK62"/>
      <c r="MDL62"/>
      <c r="MDM62"/>
      <c r="MDN62"/>
      <c r="MDO62"/>
      <c r="MDP62"/>
      <c r="MDQ62"/>
      <c r="MDR62"/>
      <c r="MDS62"/>
      <c r="MDT62"/>
      <c r="MDU62"/>
      <c r="MDV62"/>
      <c r="MDW62"/>
      <c r="MDX62"/>
      <c r="MDY62"/>
      <c r="MDZ62"/>
      <c r="MEA62"/>
      <c r="MEB62"/>
      <c r="MEC62"/>
      <c r="MED62"/>
      <c r="MEE62"/>
      <c r="MEF62"/>
      <c r="MEG62"/>
      <c r="MEH62"/>
      <c r="MEI62"/>
      <c r="MEJ62"/>
      <c r="MEK62"/>
      <c r="MEL62"/>
      <c r="MEM62"/>
      <c r="MEN62"/>
      <c r="MEO62"/>
      <c r="MEP62"/>
      <c r="MEQ62"/>
      <c r="MER62"/>
      <c r="MES62"/>
      <c r="MET62"/>
      <c r="MEU62"/>
      <c r="MEV62"/>
      <c r="MEW62"/>
      <c r="MEX62"/>
      <c r="MEY62"/>
      <c r="MEZ62"/>
      <c r="MFA62"/>
      <c r="MFB62"/>
      <c r="MFC62"/>
      <c r="MFD62"/>
      <c r="MFE62"/>
      <c r="MFF62"/>
      <c r="MFG62"/>
      <c r="MFH62"/>
      <c r="MFI62"/>
      <c r="MFJ62"/>
      <c r="MFK62"/>
      <c r="MFL62"/>
      <c r="MFM62"/>
      <c r="MFN62"/>
      <c r="MFO62"/>
      <c r="MFP62"/>
      <c r="MFQ62"/>
      <c r="MFR62"/>
      <c r="MFS62"/>
      <c r="MFT62"/>
      <c r="MFU62"/>
      <c r="MFV62"/>
      <c r="MFW62"/>
      <c r="MFX62"/>
      <c r="MFY62"/>
      <c r="MFZ62"/>
      <c r="MGA62"/>
      <c r="MGB62"/>
      <c r="MGC62"/>
      <c r="MGD62"/>
      <c r="MGE62"/>
      <c r="MGF62"/>
      <c r="MGG62"/>
      <c r="MGH62"/>
      <c r="MGI62"/>
      <c r="MGJ62"/>
      <c r="MGK62"/>
      <c r="MGL62"/>
      <c r="MGM62"/>
      <c r="MGN62"/>
      <c r="MGO62"/>
      <c r="MGP62"/>
      <c r="MGQ62"/>
      <c r="MGR62"/>
      <c r="MGS62"/>
      <c r="MGT62"/>
      <c r="MGU62"/>
      <c r="MGV62"/>
      <c r="MGW62"/>
      <c r="MGX62"/>
      <c r="MGY62"/>
      <c r="MGZ62"/>
      <c r="MHA62"/>
      <c r="MHB62"/>
      <c r="MHC62"/>
      <c r="MHD62"/>
      <c r="MHE62"/>
      <c r="MHF62"/>
      <c r="MHG62"/>
      <c r="MHH62"/>
      <c r="MHI62"/>
      <c r="MHJ62"/>
      <c r="MHK62"/>
      <c r="MHL62"/>
      <c r="MHM62"/>
      <c r="MHN62"/>
      <c r="MHO62"/>
      <c r="MHP62"/>
      <c r="MHQ62"/>
      <c r="MHR62"/>
      <c r="MHS62"/>
      <c r="MHT62"/>
      <c r="MHU62"/>
      <c r="MHV62"/>
      <c r="MHW62"/>
      <c r="MHX62"/>
      <c r="MHY62"/>
      <c r="MHZ62"/>
      <c r="MIA62"/>
      <c r="MIB62"/>
      <c r="MIC62"/>
      <c r="MID62"/>
      <c r="MIE62"/>
      <c r="MIF62"/>
      <c r="MIG62"/>
      <c r="MIH62"/>
      <c r="MII62"/>
      <c r="MIJ62"/>
      <c r="MIK62"/>
      <c r="MIL62"/>
      <c r="MIM62"/>
      <c r="MIN62"/>
      <c r="MIO62"/>
      <c r="MIP62"/>
      <c r="MIQ62"/>
      <c r="MIR62"/>
      <c r="MIS62"/>
      <c r="MIT62"/>
      <c r="MIU62"/>
      <c r="MIV62"/>
      <c r="MIW62"/>
      <c r="MIX62"/>
      <c r="MIY62"/>
      <c r="MIZ62"/>
      <c r="MJA62"/>
      <c r="MJB62"/>
      <c r="MJC62"/>
      <c r="MJD62"/>
      <c r="MJE62"/>
      <c r="MJF62"/>
      <c r="MJG62"/>
      <c r="MJH62"/>
      <c r="MJI62"/>
      <c r="MJJ62"/>
      <c r="MJK62"/>
      <c r="MJL62"/>
      <c r="MJM62"/>
      <c r="MJN62"/>
      <c r="MJO62"/>
      <c r="MJP62"/>
      <c r="MJQ62"/>
      <c r="MJR62"/>
      <c r="MJS62"/>
      <c r="MJT62"/>
      <c r="MJU62"/>
      <c r="MJV62"/>
      <c r="MJW62"/>
      <c r="MJX62"/>
      <c r="MJY62"/>
      <c r="MJZ62"/>
      <c r="MKA62"/>
      <c r="MKB62"/>
      <c r="MKC62"/>
      <c r="MKD62"/>
      <c r="MKE62"/>
      <c r="MKF62"/>
      <c r="MKG62"/>
      <c r="MKH62"/>
      <c r="MKI62"/>
      <c r="MKJ62"/>
      <c r="MKK62"/>
      <c r="MKL62"/>
      <c r="MKM62"/>
      <c r="MKN62"/>
      <c r="MKO62"/>
      <c r="MKP62"/>
      <c r="MKQ62"/>
      <c r="MKR62"/>
      <c r="MKS62"/>
      <c r="MKT62"/>
      <c r="MKU62"/>
      <c r="MKV62"/>
      <c r="MKW62"/>
      <c r="MKX62"/>
      <c r="MKY62"/>
      <c r="MKZ62"/>
      <c r="MLA62"/>
      <c r="MLB62"/>
      <c r="MLC62"/>
      <c r="MLD62"/>
      <c r="MLE62"/>
      <c r="MLF62"/>
      <c r="MLG62"/>
      <c r="MLH62"/>
      <c r="MLI62"/>
      <c r="MLJ62"/>
      <c r="MLK62"/>
      <c r="MLL62"/>
      <c r="MLM62"/>
      <c r="MLN62"/>
      <c r="MLO62"/>
      <c r="MLP62"/>
      <c r="MLQ62"/>
      <c r="MLR62"/>
      <c r="MLS62"/>
      <c r="MLT62"/>
      <c r="MLU62"/>
      <c r="MLV62"/>
      <c r="MLW62"/>
      <c r="MLX62"/>
      <c r="MLY62"/>
      <c r="MLZ62"/>
      <c r="MMA62"/>
      <c r="MMB62"/>
      <c r="MMC62"/>
      <c r="MMD62"/>
      <c r="MME62"/>
      <c r="MMF62"/>
      <c r="MMG62"/>
      <c r="MMH62"/>
      <c r="MMI62"/>
      <c r="MMJ62"/>
      <c r="MMK62"/>
      <c r="MML62"/>
      <c r="MMM62"/>
      <c r="MMN62"/>
      <c r="MMO62"/>
      <c r="MMP62"/>
      <c r="MMQ62"/>
      <c r="MMR62"/>
      <c r="MMS62"/>
      <c r="MMT62"/>
      <c r="MMU62"/>
      <c r="MMV62"/>
      <c r="MMW62"/>
      <c r="MMX62"/>
      <c r="MMY62"/>
      <c r="MMZ62"/>
      <c r="MNA62"/>
      <c r="MNB62"/>
      <c r="MNC62"/>
      <c r="MND62"/>
      <c r="MNE62"/>
      <c r="MNF62"/>
      <c r="MNG62"/>
      <c r="MNH62"/>
      <c r="MNI62"/>
      <c r="MNJ62"/>
      <c r="MNK62"/>
      <c r="MNL62"/>
      <c r="MNM62"/>
      <c r="MNN62"/>
      <c r="MNO62"/>
      <c r="MNP62"/>
      <c r="MNQ62"/>
      <c r="MNR62"/>
      <c r="MNS62"/>
      <c r="MNT62"/>
      <c r="MNU62"/>
      <c r="MNV62"/>
      <c r="MNW62"/>
      <c r="MNX62"/>
      <c r="MNY62"/>
      <c r="MNZ62"/>
      <c r="MOA62"/>
      <c r="MOB62"/>
      <c r="MOC62"/>
      <c r="MOD62"/>
      <c r="MOE62"/>
      <c r="MOF62"/>
      <c r="MOG62"/>
      <c r="MOH62"/>
      <c r="MOI62"/>
      <c r="MOJ62"/>
      <c r="MOK62"/>
      <c r="MOL62"/>
      <c r="MOM62"/>
      <c r="MON62"/>
      <c r="MOO62"/>
      <c r="MOP62"/>
      <c r="MOQ62"/>
      <c r="MOR62"/>
      <c r="MOS62"/>
      <c r="MOT62"/>
      <c r="MOU62"/>
      <c r="MOV62"/>
      <c r="MOW62"/>
      <c r="MOX62"/>
      <c r="MOY62"/>
      <c r="MOZ62"/>
      <c r="MPA62"/>
      <c r="MPB62"/>
      <c r="MPC62"/>
      <c r="MPD62"/>
      <c r="MPE62"/>
      <c r="MPF62"/>
      <c r="MPG62"/>
      <c r="MPH62"/>
      <c r="MPI62"/>
      <c r="MPJ62"/>
      <c r="MPK62"/>
      <c r="MPL62"/>
      <c r="MPM62"/>
      <c r="MPN62"/>
      <c r="MPO62"/>
      <c r="MPP62"/>
      <c r="MPQ62"/>
      <c r="MPR62"/>
      <c r="MPS62"/>
      <c r="MPT62"/>
      <c r="MPU62"/>
      <c r="MPV62"/>
      <c r="MPW62"/>
      <c r="MPX62"/>
      <c r="MPY62"/>
      <c r="MPZ62"/>
      <c r="MQA62"/>
      <c r="MQB62"/>
      <c r="MQC62"/>
      <c r="MQD62"/>
      <c r="MQE62"/>
      <c r="MQF62"/>
      <c r="MQG62"/>
      <c r="MQH62"/>
      <c r="MQI62"/>
      <c r="MQJ62"/>
      <c r="MQK62"/>
      <c r="MQL62"/>
      <c r="MQM62"/>
      <c r="MQN62"/>
      <c r="MQO62"/>
      <c r="MQP62"/>
      <c r="MQQ62"/>
      <c r="MQR62"/>
      <c r="MQS62"/>
      <c r="MQT62"/>
      <c r="MQU62"/>
      <c r="MQV62"/>
      <c r="MQW62"/>
      <c r="MQX62"/>
      <c r="MQY62"/>
      <c r="MQZ62"/>
      <c r="MRA62"/>
      <c r="MRB62"/>
      <c r="MRC62"/>
      <c r="MRD62"/>
      <c r="MRE62"/>
      <c r="MRF62"/>
      <c r="MRG62"/>
      <c r="MRH62"/>
      <c r="MRI62"/>
      <c r="MRJ62"/>
      <c r="MRK62"/>
      <c r="MRL62"/>
      <c r="MRM62"/>
      <c r="MRN62"/>
      <c r="MRO62"/>
      <c r="MRP62"/>
      <c r="MRQ62"/>
      <c r="MRR62"/>
      <c r="MRS62"/>
      <c r="MRT62"/>
      <c r="MRU62"/>
      <c r="MRV62"/>
      <c r="MRW62"/>
      <c r="MRX62"/>
      <c r="MRY62"/>
      <c r="MRZ62"/>
      <c r="MSA62"/>
      <c r="MSB62"/>
      <c r="MSC62"/>
      <c r="MSD62"/>
      <c r="MSE62"/>
      <c r="MSF62"/>
      <c r="MSG62"/>
      <c r="MSH62"/>
      <c r="MSI62"/>
      <c r="MSJ62"/>
      <c r="MSK62"/>
      <c r="MSL62"/>
      <c r="MSM62"/>
      <c r="MSN62"/>
      <c r="MSO62"/>
      <c r="MSP62"/>
      <c r="MSQ62"/>
      <c r="MSR62"/>
      <c r="MSS62"/>
      <c r="MST62"/>
      <c r="MSU62"/>
      <c r="MSV62"/>
      <c r="MSW62"/>
      <c r="MSX62"/>
      <c r="MSY62"/>
      <c r="MSZ62"/>
      <c r="MTA62"/>
      <c r="MTB62"/>
      <c r="MTC62"/>
      <c r="MTD62"/>
      <c r="MTE62"/>
      <c r="MTF62"/>
      <c r="MTG62"/>
      <c r="MTH62"/>
      <c r="MTI62"/>
      <c r="MTJ62"/>
      <c r="MTK62"/>
      <c r="MTL62"/>
      <c r="MTM62"/>
      <c r="MTN62"/>
      <c r="MTO62"/>
      <c r="MTP62"/>
      <c r="MTQ62"/>
      <c r="MTR62"/>
      <c r="MTS62"/>
      <c r="MTT62"/>
      <c r="MTU62"/>
      <c r="MTV62"/>
      <c r="MTW62"/>
      <c r="MTX62"/>
      <c r="MTY62"/>
      <c r="MTZ62"/>
      <c r="MUA62"/>
      <c r="MUB62"/>
      <c r="MUC62"/>
      <c r="MUD62"/>
      <c r="MUE62"/>
      <c r="MUF62"/>
      <c r="MUG62"/>
      <c r="MUH62"/>
      <c r="MUI62"/>
      <c r="MUJ62"/>
      <c r="MUK62"/>
      <c r="MUL62"/>
      <c r="MUM62"/>
      <c r="MUN62"/>
      <c r="MUO62"/>
      <c r="MUP62"/>
      <c r="MUQ62"/>
      <c r="MUR62"/>
      <c r="MUS62"/>
      <c r="MUT62"/>
      <c r="MUU62"/>
      <c r="MUV62"/>
      <c r="MUW62"/>
      <c r="MUX62"/>
      <c r="MUY62"/>
      <c r="MUZ62"/>
      <c r="MVA62"/>
      <c r="MVB62"/>
      <c r="MVC62"/>
      <c r="MVD62"/>
      <c r="MVE62"/>
      <c r="MVF62"/>
      <c r="MVG62"/>
      <c r="MVH62"/>
      <c r="MVI62"/>
      <c r="MVJ62"/>
      <c r="MVK62"/>
      <c r="MVL62"/>
      <c r="MVM62"/>
      <c r="MVN62"/>
      <c r="MVO62"/>
      <c r="MVP62"/>
      <c r="MVQ62"/>
      <c r="MVR62"/>
      <c r="MVS62"/>
      <c r="MVT62"/>
      <c r="MVU62"/>
      <c r="MVV62"/>
      <c r="MVW62"/>
      <c r="MVX62"/>
      <c r="MVY62"/>
      <c r="MVZ62"/>
      <c r="MWA62"/>
      <c r="MWB62"/>
      <c r="MWC62"/>
      <c r="MWD62"/>
      <c r="MWE62"/>
      <c r="MWF62"/>
      <c r="MWG62"/>
      <c r="MWH62"/>
      <c r="MWI62"/>
      <c r="MWJ62"/>
      <c r="MWK62"/>
      <c r="MWL62"/>
      <c r="MWM62"/>
      <c r="MWN62"/>
      <c r="MWO62"/>
      <c r="MWP62"/>
      <c r="MWQ62"/>
      <c r="MWR62"/>
      <c r="MWS62"/>
      <c r="MWT62"/>
      <c r="MWU62"/>
      <c r="MWV62"/>
      <c r="MWW62"/>
      <c r="MWX62"/>
      <c r="MWY62"/>
      <c r="MWZ62"/>
      <c r="MXA62"/>
      <c r="MXB62"/>
      <c r="MXC62"/>
      <c r="MXD62"/>
      <c r="MXE62"/>
      <c r="MXF62"/>
      <c r="MXG62"/>
      <c r="MXH62"/>
      <c r="MXI62"/>
      <c r="MXJ62"/>
      <c r="MXK62"/>
      <c r="MXL62"/>
      <c r="MXM62"/>
      <c r="MXN62"/>
      <c r="MXO62"/>
      <c r="MXP62"/>
      <c r="MXQ62"/>
      <c r="MXR62"/>
      <c r="MXS62"/>
      <c r="MXT62"/>
      <c r="MXU62"/>
      <c r="MXV62"/>
      <c r="MXW62"/>
      <c r="MXX62"/>
      <c r="MXY62"/>
      <c r="MXZ62"/>
      <c r="MYA62"/>
      <c r="MYB62"/>
      <c r="MYC62"/>
      <c r="MYD62"/>
      <c r="MYE62"/>
      <c r="MYF62"/>
      <c r="MYG62"/>
      <c r="MYH62"/>
      <c r="MYI62"/>
      <c r="MYJ62"/>
      <c r="MYK62"/>
      <c r="MYL62"/>
      <c r="MYM62"/>
      <c r="MYN62"/>
      <c r="MYO62"/>
      <c r="MYP62"/>
      <c r="MYQ62"/>
      <c r="MYR62"/>
      <c r="MYS62"/>
      <c r="MYT62"/>
      <c r="MYU62"/>
      <c r="MYV62"/>
      <c r="MYW62"/>
      <c r="MYX62"/>
      <c r="MYY62"/>
      <c r="MYZ62"/>
      <c r="MZA62"/>
      <c r="MZB62"/>
      <c r="MZC62"/>
      <c r="MZD62"/>
      <c r="MZE62"/>
      <c r="MZF62"/>
      <c r="MZG62"/>
      <c r="MZH62"/>
      <c r="MZI62"/>
      <c r="MZJ62"/>
      <c r="MZK62"/>
      <c r="MZL62"/>
      <c r="MZM62"/>
      <c r="MZN62"/>
      <c r="MZO62"/>
      <c r="MZP62"/>
      <c r="MZQ62"/>
      <c r="MZR62"/>
      <c r="MZS62"/>
      <c r="MZT62"/>
      <c r="MZU62"/>
      <c r="MZV62"/>
      <c r="MZW62"/>
      <c r="MZX62"/>
      <c r="MZY62"/>
      <c r="MZZ62"/>
      <c r="NAA62"/>
      <c r="NAB62"/>
      <c r="NAC62"/>
      <c r="NAD62"/>
      <c r="NAE62"/>
      <c r="NAF62"/>
      <c r="NAG62"/>
      <c r="NAH62"/>
      <c r="NAI62"/>
      <c r="NAJ62"/>
      <c r="NAK62"/>
      <c r="NAL62"/>
      <c r="NAM62"/>
      <c r="NAN62"/>
      <c r="NAO62"/>
      <c r="NAP62"/>
      <c r="NAQ62"/>
      <c r="NAR62"/>
      <c r="NAS62"/>
      <c r="NAT62"/>
      <c r="NAU62"/>
      <c r="NAV62"/>
      <c r="NAW62"/>
      <c r="NAX62"/>
      <c r="NAY62"/>
      <c r="NAZ62"/>
      <c r="NBA62"/>
      <c r="NBB62"/>
      <c r="NBC62"/>
      <c r="NBD62"/>
      <c r="NBE62"/>
      <c r="NBF62"/>
      <c r="NBG62"/>
      <c r="NBH62"/>
      <c r="NBI62"/>
      <c r="NBJ62"/>
      <c r="NBK62"/>
      <c r="NBL62"/>
      <c r="NBM62"/>
      <c r="NBN62"/>
      <c r="NBO62"/>
      <c r="NBP62"/>
      <c r="NBQ62"/>
      <c r="NBR62"/>
      <c r="NBS62"/>
      <c r="NBT62"/>
      <c r="NBU62"/>
      <c r="NBV62"/>
      <c r="NBW62"/>
      <c r="NBX62"/>
      <c r="NBY62"/>
      <c r="NBZ62"/>
      <c r="NCA62"/>
      <c r="NCB62"/>
      <c r="NCC62"/>
      <c r="NCD62"/>
      <c r="NCE62"/>
      <c r="NCF62"/>
      <c r="NCG62"/>
      <c r="NCH62"/>
      <c r="NCI62"/>
      <c r="NCJ62"/>
      <c r="NCK62"/>
      <c r="NCL62"/>
      <c r="NCM62"/>
      <c r="NCN62"/>
      <c r="NCO62"/>
      <c r="NCP62"/>
      <c r="NCQ62"/>
      <c r="NCR62"/>
      <c r="NCS62"/>
      <c r="NCT62"/>
      <c r="NCU62"/>
      <c r="NCV62"/>
      <c r="NCW62"/>
      <c r="NCX62"/>
      <c r="NCY62"/>
      <c r="NCZ62"/>
      <c r="NDA62"/>
      <c r="NDB62"/>
      <c r="NDC62"/>
      <c r="NDD62"/>
      <c r="NDE62"/>
      <c r="NDF62"/>
      <c r="NDG62"/>
      <c r="NDH62"/>
      <c r="NDI62"/>
      <c r="NDJ62"/>
      <c r="NDK62"/>
      <c r="NDL62"/>
      <c r="NDM62"/>
      <c r="NDN62"/>
      <c r="NDO62"/>
      <c r="NDP62"/>
      <c r="NDQ62"/>
      <c r="NDR62"/>
      <c r="NDS62"/>
      <c r="NDT62"/>
      <c r="NDU62"/>
      <c r="NDV62"/>
      <c r="NDW62"/>
      <c r="NDX62"/>
      <c r="NDY62"/>
      <c r="NDZ62"/>
      <c r="NEA62"/>
      <c r="NEB62"/>
      <c r="NEC62"/>
      <c r="NED62"/>
      <c r="NEE62"/>
      <c r="NEF62"/>
      <c r="NEG62"/>
      <c r="NEH62"/>
      <c r="NEI62"/>
      <c r="NEJ62"/>
      <c r="NEK62"/>
      <c r="NEL62"/>
      <c r="NEM62"/>
      <c r="NEN62"/>
      <c r="NEO62"/>
      <c r="NEP62"/>
      <c r="NEQ62"/>
      <c r="NER62"/>
      <c r="NES62"/>
      <c r="NET62"/>
      <c r="NEU62"/>
      <c r="NEV62"/>
      <c r="NEW62"/>
      <c r="NEX62"/>
      <c r="NEY62"/>
      <c r="NEZ62"/>
      <c r="NFA62"/>
      <c r="NFB62"/>
      <c r="NFC62"/>
      <c r="NFD62"/>
      <c r="NFE62"/>
      <c r="NFF62"/>
      <c r="NFG62"/>
      <c r="NFH62"/>
      <c r="NFI62"/>
      <c r="NFJ62"/>
      <c r="NFK62"/>
      <c r="NFL62"/>
      <c r="NFM62"/>
      <c r="NFN62"/>
      <c r="NFO62"/>
      <c r="NFP62"/>
      <c r="NFQ62"/>
      <c r="NFR62"/>
      <c r="NFS62"/>
      <c r="NFT62"/>
      <c r="NFU62"/>
      <c r="NFV62"/>
      <c r="NFW62"/>
      <c r="NFX62"/>
      <c r="NFY62"/>
      <c r="NFZ62"/>
      <c r="NGA62"/>
      <c r="NGB62"/>
      <c r="NGC62"/>
      <c r="NGD62"/>
      <c r="NGE62"/>
      <c r="NGF62"/>
      <c r="NGG62"/>
      <c r="NGH62"/>
      <c r="NGI62"/>
      <c r="NGJ62"/>
      <c r="NGK62"/>
      <c r="NGL62"/>
      <c r="NGM62"/>
      <c r="NGN62"/>
      <c r="NGO62"/>
      <c r="NGP62"/>
      <c r="NGQ62"/>
      <c r="NGR62"/>
      <c r="NGS62"/>
      <c r="NGT62"/>
      <c r="NGU62"/>
      <c r="NGV62"/>
      <c r="NGW62"/>
      <c r="NGX62"/>
      <c r="NGY62"/>
      <c r="NGZ62"/>
      <c r="NHA62"/>
      <c r="NHB62"/>
      <c r="NHC62"/>
      <c r="NHD62"/>
      <c r="NHE62"/>
      <c r="NHF62"/>
      <c r="NHG62"/>
      <c r="NHH62"/>
      <c r="NHI62"/>
      <c r="NHJ62"/>
      <c r="NHK62"/>
      <c r="NHL62"/>
      <c r="NHM62"/>
      <c r="NHN62"/>
      <c r="NHO62"/>
      <c r="NHP62"/>
      <c r="NHQ62"/>
      <c r="NHR62"/>
      <c r="NHS62"/>
      <c r="NHT62"/>
      <c r="NHU62"/>
      <c r="NHV62"/>
      <c r="NHW62"/>
      <c r="NHX62"/>
      <c r="NHY62"/>
      <c r="NHZ62"/>
      <c r="NIA62"/>
      <c r="NIB62"/>
      <c r="NIC62"/>
      <c r="NID62"/>
      <c r="NIE62"/>
      <c r="NIF62"/>
      <c r="NIG62"/>
      <c r="NIH62"/>
      <c r="NII62"/>
      <c r="NIJ62"/>
      <c r="NIK62"/>
      <c r="NIL62"/>
      <c r="NIM62"/>
      <c r="NIN62"/>
      <c r="NIO62"/>
      <c r="NIP62"/>
      <c r="NIQ62"/>
      <c r="NIR62"/>
      <c r="NIS62"/>
      <c r="NIT62"/>
      <c r="NIU62"/>
      <c r="NIV62"/>
      <c r="NIW62"/>
      <c r="NIX62"/>
      <c r="NIY62"/>
      <c r="NIZ62"/>
      <c r="NJA62"/>
      <c r="NJB62"/>
      <c r="NJC62"/>
      <c r="NJD62"/>
      <c r="NJE62"/>
      <c r="NJF62"/>
      <c r="NJG62"/>
      <c r="NJH62"/>
      <c r="NJI62"/>
      <c r="NJJ62"/>
      <c r="NJK62"/>
      <c r="NJL62"/>
      <c r="NJM62"/>
      <c r="NJN62"/>
      <c r="NJO62"/>
      <c r="NJP62"/>
      <c r="NJQ62"/>
      <c r="NJR62"/>
      <c r="NJS62"/>
      <c r="NJT62"/>
      <c r="NJU62"/>
      <c r="NJV62"/>
      <c r="NJW62"/>
      <c r="NJX62"/>
      <c r="NJY62"/>
      <c r="NJZ62"/>
      <c r="NKA62"/>
      <c r="NKB62"/>
      <c r="NKC62"/>
      <c r="NKD62"/>
      <c r="NKE62"/>
      <c r="NKF62"/>
      <c r="NKG62"/>
      <c r="NKH62"/>
      <c r="NKI62"/>
      <c r="NKJ62"/>
      <c r="NKK62"/>
      <c r="NKL62"/>
      <c r="NKM62"/>
      <c r="NKN62"/>
      <c r="NKO62"/>
      <c r="NKP62"/>
      <c r="NKQ62"/>
      <c r="NKR62"/>
      <c r="NKS62"/>
      <c r="NKT62"/>
      <c r="NKU62"/>
      <c r="NKV62"/>
      <c r="NKW62"/>
      <c r="NKX62"/>
      <c r="NKY62"/>
      <c r="NKZ62"/>
      <c r="NLA62"/>
      <c r="NLB62"/>
      <c r="NLC62"/>
      <c r="NLD62"/>
      <c r="NLE62"/>
      <c r="NLF62"/>
      <c r="NLG62"/>
      <c r="NLH62"/>
      <c r="NLI62"/>
      <c r="NLJ62"/>
      <c r="NLK62"/>
      <c r="NLL62"/>
      <c r="NLM62"/>
      <c r="NLN62"/>
      <c r="NLO62"/>
      <c r="NLP62"/>
      <c r="NLQ62"/>
      <c r="NLR62"/>
      <c r="NLS62"/>
      <c r="NLT62"/>
      <c r="NLU62"/>
      <c r="NLV62"/>
      <c r="NLW62"/>
      <c r="NLX62"/>
      <c r="NLY62"/>
      <c r="NLZ62"/>
      <c r="NMA62"/>
      <c r="NMB62"/>
      <c r="NMC62"/>
      <c r="NMD62"/>
      <c r="NME62"/>
      <c r="NMF62"/>
      <c r="NMG62"/>
      <c r="NMH62"/>
      <c r="NMI62"/>
      <c r="NMJ62"/>
      <c r="NMK62"/>
      <c r="NML62"/>
      <c r="NMM62"/>
      <c r="NMN62"/>
      <c r="NMO62"/>
      <c r="NMP62"/>
      <c r="NMQ62"/>
      <c r="NMR62"/>
      <c r="NMS62"/>
      <c r="NMT62"/>
      <c r="NMU62"/>
      <c r="NMV62"/>
      <c r="NMW62"/>
      <c r="NMX62"/>
      <c r="NMY62"/>
      <c r="NMZ62"/>
      <c r="NNA62"/>
      <c r="NNB62"/>
      <c r="NNC62"/>
      <c r="NND62"/>
      <c r="NNE62"/>
      <c r="NNF62"/>
      <c r="NNG62"/>
      <c r="NNH62"/>
      <c r="NNI62"/>
      <c r="NNJ62"/>
      <c r="NNK62"/>
      <c r="NNL62"/>
      <c r="NNM62"/>
      <c r="NNN62"/>
      <c r="NNO62"/>
      <c r="NNP62"/>
      <c r="NNQ62"/>
      <c r="NNR62"/>
      <c r="NNS62"/>
      <c r="NNT62"/>
      <c r="NNU62"/>
      <c r="NNV62"/>
      <c r="NNW62"/>
      <c r="NNX62"/>
      <c r="NNY62"/>
      <c r="NNZ62"/>
      <c r="NOA62"/>
      <c r="NOB62"/>
      <c r="NOC62"/>
      <c r="NOD62"/>
      <c r="NOE62"/>
      <c r="NOF62"/>
      <c r="NOG62"/>
      <c r="NOH62"/>
      <c r="NOI62"/>
      <c r="NOJ62"/>
      <c r="NOK62"/>
      <c r="NOL62"/>
      <c r="NOM62"/>
      <c r="NON62"/>
      <c r="NOO62"/>
      <c r="NOP62"/>
      <c r="NOQ62"/>
      <c r="NOR62"/>
      <c r="NOS62"/>
      <c r="NOT62"/>
      <c r="NOU62"/>
      <c r="NOV62"/>
      <c r="NOW62"/>
      <c r="NOX62"/>
      <c r="NOY62"/>
      <c r="NOZ62"/>
      <c r="NPA62"/>
      <c r="NPB62"/>
      <c r="NPC62"/>
      <c r="NPD62"/>
      <c r="NPE62"/>
      <c r="NPF62"/>
      <c r="NPG62"/>
      <c r="NPH62"/>
      <c r="NPI62"/>
      <c r="NPJ62"/>
      <c r="NPK62"/>
      <c r="NPL62"/>
      <c r="NPM62"/>
      <c r="NPN62"/>
      <c r="NPO62"/>
      <c r="NPP62"/>
      <c r="NPQ62"/>
      <c r="NPR62"/>
      <c r="NPS62"/>
      <c r="NPT62"/>
      <c r="NPU62"/>
      <c r="NPV62"/>
      <c r="NPW62"/>
      <c r="NPX62"/>
      <c r="NPY62"/>
      <c r="NPZ62"/>
      <c r="NQA62"/>
      <c r="NQB62"/>
      <c r="NQC62"/>
      <c r="NQD62"/>
      <c r="NQE62"/>
      <c r="NQF62"/>
      <c r="NQG62"/>
      <c r="NQH62"/>
      <c r="NQI62"/>
      <c r="NQJ62"/>
      <c r="NQK62"/>
      <c r="NQL62"/>
      <c r="NQM62"/>
      <c r="NQN62"/>
      <c r="NQO62"/>
      <c r="NQP62"/>
      <c r="NQQ62"/>
      <c r="NQR62"/>
      <c r="NQS62"/>
      <c r="NQT62"/>
      <c r="NQU62"/>
      <c r="NQV62"/>
      <c r="NQW62"/>
      <c r="NQX62"/>
      <c r="NQY62"/>
      <c r="NQZ62"/>
      <c r="NRA62"/>
      <c r="NRB62"/>
      <c r="NRC62"/>
      <c r="NRD62"/>
      <c r="NRE62"/>
      <c r="NRF62"/>
      <c r="NRG62"/>
      <c r="NRH62"/>
      <c r="NRI62"/>
      <c r="NRJ62"/>
      <c r="NRK62"/>
      <c r="NRL62"/>
      <c r="NRM62"/>
      <c r="NRN62"/>
      <c r="NRO62"/>
      <c r="NRP62"/>
      <c r="NRQ62"/>
      <c r="NRR62"/>
      <c r="NRS62"/>
      <c r="NRT62"/>
      <c r="NRU62"/>
      <c r="NRV62"/>
      <c r="NRW62"/>
      <c r="NRX62"/>
      <c r="NRY62"/>
      <c r="NRZ62"/>
      <c r="NSA62"/>
      <c r="NSB62"/>
      <c r="NSC62"/>
      <c r="NSD62"/>
      <c r="NSE62"/>
      <c r="NSF62"/>
      <c r="NSG62"/>
      <c r="NSH62"/>
      <c r="NSI62"/>
      <c r="NSJ62"/>
      <c r="NSK62"/>
      <c r="NSL62"/>
      <c r="NSM62"/>
      <c r="NSN62"/>
      <c r="NSO62"/>
      <c r="NSP62"/>
      <c r="NSQ62"/>
      <c r="NSR62"/>
      <c r="NSS62"/>
      <c r="NST62"/>
      <c r="NSU62"/>
      <c r="NSV62"/>
      <c r="NSW62"/>
      <c r="NSX62"/>
      <c r="NSY62"/>
      <c r="NSZ62"/>
      <c r="NTA62"/>
      <c r="NTB62"/>
      <c r="NTC62"/>
      <c r="NTD62"/>
      <c r="NTE62"/>
      <c r="NTF62"/>
      <c r="NTG62"/>
      <c r="NTH62"/>
      <c r="NTI62"/>
      <c r="NTJ62"/>
      <c r="NTK62"/>
      <c r="NTL62"/>
      <c r="NTM62"/>
      <c r="NTN62"/>
      <c r="NTO62"/>
      <c r="NTP62"/>
      <c r="NTQ62"/>
      <c r="NTR62"/>
      <c r="NTS62"/>
      <c r="NTT62"/>
      <c r="NTU62"/>
      <c r="NTV62"/>
      <c r="NTW62"/>
      <c r="NTX62"/>
      <c r="NTY62"/>
      <c r="NTZ62"/>
      <c r="NUA62"/>
      <c r="NUB62"/>
      <c r="NUC62"/>
      <c r="NUD62"/>
      <c r="NUE62"/>
      <c r="NUF62"/>
      <c r="NUG62"/>
      <c r="NUH62"/>
      <c r="NUI62"/>
      <c r="NUJ62"/>
      <c r="NUK62"/>
      <c r="NUL62"/>
      <c r="NUM62"/>
      <c r="NUN62"/>
      <c r="NUO62"/>
      <c r="NUP62"/>
      <c r="NUQ62"/>
      <c r="NUR62"/>
      <c r="NUS62"/>
      <c r="NUT62"/>
      <c r="NUU62"/>
      <c r="NUV62"/>
      <c r="NUW62"/>
      <c r="NUX62"/>
      <c r="NUY62"/>
      <c r="NUZ62"/>
      <c r="NVA62"/>
      <c r="NVB62"/>
      <c r="NVC62"/>
      <c r="NVD62"/>
      <c r="NVE62"/>
      <c r="NVF62"/>
      <c r="NVG62"/>
      <c r="NVH62"/>
      <c r="NVI62"/>
      <c r="NVJ62"/>
      <c r="NVK62"/>
      <c r="NVL62"/>
      <c r="NVM62"/>
      <c r="NVN62"/>
      <c r="NVO62"/>
      <c r="NVP62"/>
      <c r="NVQ62"/>
      <c r="NVR62"/>
      <c r="NVS62"/>
      <c r="NVT62"/>
      <c r="NVU62"/>
      <c r="NVV62"/>
      <c r="NVW62"/>
      <c r="NVX62"/>
      <c r="NVY62"/>
      <c r="NVZ62"/>
      <c r="NWA62"/>
      <c r="NWB62"/>
      <c r="NWC62"/>
      <c r="NWD62"/>
      <c r="NWE62"/>
      <c r="NWF62"/>
      <c r="NWG62"/>
      <c r="NWH62"/>
      <c r="NWI62"/>
      <c r="NWJ62"/>
      <c r="NWK62"/>
      <c r="NWL62"/>
      <c r="NWM62"/>
      <c r="NWN62"/>
      <c r="NWO62"/>
      <c r="NWP62"/>
      <c r="NWQ62"/>
      <c r="NWR62"/>
      <c r="NWS62"/>
      <c r="NWT62"/>
      <c r="NWU62"/>
      <c r="NWV62"/>
      <c r="NWW62"/>
      <c r="NWX62"/>
      <c r="NWY62"/>
      <c r="NWZ62"/>
      <c r="NXA62"/>
      <c r="NXB62"/>
      <c r="NXC62"/>
      <c r="NXD62"/>
      <c r="NXE62"/>
      <c r="NXF62"/>
      <c r="NXG62"/>
      <c r="NXH62"/>
      <c r="NXI62"/>
      <c r="NXJ62"/>
      <c r="NXK62"/>
      <c r="NXL62"/>
      <c r="NXM62"/>
      <c r="NXN62"/>
      <c r="NXO62"/>
      <c r="NXP62"/>
      <c r="NXQ62"/>
      <c r="NXR62"/>
      <c r="NXS62"/>
      <c r="NXT62"/>
      <c r="NXU62"/>
      <c r="NXV62"/>
      <c r="NXW62"/>
      <c r="NXX62"/>
      <c r="NXY62"/>
      <c r="NXZ62"/>
      <c r="NYA62"/>
      <c r="NYB62"/>
      <c r="NYC62"/>
      <c r="NYD62"/>
      <c r="NYE62"/>
      <c r="NYF62"/>
      <c r="NYG62"/>
      <c r="NYH62"/>
      <c r="NYI62"/>
      <c r="NYJ62"/>
      <c r="NYK62"/>
      <c r="NYL62"/>
      <c r="NYM62"/>
      <c r="NYN62"/>
      <c r="NYO62"/>
      <c r="NYP62"/>
      <c r="NYQ62"/>
      <c r="NYR62"/>
      <c r="NYS62"/>
      <c r="NYT62"/>
      <c r="NYU62"/>
      <c r="NYV62"/>
      <c r="NYW62"/>
      <c r="NYX62"/>
      <c r="NYY62"/>
      <c r="NYZ62"/>
      <c r="NZA62"/>
      <c r="NZB62"/>
      <c r="NZC62"/>
      <c r="NZD62"/>
      <c r="NZE62"/>
      <c r="NZF62"/>
      <c r="NZG62"/>
      <c r="NZH62"/>
      <c r="NZI62"/>
      <c r="NZJ62"/>
      <c r="NZK62"/>
      <c r="NZL62"/>
      <c r="NZM62"/>
      <c r="NZN62"/>
      <c r="NZO62"/>
      <c r="NZP62"/>
      <c r="NZQ62"/>
      <c r="NZR62"/>
      <c r="NZS62"/>
      <c r="NZT62"/>
      <c r="NZU62"/>
      <c r="NZV62"/>
      <c r="NZW62"/>
      <c r="NZX62"/>
      <c r="NZY62"/>
      <c r="NZZ62"/>
      <c r="OAA62"/>
      <c r="OAB62"/>
      <c r="OAC62"/>
      <c r="OAD62"/>
      <c r="OAE62"/>
      <c r="OAF62"/>
      <c r="OAG62"/>
      <c r="OAH62"/>
      <c r="OAI62"/>
      <c r="OAJ62"/>
      <c r="OAK62"/>
      <c r="OAL62"/>
      <c r="OAM62"/>
      <c r="OAN62"/>
      <c r="OAO62"/>
      <c r="OAP62"/>
      <c r="OAQ62"/>
      <c r="OAR62"/>
      <c r="OAS62"/>
      <c r="OAT62"/>
      <c r="OAU62"/>
      <c r="OAV62"/>
      <c r="OAW62"/>
      <c r="OAX62"/>
      <c r="OAY62"/>
      <c r="OAZ62"/>
      <c r="OBA62"/>
      <c r="OBB62"/>
      <c r="OBC62"/>
      <c r="OBD62"/>
      <c r="OBE62"/>
      <c r="OBF62"/>
      <c r="OBG62"/>
      <c r="OBH62"/>
      <c r="OBI62"/>
      <c r="OBJ62"/>
      <c r="OBK62"/>
      <c r="OBL62"/>
      <c r="OBM62"/>
      <c r="OBN62"/>
      <c r="OBO62"/>
      <c r="OBP62"/>
      <c r="OBQ62"/>
      <c r="OBR62"/>
      <c r="OBS62"/>
      <c r="OBT62"/>
      <c r="OBU62"/>
      <c r="OBV62"/>
      <c r="OBW62"/>
      <c r="OBX62"/>
      <c r="OBY62"/>
      <c r="OBZ62"/>
      <c r="OCA62"/>
      <c r="OCB62"/>
      <c r="OCC62"/>
      <c r="OCD62"/>
      <c r="OCE62"/>
      <c r="OCF62"/>
      <c r="OCG62"/>
      <c r="OCH62"/>
      <c r="OCI62"/>
      <c r="OCJ62"/>
      <c r="OCK62"/>
      <c r="OCL62"/>
      <c r="OCM62"/>
      <c r="OCN62"/>
      <c r="OCO62"/>
      <c r="OCP62"/>
      <c r="OCQ62"/>
      <c r="OCR62"/>
      <c r="OCS62"/>
      <c r="OCT62"/>
      <c r="OCU62"/>
      <c r="OCV62"/>
      <c r="OCW62"/>
      <c r="OCX62"/>
      <c r="OCY62"/>
      <c r="OCZ62"/>
      <c r="ODA62"/>
      <c r="ODB62"/>
      <c r="ODC62"/>
      <c r="ODD62"/>
      <c r="ODE62"/>
      <c r="ODF62"/>
      <c r="ODG62"/>
      <c r="ODH62"/>
      <c r="ODI62"/>
      <c r="ODJ62"/>
      <c r="ODK62"/>
      <c r="ODL62"/>
      <c r="ODM62"/>
      <c r="ODN62"/>
      <c r="ODO62"/>
      <c r="ODP62"/>
      <c r="ODQ62"/>
      <c r="ODR62"/>
      <c r="ODS62"/>
      <c r="ODT62"/>
      <c r="ODU62"/>
      <c r="ODV62"/>
      <c r="ODW62"/>
      <c r="ODX62"/>
      <c r="ODY62"/>
      <c r="ODZ62"/>
      <c r="OEA62"/>
      <c r="OEB62"/>
      <c r="OEC62"/>
      <c r="OED62"/>
      <c r="OEE62"/>
      <c r="OEF62"/>
      <c r="OEG62"/>
      <c r="OEH62"/>
      <c r="OEI62"/>
      <c r="OEJ62"/>
      <c r="OEK62"/>
      <c r="OEL62"/>
      <c r="OEM62"/>
      <c r="OEN62"/>
      <c r="OEO62"/>
      <c r="OEP62"/>
      <c r="OEQ62"/>
      <c r="OER62"/>
      <c r="OES62"/>
      <c r="OET62"/>
      <c r="OEU62"/>
      <c r="OEV62"/>
      <c r="OEW62"/>
      <c r="OEX62"/>
      <c r="OEY62"/>
      <c r="OEZ62"/>
      <c r="OFA62"/>
      <c r="OFB62"/>
      <c r="OFC62"/>
      <c r="OFD62"/>
      <c r="OFE62"/>
      <c r="OFF62"/>
      <c r="OFG62"/>
      <c r="OFH62"/>
      <c r="OFI62"/>
      <c r="OFJ62"/>
      <c r="OFK62"/>
      <c r="OFL62"/>
      <c r="OFM62"/>
      <c r="OFN62"/>
      <c r="OFO62"/>
      <c r="OFP62"/>
      <c r="OFQ62"/>
      <c r="OFR62"/>
      <c r="OFS62"/>
      <c r="OFT62"/>
      <c r="OFU62"/>
      <c r="OFV62"/>
      <c r="OFW62"/>
      <c r="OFX62"/>
      <c r="OFY62"/>
      <c r="OFZ62"/>
      <c r="OGA62"/>
      <c r="OGB62"/>
      <c r="OGC62"/>
      <c r="OGD62"/>
      <c r="OGE62"/>
      <c r="OGF62"/>
      <c r="OGG62"/>
      <c r="OGH62"/>
      <c r="OGI62"/>
      <c r="OGJ62"/>
      <c r="OGK62"/>
      <c r="OGL62"/>
      <c r="OGM62"/>
      <c r="OGN62"/>
      <c r="OGO62"/>
      <c r="OGP62"/>
      <c r="OGQ62"/>
      <c r="OGR62"/>
      <c r="OGS62"/>
      <c r="OGT62"/>
      <c r="OGU62"/>
      <c r="OGV62"/>
      <c r="OGW62"/>
      <c r="OGX62"/>
      <c r="OGY62"/>
      <c r="OGZ62"/>
      <c r="OHA62"/>
      <c r="OHB62"/>
      <c r="OHC62"/>
      <c r="OHD62"/>
      <c r="OHE62"/>
      <c r="OHF62"/>
      <c r="OHG62"/>
      <c r="OHH62"/>
      <c r="OHI62"/>
      <c r="OHJ62"/>
      <c r="OHK62"/>
      <c r="OHL62"/>
      <c r="OHM62"/>
      <c r="OHN62"/>
      <c r="OHO62"/>
      <c r="OHP62"/>
      <c r="OHQ62"/>
      <c r="OHR62"/>
      <c r="OHS62"/>
      <c r="OHT62"/>
      <c r="OHU62"/>
      <c r="OHV62"/>
      <c r="OHW62"/>
      <c r="OHX62"/>
      <c r="OHY62"/>
      <c r="OHZ62"/>
      <c r="OIA62"/>
      <c r="OIB62"/>
      <c r="OIC62"/>
      <c r="OID62"/>
      <c r="OIE62"/>
      <c r="OIF62"/>
      <c r="OIG62"/>
      <c r="OIH62"/>
      <c r="OII62"/>
      <c r="OIJ62"/>
      <c r="OIK62"/>
      <c r="OIL62"/>
      <c r="OIM62"/>
      <c r="OIN62"/>
      <c r="OIO62"/>
      <c r="OIP62"/>
      <c r="OIQ62"/>
      <c r="OIR62"/>
      <c r="OIS62"/>
      <c r="OIT62"/>
      <c r="OIU62"/>
      <c r="OIV62"/>
      <c r="OIW62"/>
      <c r="OIX62"/>
      <c r="OIY62"/>
      <c r="OIZ62"/>
      <c r="OJA62"/>
      <c r="OJB62"/>
      <c r="OJC62"/>
      <c r="OJD62"/>
      <c r="OJE62"/>
      <c r="OJF62"/>
      <c r="OJG62"/>
      <c r="OJH62"/>
      <c r="OJI62"/>
      <c r="OJJ62"/>
      <c r="OJK62"/>
      <c r="OJL62"/>
      <c r="OJM62"/>
      <c r="OJN62"/>
      <c r="OJO62"/>
      <c r="OJP62"/>
      <c r="OJQ62"/>
      <c r="OJR62"/>
      <c r="OJS62"/>
      <c r="OJT62"/>
      <c r="OJU62"/>
      <c r="OJV62"/>
      <c r="OJW62"/>
      <c r="OJX62"/>
      <c r="OJY62"/>
      <c r="OJZ62"/>
      <c r="OKA62"/>
      <c r="OKB62"/>
      <c r="OKC62"/>
      <c r="OKD62"/>
      <c r="OKE62"/>
      <c r="OKF62"/>
      <c r="OKG62"/>
      <c r="OKH62"/>
      <c r="OKI62"/>
      <c r="OKJ62"/>
      <c r="OKK62"/>
      <c r="OKL62"/>
      <c r="OKM62"/>
      <c r="OKN62"/>
      <c r="OKO62"/>
      <c r="OKP62"/>
      <c r="OKQ62"/>
      <c r="OKR62"/>
      <c r="OKS62"/>
      <c r="OKT62"/>
      <c r="OKU62"/>
      <c r="OKV62"/>
      <c r="OKW62"/>
      <c r="OKX62"/>
      <c r="OKY62"/>
      <c r="OKZ62"/>
      <c r="OLA62"/>
      <c r="OLB62"/>
      <c r="OLC62"/>
      <c r="OLD62"/>
      <c r="OLE62"/>
      <c r="OLF62"/>
      <c r="OLG62"/>
      <c r="OLH62"/>
      <c r="OLI62"/>
      <c r="OLJ62"/>
      <c r="OLK62"/>
      <c r="OLL62"/>
      <c r="OLM62"/>
      <c r="OLN62"/>
      <c r="OLO62"/>
      <c r="OLP62"/>
      <c r="OLQ62"/>
      <c r="OLR62"/>
      <c r="OLS62"/>
      <c r="OLT62"/>
      <c r="OLU62"/>
      <c r="OLV62"/>
      <c r="OLW62"/>
      <c r="OLX62"/>
      <c r="OLY62"/>
      <c r="OLZ62"/>
      <c r="OMA62"/>
      <c r="OMB62"/>
      <c r="OMC62"/>
      <c r="OMD62"/>
      <c r="OME62"/>
      <c r="OMF62"/>
      <c r="OMG62"/>
      <c r="OMH62"/>
      <c r="OMI62"/>
      <c r="OMJ62"/>
      <c r="OMK62"/>
      <c r="OML62"/>
      <c r="OMM62"/>
      <c r="OMN62"/>
      <c r="OMO62"/>
      <c r="OMP62"/>
      <c r="OMQ62"/>
      <c r="OMR62"/>
      <c r="OMS62"/>
      <c r="OMT62"/>
      <c r="OMU62"/>
      <c r="OMV62"/>
      <c r="OMW62"/>
      <c r="OMX62"/>
      <c r="OMY62"/>
      <c r="OMZ62"/>
      <c r="ONA62"/>
      <c r="ONB62"/>
      <c r="ONC62"/>
      <c r="OND62"/>
      <c r="ONE62"/>
      <c r="ONF62"/>
      <c r="ONG62"/>
      <c r="ONH62"/>
      <c r="ONI62"/>
      <c r="ONJ62"/>
      <c r="ONK62"/>
      <c r="ONL62"/>
      <c r="ONM62"/>
      <c r="ONN62"/>
      <c r="ONO62"/>
      <c r="ONP62"/>
      <c r="ONQ62"/>
      <c r="ONR62"/>
      <c r="ONS62"/>
      <c r="ONT62"/>
      <c r="ONU62"/>
      <c r="ONV62"/>
      <c r="ONW62"/>
      <c r="ONX62"/>
      <c r="ONY62"/>
      <c r="ONZ62"/>
      <c r="OOA62"/>
      <c r="OOB62"/>
      <c r="OOC62"/>
      <c r="OOD62"/>
      <c r="OOE62"/>
      <c r="OOF62"/>
      <c r="OOG62"/>
      <c r="OOH62"/>
      <c r="OOI62"/>
      <c r="OOJ62"/>
      <c r="OOK62"/>
      <c r="OOL62"/>
      <c r="OOM62"/>
      <c r="OON62"/>
      <c r="OOO62"/>
      <c r="OOP62"/>
      <c r="OOQ62"/>
      <c r="OOR62"/>
      <c r="OOS62"/>
      <c r="OOT62"/>
      <c r="OOU62"/>
      <c r="OOV62"/>
      <c r="OOW62"/>
      <c r="OOX62"/>
      <c r="OOY62"/>
      <c r="OOZ62"/>
      <c r="OPA62"/>
      <c r="OPB62"/>
      <c r="OPC62"/>
      <c r="OPD62"/>
      <c r="OPE62"/>
      <c r="OPF62"/>
      <c r="OPG62"/>
      <c r="OPH62"/>
      <c r="OPI62"/>
      <c r="OPJ62"/>
      <c r="OPK62"/>
      <c r="OPL62"/>
      <c r="OPM62"/>
      <c r="OPN62"/>
      <c r="OPO62"/>
      <c r="OPP62"/>
      <c r="OPQ62"/>
      <c r="OPR62"/>
      <c r="OPS62"/>
      <c r="OPT62"/>
      <c r="OPU62"/>
      <c r="OPV62"/>
      <c r="OPW62"/>
      <c r="OPX62"/>
      <c r="OPY62"/>
      <c r="OPZ62"/>
      <c r="OQA62"/>
      <c r="OQB62"/>
      <c r="OQC62"/>
      <c r="OQD62"/>
      <c r="OQE62"/>
      <c r="OQF62"/>
      <c r="OQG62"/>
      <c r="OQH62"/>
      <c r="OQI62"/>
      <c r="OQJ62"/>
      <c r="OQK62"/>
      <c r="OQL62"/>
      <c r="OQM62"/>
      <c r="OQN62"/>
      <c r="OQO62"/>
      <c r="OQP62"/>
      <c r="OQQ62"/>
      <c r="OQR62"/>
      <c r="OQS62"/>
      <c r="OQT62"/>
      <c r="OQU62"/>
      <c r="OQV62"/>
      <c r="OQW62"/>
      <c r="OQX62"/>
      <c r="OQY62"/>
      <c r="OQZ62"/>
      <c r="ORA62"/>
      <c r="ORB62"/>
      <c r="ORC62"/>
      <c r="ORD62"/>
      <c r="ORE62"/>
      <c r="ORF62"/>
      <c r="ORG62"/>
      <c r="ORH62"/>
      <c r="ORI62"/>
      <c r="ORJ62"/>
      <c r="ORK62"/>
      <c r="ORL62"/>
      <c r="ORM62"/>
      <c r="ORN62"/>
      <c r="ORO62"/>
      <c r="ORP62"/>
      <c r="ORQ62"/>
      <c r="ORR62"/>
      <c r="ORS62"/>
      <c r="ORT62"/>
      <c r="ORU62"/>
      <c r="ORV62"/>
      <c r="ORW62"/>
      <c r="ORX62"/>
      <c r="ORY62"/>
      <c r="ORZ62"/>
      <c r="OSA62"/>
      <c r="OSB62"/>
      <c r="OSC62"/>
      <c r="OSD62"/>
      <c r="OSE62"/>
      <c r="OSF62"/>
      <c r="OSG62"/>
      <c r="OSH62"/>
      <c r="OSI62"/>
      <c r="OSJ62"/>
      <c r="OSK62"/>
      <c r="OSL62"/>
      <c r="OSM62"/>
      <c r="OSN62"/>
      <c r="OSO62"/>
      <c r="OSP62"/>
      <c r="OSQ62"/>
      <c r="OSR62"/>
      <c r="OSS62"/>
      <c r="OST62"/>
      <c r="OSU62"/>
      <c r="OSV62"/>
      <c r="OSW62"/>
      <c r="OSX62"/>
      <c r="OSY62"/>
      <c r="OSZ62"/>
      <c r="OTA62"/>
      <c r="OTB62"/>
      <c r="OTC62"/>
      <c r="OTD62"/>
      <c r="OTE62"/>
      <c r="OTF62"/>
      <c r="OTG62"/>
      <c r="OTH62"/>
      <c r="OTI62"/>
      <c r="OTJ62"/>
      <c r="OTK62"/>
      <c r="OTL62"/>
      <c r="OTM62"/>
      <c r="OTN62"/>
      <c r="OTO62"/>
      <c r="OTP62"/>
      <c r="OTQ62"/>
      <c r="OTR62"/>
      <c r="OTS62"/>
      <c r="OTT62"/>
      <c r="OTU62"/>
      <c r="OTV62"/>
      <c r="OTW62"/>
      <c r="OTX62"/>
      <c r="OTY62"/>
      <c r="OTZ62"/>
      <c r="OUA62"/>
      <c r="OUB62"/>
      <c r="OUC62"/>
      <c r="OUD62"/>
      <c r="OUE62"/>
      <c r="OUF62"/>
      <c r="OUG62"/>
      <c r="OUH62"/>
      <c r="OUI62"/>
      <c r="OUJ62"/>
      <c r="OUK62"/>
      <c r="OUL62"/>
      <c r="OUM62"/>
      <c r="OUN62"/>
      <c r="OUO62"/>
      <c r="OUP62"/>
      <c r="OUQ62"/>
      <c r="OUR62"/>
      <c r="OUS62"/>
      <c r="OUT62"/>
      <c r="OUU62"/>
      <c r="OUV62"/>
      <c r="OUW62"/>
      <c r="OUX62"/>
      <c r="OUY62"/>
      <c r="OUZ62"/>
      <c r="OVA62"/>
      <c r="OVB62"/>
      <c r="OVC62"/>
      <c r="OVD62"/>
      <c r="OVE62"/>
      <c r="OVF62"/>
      <c r="OVG62"/>
      <c r="OVH62"/>
      <c r="OVI62"/>
      <c r="OVJ62"/>
      <c r="OVK62"/>
      <c r="OVL62"/>
      <c r="OVM62"/>
      <c r="OVN62"/>
      <c r="OVO62"/>
      <c r="OVP62"/>
      <c r="OVQ62"/>
      <c r="OVR62"/>
      <c r="OVS62"/>
      <c r="OVT62"/>
      <c r="OVU62"/>
      <c r="OVV62"/>
      <c r="OVW62"/>
      <c r="OVX62"/>
      <c r="OVY62"/>
      <c r="OVZ62"/>
      <c r="OWA62"/>
      <c r="OWB62"/>
      <c r="OWC62"/>
      <c r="OWD62"/>
      <c r="OWE62"/>
      <c r="OWF62"/>
      <c r="OWG62"/>
      <c r="OWH62"/>
      <c r="OWI62"/>
      <c r="OWJ62"/>
      <c r="OWK62"/>
      <c r="OWL62"/>
      <c r="OWM62"/>
      <c r="OWN62"/>
      <c r="OWO62"/>
      <c r="OWP62"/>
      <c r="OWQ62"/>
      <c r="OWR62"/>
      <c r="OWS62"/>
      <c r="OWT62"/>
      <c r="OWU62"/>
      <c r="OWV62"/>
      <c r="OWW62"/>
      <c r="OWX62"/>
      <c r="OWY62"/>
      <c r="OWZ62"/>
      <c r="OXA62"/>
      <c r="OXB62"/>
      <c r="OXC62"/>
      <c r="OXD62"/>
      <c r="OXE62"/>
      <c r="OXF62"/>
      <c r="OXG62"/>
      <c r="OXH62"/>
      <c r="OXI62"/>
      <c r="OXJ62"/>
      <c r="OXK62"/>
      <c r="OXL62"/>
      <c r="OXM62"/>
      <c r="OXN62"/>
      <c r="OXO62"/>
      <c r="OXP62"/>
      <c r="OXQ62"/>
      <c r="OXR62"/>
      <c r="OXS62"/>
      <c r="OXT62"/>
      <c r="OXU62"/>
      <c r="OXV62"/>
      <c r="OXW62"/>
      <c r="OXX62"/>
      <c r="OXY62"/>
      <c r="OXZ62"/>
      <c r="OYA62"/>
      <c r="OYB62"/>
      <c r="OYC62"/>
      <c r="OYD62"/>
      <c r="OYE62"/>
      <c r="OYF62"/>
      <c r="OYG62"/>
      <c r="OYH62"/>
      <c r="OYI62"/>
      <c r="OYJ62"/>
      <c r="OYK62"/>
      <c r="OYL62"/>
      <c r="OYM62"/>
      <c r="OYN62"/>
      <c r="OYO62"/>
      <c r="OYP62"/>
      <c r="OYQ62"/>
      <c r="OYR62"/>
      <c r="OYS62"/>
      <c r="OYT62"/>
      <c r="OYU62"/>
      <c r="OYV62"/>
      <c r="OYW62"/>
      <c r="OYX62"/>
      <c r="OYY62"/>
      <c r="OYZ62"/>
      <c r="OZA62"/>
      <c r="OZB62"/>
      <c r="OZC62"/>
      <c r="OZD62"/>
      <c r="OZE62"/>
      <c r="OZF62"/>
      <c r="OZG62"/>
      <c r="OZH62"/>
      <c r="OZI62"/>
      <c r="OZJ62"/>
      <c r="OZK62"/>
      <c r="OZL62"/>
      <c r="OZM62"/>
      <c r="OZN62"/>
      <c r="OZO62"/>
      <c r="OZP62"/>
      <c r="OZQ62"/>
      <c r="OZR62"/>
      <c r="OZS62"/>
      <c r="OZT62"/>
      <c r="OZU62"/>
      <c r="OZV62"/>
      <c r="OZW62"/>
      <c r="OZX62"/>
      <c r="OZY62"/>
      <c r="OZZ62"/>
      <c r="PAA62"/>
      <c r="PAB62"/>
      <c r="PAC62"/>
      <c r="PAD62"/>
      <c r="PAE62"/>
      <c r="PAF62"/>
      <c r="PAG62"/>
      <c r="PAH62"/>
      <c r="PAI62"/>
      <c r="PAJ62"/>
      <c r="PAK62"/>
      <c r="PAL62"/>
      <c r="PAM62"/>
      <c r="PAN62"/>
      <c r="PAO62"/>
      <c r="PAP62"/>
      <c r="PAQ62"/>
      <c r="PAR62"/>
      <c r="PAS62"/>
      <c r="PAT62"/>
      <c r="PAU62"/>
      <c r="PAV62"/>
      <c r="PAW62"/>
      <c r="PAX62"/>
      <c r="PAY62"/>
      <c r="PAZ62"/>
      <c r="PBA62"/>
      <c r="PBB62"/>
      <c r="PBC62"/>
      <c r="PBD62"/>
      <c r="PBE62"/>
      <c r="PBF62"/>
      <c r="PBG62"/>
      <c r="PBH62"/>
      <c r="PBI62"/>
      <c r="PBJ62"/>
      <c r="PBK62"/>
      <c r="PBL62"/>
      <c r="PBM62"/>
      <c r="PBN62"/>
      <c r="PBO62"/>
      <c r="PBP62"/>
      <c r="PBQ62"/>
      <c r="PBR62"/>
      <c r="PBS62"/>
      <c r="PBT62"/>
      <c r="PBU62"/>
      <c r="PBV62"/>
      <c r="PBW62"/>
      <c r="PBX62"/>
      <c r="PBY62"/>
      <c r="PBZ62"/>
      <c r="PCA62"/>
      <c r="PCB62"/>
      <c r="PCC62"/>
      <c r="PCD62"/>
      <c r="PCE62"/>
      <c r="PCF62"/>
      <c r="PCG62"/>
      <c r="PCH62"/>
      <c r="PCI62"/>
      <c r="PCJ62"/>
      <c r="PCK62"/>
      <c r="PCL62"/>
      <c r="PCM62"/>
      <c r="PCN62"/>
      <c r="PCO62"/>
      <c r="PCP62"/>
      <c r="PCQ62"/>
      <c r="PCR62"/>
      <c r="PCS62"/>
      <c r="PCT62"/>
      <c r="PCU62"/>
      <c r="PCV62"/>
      <c r="PCW62"/>
      <c r="PCX62"/>
      <c r="PCY62"/>
      <c r="PCZ62"/>
      <c r="PDA62"/>
      <c r="PDB62"/>
      <c r="PDC62"/>
      <c r="PDD62"/>
      <c r="PDE62"/>
      <c r="PDF62"/>
      <c r="PDG62"/>
      <c r="PDH62"/>
      <c r="PDI62"/>
      <c r="PDJ62"/>
      <c r="PDK62"/>
      <c r="PDL62"/>
      <c r="PDM62"/>
      <c r="PDN62"/>
      <c r="PDO62"/>
      <c r="PDP62"/>
      <c r="PDQ62"/>
      <c r="PDR62"/>
      <c r="PDS62"/>
      <c r="PDT62"/>
      <c r="PDU62"/>
      <c r="PDV62"/>
      <c r="PDW62"/>
      <c r="PDX62"/>
      <c r="PDY62"/>
      <c r="PDZ62"/>
      <c r="PEA62"/>
      <c r="PEB62"/>
      <c r="PEC62"/>
      <c r="PED62"/>
      <c r="PEE62"/>
      <c r="PEF62"/>
      <c r="PEG62"/>
      <c r="PEH62"/>
      <c r="PEI62"/>
      <c r="PEJ62"/>
      <c r="PEK62"/>
      <c r="PEL62"/>
      <c r="PEM62"/>
      <c r="PEN62"/>
      <c r="PEO62"/>
      <c r="PEP62"/>
      <c r="PEQ62"/>
      <c r="PER62"/>
      <c r="PES62"/>
      <c r="PET62"/>
      <c r="PEU62"/>
      <c r="PEV62"/>
      <c r="PEW62"/>
      <c r="PEX62"/>
      <c r="PEY62"/>
      <c r="PEZ62"/>
      <c r="PFA62"/>
      <c r="PFB62"/>
      <c r="PFC62"/>
      <c r="PFD62"/>
      <c r="PFE62"/>
      <c r="PFF62"/>
      <c r="PFG62"/>
      <c r="PFH62"/>
      <c r="PFI62"/>
      <c r="PFJ62"/>
      <c r="PFK62"/>
      <c r="PFL62"/>
      <c r="PFM62"/>
      <c r="PFN62"/>
      <c r="PFO62"/>
      <c r="PFP62"/>
      <c r="PFQ62"/>
      <c r="PFR62"/>
      <c r="PFS62"/>
      <c r="PFT62"/>
      <c r="PFU62"/>
      <c r="PFV62"/>
      <c r="PFW62"/>
      <c r="PFX62"/>
      <c r="PFY62"/>
      <c r="PFZ62"/>
      <c r="PGA62"/>
      <c r="PGB62"/>
      <c r="PGC62"/>
      <c r="PGD62"/>
      <c r="PGE62"/>
      <c r="PGF62"/>
      <c r="PGG62"/>
      <c r="PGH62"/>
      <c r="PGI62"/>
      <c r="PGJ62"/>
      <c r="PGK62"/>
      <c r="PGL62"/>
      <c r="PGM62"/>
      <c r="PGN62"/>
      <c r="PGO62"/>
      <c r="PGP62"/>
      <c r="PGQ62"/>
      <c r="PGR62"/>
      <c r="PGS62"/>
      <c r="PGT62"/>
      <c r="PGU62"/>
      <c r="PGV62"/>
      <c r="PGW62"/>
      <c r="PGX62"/>
      <c r="PGY62"/>
      <c r="PGZ62"/>
      <c r="PHA62"/>
      <c r="PHB62"/>
      <c r="PHC62"/>
      <c r="PHD62"/>
      <c r="PHE62"/>
      <c r="PHF62"/>
      <c r="PHG62"/>
      <c r="PHH62"/>
      <c r="PHI62"/>
      <c r="PHJ62"/>
      <c r="PHK62"/>
      <c r="PHL62"/>
      <c r="PHM62"/>
      <c r="PHN62"/>
      <c r="PHO62"/>
      <c r="PHP62"/>
      <c r="PHQ62"/>
      <c r="PHR62"/>
      <c r="PHS62"/>
      <c r="PHT62"/>
      <c r="PHU62"/>
      <c r="PHV62"/>
      <c r="PHW62"/>
      <c r="PHX62"/>
      <c r="PHY62"/>
      <c r="PHZ62"/>
      <c r="PIA62"/>
      <c r="PIB62"/>
      <c r="PIC62"/>
      <c r="PID62"/>
      <c r="PIE62"/>
      <c r="PIF62"/>
      <c r="PIG62"/>
      <c r="PIH62"/>
      <c r="PII62"/>
      <c r="PIJ62"/>
      <c r="PIK62"/>
      <c r="PIL62"/>
      <c r="PIM62"/>
      <c r="PIN62"/>
      <c r="PIO62"/>
      <c r="PIP62"/>
      <c r="PIQ62"/>
      <c r="PIR62"/>
      <c r="PIS62"/>
      <c r="PIT62"/>
      <c r="PIU62"/>
      <c r="PIV62"/>
      <c r="PIW62"/>
      <c r="PIX62"/>
      <c r="PIY62"/>
      <c r="PIZ62"/>
      <c r="PJA62"/>
      <c r="PJB62"/>
      <c r="PJC62"/>
      <c r="PJD62"/>
      <c r="PJE62"/>
      <c r="PJF62"/>
      <c r="PJG62"/>
      <c r="PJH62"/>
      <c r="PJI62"/>
      <c r="PJJ62"/>
      <c r="PJK62"/>
      <c r="PJL62"/>
      <c r="PJM62"/>
      <c r="PJN62"/>
      <c r="PJO62"/>
      <c r="PJP62"/>
      <c r="PJQ62"/>
      <c r="PJR62"/>
      <c r="PJS62"/>
      <c r="PJT62"/>
      <c r="PJU62"/>
      <c r="PJV62"/>
      <c r="PJW62"/>
      <c r="PJX62"/>
      <c r="PJY62"/>
      <c r="PJZ62"/>
      <c r="PKA62"/>
      <c r="PKB62"/>
      <c r="PKC62"/>
      <c r="PKD62"/>
      <c r="PKE62"/>
      <c r="PKF62"/>
      <c r="PKG62"/>
      <c r="PKH62"/>
      <c r="PKI62"/>
      <c r="PKJ62"/>
      <c r="PKK62"/>
      <c r="PKL62"/>
      <c r="PKM62"/>
      <c r="PKN62"/>
      <c r="PKO62"/>
      <c r="PKP62"/>
      <c r="PKQ62"/>
      <c r="PKR62"/>
      <c r="PKS62"/>
      <c r="PKT62"/>
      <c r="PKU62"/>
      <c r="PKV62"/>
      <c r="PKW62"/>
      <c r="PKX62"/>
      <c r="PKY62"/>
      <c r="PKZ62"/>
      <c r="PLA62"/>
      <c r="PLB62"/>
      <c r="PLC62"/>
      <c r="PLD62"/>
      <c r="PLE62"/>
      <c r="PLF62"/>
      <c r="PLG62"/>
      <c r="PLH62"/>
      <c r="PLI62"/>
      <c r="PLJ62"/>
      <c r="PLK62"/>
      <c r="PLL62"/>
      <c r="PLM62"/>
      <c r="PLN62"/>
      <c r="PLO62"/>
      <c r="PLP62"/>
      <c r="PLQ62"/>
      <c r="PLR62"/>
      <c r="PLS62"/>
      <c r="PLT62"/>
      <c r="PLU62"/>
      <c r="PLV62"/>
      <c r="PLW62"/>
      <c r="PLX62"/>
      <c r="PLY62"/>
      <c r="PLZ62"/>
      <c r="PMA62"/>
      <c r="PMB62"/>
      <c r="PMC62"/>
      <c r="PMD62"/>
      <c r="PME62"/>
      <c r="PMF62"/>
      <c r="PMG62"/>
      <c r="PMH62"/>
      <c r="PMI62"/>
      <c r="PMJ62"/>
      <c r="PMK62"/>
      <c r="PML62"/>
      <c r="PMM62"/>
      <c r="PMN62"/>
      <c r="PMO62"/>
      <c r="PMP62"/>
      <c r="PMQ62"/>
      <c r="PMR62"/>
      <c r="PMS62"/>
      <c r="PMT62"/>
      <c r="PMU62"/>
      <c r="PMV62"/>
      <c r="PMW62"/>
      <c r="PMX62"/>
      <c r="PMY62"/>
      <c r="PMZ62"/>
      <c r="PNA62"/>
      <c r="PNB62"/>
      <c r="PNC62"/>
      <c r="PND62"/>
      <c r="PNE62"/>
      <c r="PNF62"/>
      <c r="PNG62"/>
      <c r="PNH62"/>
      <c r="PNI62"/>
      <c r="PNJ62"/>
      <c r="PNK62"/>
      <c r="PNL62"/>
      <c r="PNM62"/>
      <c r="PNN62"/>
      <c r="PNO62"/>
      <c r="PNP62"/>
      <c r="PNQ62"/>
      <c r="PNR62"/>
      <c r="PNS62"/>
      <c r="PNT62"/>
      <c r="PNU62"/>
      <c r="PNV62"/>
      <c r="PNW62"/>
      <c r="PNX62"/>
      <c r="PNY62"/>
      <c r="PNZ62"/>
      <c r="POA62"/>
      <c r="POB62"/>
      <c r="POC62"/>
      <c r="POD62"/>
      <c r="POE62"/>
      <c r="POF62"/>
      <c r="POG62"/>
      <c r="POH62"/>
      <c r="POI62"/>
      <c r="POJ62"/>
      <c r="POK62"/>
      <c r="POL62"/>
      <c r="POM62"/>
      <c r="PON62"/>
      <c r="POO62"/>
      <c r="POP62"/>
      <c r="POQ62"/>
      <c r="POR62"/>
      <c r="POS62"/>
      <c r="POT62"/>
      <c r="POU62"/>
      <c r="POV62"/>
      <c r="POW62"/>
      <c r="POX62"/>
      <c r="POY62"/>
      <c r="POZ62"/>
      <c r="PPA62"/>
      <c r="PPB62"/>
      <c r="PPC62"/>
      <c r="PPD62"/>
      <c r="PPE62"/>
      <c r="PPF62"/>
      <c r="PPG62"/>
      <c r="PPH62"/>
      <c r="PPI62"/>
      <c r="PPJ62"/>
      <c r="PPK62"/>
      <c r="PPL62"/>
      <c r="PPM62"/>
      <c r="PPN62"/>
      <c r="PPO62"/>
      <c r="PPP62"/>
      <c r="PPQ62"/>
      <c r="PPR62"/>
      <c r="PPS62"/>
      <c r="PPT62"/>
      <c r="PPU62"/>
      <c r="PPV62"/>
      <c r="PPW62"/>
      <c r="PPX62"/>
      <c r="PPY62"/>
      <c r="PPZ62"/>
      <c r="PQA62"/>
      <c r="PQB62"/>
      <c r="PQC62"/>
      <c r="PQD62"/>
      <c r="PQE62"/>
      <c r="PQF62"/>
      <c r="PQG62"/>
      <c r="PQH62"/>
      <c r="PQI62"/>
      <c r="PQJ62"/>
      <c r="PQK62"/>
      <c r="PQL62"/>
      <c r="PQM62"/>
      <c r="PQN62"/>
      <c r="PQO62"/>
      <c r="PQP62"/>
      <c r="PQQ62"/>
      <c r="PQR62"/>
      <c r="PQS62"/>
      <c r="PQT62"/>
      <c r="PQU62"/>
      <c r="PQV62"/>
      <c r="PQW62"/>
      <c r="PQX62"/>
      <c r="PQY62"/>
      <c r="PQZ62"/>
      <c r="PRA62"/>
      <c r="PRB62"/>
      <c r="PRC62"/>
      <c r="PRD62"/>
      <c r="PRE62"/>
      <c r="PRF62"/>
      <c r="PRG62"/>
      <c r="PRH62"/>
      <c r="PRI62"/>
      <c r="PRJ62"/>
      <c r="PRK62"/>
      <c r="PRL62"/>
      <c r="PRM62"/>
      <c r="PRN62"/>
      <c r="PRO62"/>
      <c r="PRP62"/>
      <c r="PRQ62"/>
      <c r="PRR62"/>
      <c r="PRS62"/>
      <c r="PRT62"/>
      <c r="PRU62"/>
      <c r="PRV62"/>
      <c r="PRW62"/>
      <c r="PRX62"/>
      <c r="PRY62"/>
      <c r="PRZ62"/>
      <c r="PSA62"/>
      <c r="PSB62"/>
      <c r="PSC62"/>
      <c r="PSD62"/>
      <c r="PSE62"/>
      <c r="PSF62"/>
      <c r="PSG62"/>
      <c r="PSH62"/>
      <c r="PSI62"/>
      <c r="PSJ62"/>
      <c r="PSK62"/>
      <c r="PSL62"/>
      <c r="PSM62"/>
      <c r="PSN62"/>
      <c r="PSO62"/>
      <c r="PSP62"/>
      <c r="PSQ62"/>
      <c r="PSR62"/>
      <c r="PSS62"/>
      <c r="PST62"/>
      <c r="PSU62"/>
      <c r="PSV62"/>
      <c r="PSW62"/>
      <c r="PSX62"/>
      <c r="PSY62"/>
      <c r="PSZ62"/>
      <c r="PTA62"/>
      <c r="PTB62"/>
      <c r="PTC62"/>
      <c r="PTD62"/>
      <c r="PTE62"/>
      <c r="PTF62"/>
      <c r="PTG62"/>
      <c r="PTH62"/>
      <c r="PTI62"/>
      <c r="PTJ62"/>
      <c r="PTK62"/>
      <c r="PTL62"/>
      <c r="PTM62"/>
      <c r="PTN62"/>
      <c r="PTO62"/>
      <c r="PTP62"/>
      <c r="PTQ62"/>
      <c r="PTR62"/>
      <c r="PTS62"/>
      <c r="PTT62"/>
      <c r="PTU62"/>
      <c r="PTV62"/>
      <c r="PTW62"/>
      <c r="PTX62"/>
      <c r="PTY62"/>
      <c r="PTZ62"/>
      <c r="PUA62"/>
      <c r="PUB62"/>
      <c r="PUC62"/>
      <c r="PUD62"/>
      <c r="PUE62"/>
      <c r="PUF62"/>
      <c r="PUG62"/>
      <c r="PUH62"/>
      <c r="PUI62"/>
      <c r="PUJ62"/>
      <c r="PUK62"/>
      <c r="PUL62"/>
      <c r="PUM62"/>
      <c r="PUN62"/>
      <c r="PUO62"/>
      <c r="PUP62"/>
      <c r="PUQ62"/>
      <c r="PUR62"/>
      <c r="PUS62"/>
      <c r="PUT62"/>
      <c r="PUU62"/>
      <c r="PUV62"/>
      <c r="PUW62"/>
      <c r="PUX62"/>
      <c r="PUY62"/>
      <c r="PUZ62"/>
      <c r="PVA62"/>
      <c r="PVB62"/>
      <c r="PVC62"/>
      <c r="PVD62"/>
      <c r="PVE62"/>
      <c r="PVF62"/>
      <c r="PVG62"/>
      <c r="PVH62"/>
      <c r="PVI62"/>
      <c r="PVJ62"/>
      <c r="PVK62"/>
      <c r="PVL62"/>
      <c r="PVM62"/>
      <c r="PVN62"/>
      <c r="PVO62"/>
      <c r="PVP62"/>
      <c r="PVQ62"/>
      <c r="PVR62"/>
      <c r="PVS62"/>
      <c r="PVT62"/>
      <c r="PVU62"/>
      <c r="PVV62"/>
      <c r="PVW62"/>
      <c r="PVX62"/>
      <c r="PVY62"/>
      <c r="PVZ62"/>
      <c r="PWA62"/>
      <c r="PWB62"/>
      <c r="PWC62"/>
      <c r="PWD62"/>
      <c r="PWE62"/>
      <c r="PWF62"/>
      <c r="PWG62"/>
      <c r="PWH62"/>
      <c r="PWI62"/>
      <c r="PWJ62"/>
      <c r="PWK62"/>
      <c r="PWL62"/>
      <c r="PWM62"/>
      <c r="PWN62"/>
      <c r="PWO62"/>
      <c r="PWP62"/>
      <c r="PWQ62"/>
      <c r="PWR62"/>
      <c r="PWS62"/>
      <c r="PWT62"/>
      <c r="PWU62"/>
      <c r="PWV62"/>
      <c r="PWW62"/>
      <c r="PWX62"/>
      <c r="PWY62"/>
      <c r="PWZ62"/>
      <c r="PXA62"/>
      <c r="PXB62"/>
      <c r="PXC62"/>
      <c r="PXD62"/>
      <c r="PXE62"/>
      <c r="PXF62"/>
      <c r="PXG62"/>
      <c r="PXH62"/>
      <c r="PXI62"/>
      <c r="PXJ62"/>
      <c r="PXK62"/>
      <c r="PXL62"/>
      <c r="PXM62"/>
      <c r="PXN62"/>
      <c r="PXO62"/>
      <c r="PXP62"/>
      <c r="PXQ62"/>
      <c r="PXR62"/>
      <c r="PXS62"/>
      <c r="PXT62"/>
      <c r="PXU62"/>
      <c r="PXV62"/>
      <c r="PXW62"/>
      <c r="PXX62"/>
      <c r="PXY62"/>
      <c r="PXZ62"/>
      <c r="PYA62"/>
      <c r="PYB62"/>
      <c r="PYC62"/>
      <c r="PYD62"/>
      <c r="PYE62"/>
      <c r="PYF62"/>
      <c r="PYG62"/>
      <c r="PYH62"/>
      <c r="PYI62"/>
      <c r="PYJ62"/>
      <c r="PYK62"/>
      <c r="PYL62"/>
      <c r="PYM62"/>
      <c r="PYN62"/>
      <c r="PYO62"/>
      <c r="PYP62"/>
      <c r="PYQ62"/>
      <c r="PYR62"/>
      <c r="PYS62"/>
      <c r="PYT62"/>
      <c r="PYU62"/>
      <c r="PYV62"/>
      <c r="PYW62"/>
      <c r="PYX62"/>
      <c r="PYY62"/>
      <c r="PYZ62"/>
      <c r="PZA62"/>
      <c r="PZB62"/>
      <c r="PZC62"/>
      <c r="PZD62"/>
      <c r="PZE62"/>
      <c r="PZF62"/>
      <c r="PZG62"/>
      <c r="PZH62"/>
      <c r="PZI62"/>
      <c r="PZJ62"/>
      <c r="PZK62"/>
      <c r="PZL62"/>
      <c r="PZM62"/>
      <c r="PZN62"/>
      <c r="PZO62"/>
      <c r="PZP62"/>
      <c r="PZQ62"/>
      <c r="PZR62"/>
      <c r="PZS62"/>
      <c r="PZT62"/>
      <c r="PZU62"/>
      <c r="PZV62"/>
      <c r="PZW62"/>
      <c r="PZX62"/>
      <c r="PZY62"/>
      <c r="PZZ62"/>
      <c r="QAA62"/>
      <c r="QAB62"/>
      <c r="QAC62"/>
      <c r="QAD62"/>
      <c r="QAE62"/>
      <c r="QAF62"/>
      <c r="QAG62"/>
      <c r="QAH62"/>
      <c r="QAI62"/>
      <c r="QAJ62"/>
      <c r="QAK62"/>
      <c r="QAL62"/>
      <c r="QAM62"/>
      <c r="QAN62"/>
      <c r="QAO62"/>
      <c r="QAP62"/>
      <c r="QAQ62"/>
      <c r="QAR62"/>
      <c r="QAS62"/>
      <c r="QAT62"/>
      <c r="QAU62"/>
      <c r="QAV62"/>
      <c r="QAW62"/>
      <c r="QAX62"/>
      <c r="QAY62"/>
      <c r="QAZ62"/>
      <c r="QBA62"/>
      <c r="QBB62"/>
      <c r="QBC62"/>
      <c r="QBD62"/>
      <c r="QBE62"/>
      <c r="QBF62"/>
      <c r="QBG62"/>
      <c r="QBH62"/>
      <c r="QBI62"/>
      <c r="QBJ62"/>
      <c r="QBK62"/>
      <c r="QBL62"/>
      <c r="QBM62"/>
      <c r="QBN62"/>
      <c r="QBO62"/>
      <c r="QBP62"/>
      <c r="QBQ62"/>
      <c r="QBR62"/>
      <c r="QBS62"/>
      <c r="QBT62"/>
      <c r="QBU62"/>
      <c r="QBV62"/>
      <c r="QBW62"/>
      <c r="QBX62"/>
      <c r="QBY62"/>
      <c r="QBZ62"/>
      <c r="QCA62"/>
      <c r="QCB62"/>
      <c r="QCC62"/>
      <c r="QCD62"/>
      <c r="QCE62"/>
      <c r="QCF62"/>
      <c r="QCG62"/>
      <c r="QCH62"/>
      <c r="QCI62"/>
      <c r="QCJ62"/>
      <c r="QCK62"/>
      <c r="QCL62"/>
      <c r="QCM62"/>
      <c r="QCN62"/>
      <c r="QCO62"/>
      <c r="QCP62"/>
      <c r="QCQ62"/>
      <c r="QCR62"/>
      <c r="QCS62"/>
      <c r="QCT62"/>
      <c r="QCU62"/>
      <c r="QCV62"/>
      <c r="QCW62"/>
      <c r="QCX62"/>
      <c r="QCY62"/>
      <c r="QCZ62"/>
      <c r="QDA62"/>
      <c r="QDB62"/>
      <c r="QDC62"/>
      <c r="QDD62"/>
      <c r="QDE62"/>
      <c r="QDF62"/>
      <c r="QDG62"/>
      <c r="QDH62"/>
      <c r="QDI62"/>
      <c r="QDJ62"/>
      <c r="QDK62"/>
      <c r="QDL62"/>
      <c r="QDM62"/>
      <c r="QDN62"/>
      <c r="QDO62"/>
      <c r="QDP62"/>
      <c r="QDQ62"/>
      <c r="QDR62"/>
      <c r="QDS62"/>
      <c r="QDT62"/>
      <c r="QDU62"/>
      <c r="QDV62"/>
      <c r="QDW62"/>
      <c r="QDX62"/>
      <c r="QDY62"/>
      <c r="QDZ62"/>
      <c r="QEA62"/>
      <c r="QEB62"/>
      <c r="QEC62"/>
      <c r="QED62"/>
      <c r="QEE62"/>
      <c r="QEF62"/>
      <c r="QEG62"/>
      <c r="QEH62"/>
      <c r="QEI62"/>
      <c r="QEJ62"/>
      <c r="QEK62"/>
      <c r="QEL62"/>
      <c r="QEM62"/>
      <c r="QEN62"/>
      <c r="QEO62"/>
      <c r="QEP62"/>
      <c r="QEQ62"/>
      <c r="QER62"/>
      <c r="QES62"/>
      <c r="QET62"/>
      <c r="QEU62"/>
      <c r="QEV62"/>
      <c r="QEW62"/>
      <c r="QEX62"/>
      <c r="QEY62"/>
      <c r="QEZ62"/>
      <c r="QFA62"/>
      <c r="QFB62"/>
      <c r="QFC62"/>
      <c r="QFD62"/>
      <c r="QFE62"/>
      <c r="QFF62"/>
      <c r="QFG62"/>
      <c r="QFH62"/>
      <c r="QFI62"/>
      <c r="QFJ62"/>
      <c r="QFK62"/>
      <c r="QFL62"/>
      <c r="QFM62"/>
      <c r="QFN62"/>
      <c r="QFO62"/>
      <c r="QFP62"/>
      <c r="QFQ62"/>
      <c r="QFR62"/>
      <c r="QFS62"/>
      <c r="QFT62"/>
      <c r="QFU62"/>
      <c r="QFV62"/>
      <c r="QFW62"/>
      <c r="QFX62"/>
      <c r="QFY62"/>
      <c r="QFZ62"/>
      <c r="QGA62"/>
      <c r="QGB62"/>
      <c r="QGC62"/>
      <c r="QGD62"/>
      <c r="QGE62"/>
      <c r="QGF62"/>
      <c r="QGG62"/>
      <c r="QGH62"/>
      <c r="QGI62"/>
      <c r="QGJ62"/>
      <c r="QGK62"/>
      <c r="QGL62"/>
      <c r="QGM62"/>
      <c r="QGN62"/>
      <c r="QGO62"/>
      <c r="QGP62"/>
      <c r="QGQ62"/>
      <c r="QGR62"/>
      <c r="QGS62"/>
      <c r="QGT62"/>
      <c r="QGU62"/>
      <c r="QGV62"/>
      <c r="QGW62"/>
      <c r="QGX62"/>
      <c r="QGY62"/>
      <c r="QGZ62"/>
      <c r="QHA62"/>
      <c r="QHB62"/>
      <c r="QHC62"/>
      <c r="QHD62"/>
      <c r="QHE62"/>
      <c r="QHF62"/>
      <c r="QHG62"/>
      <c r="QHH62"/>
      <c r="QHI62"/>
      <c r="QHJ62"/>
      <c r="QHK62"/>
      <c r="QHL62"/>
      <c r="QHM62"/>
      <c r="QHN62"/>
      <c r="QHO62"/>
      <c r="QHP62"/>
      <c r="QHQ62"/>
      <c r="QHR62"/>
      <c r="QHS62"/>
      <c r="QHT62"/>
      <c r="QHU62"/>
      <c r="QHV62"/>
      <c r="QHW62"/>
      <c r="QHX62"/>
      <c r="QHY62"/>
      <c r="QHZ62"/>
      <c r="QIA62"/>
      <c r="QIB62"/>
      <c r="QIC62"/>
      <c r="QID62"/>
      <c r="QIE62"/>
      <c r="QIF62"/>
      <c r="QIG62"/>
      <c r="QIH62"/>
      <c r="QII62"/>
      <c r="QIJ62"/>
      <c r="QIK62"/>
      <c r="QIL62"/>
      <c r="QIM62"/>
      <c r="QIN62"/>
      <c r="QIO62"/>
      <c r="QIP62"/>
      <c r="QIQ62"/>
      <c r="QIR62"/>
      <c r="QIS62"/>
      <c r="QIT62"/>
      <c r="QIU62"/>
      <c r="QIV62"/>
      <c r="QIW62"/>
      <c r="QIX62"/>
      <c r="QIY62"/>
      <c r="QIZ62"/>
      <c r="QJA62"/>
      <c r="QJB62"/>
      <c r="QJC62"/>
      <c r="QJD62"/>
      <c r="QJE62"/>
      <c r="QJF62"/>
      <c r="QJG62"/>
      <c r="QJH62"/>
      <c r="QJI62"/>
      <c r="QJJ62"/>
      <c r="QJK62"/>
      <c r="QJL62"/>
      <c r="QJM62"/>
      <c r="QJN62"/>
      <c r="QJO62"/>
      <c r="QJP62"/>
      <c r="QJQ62"/>
      <c r="QJR62"/>
      <c r="QJS62"/>
      <c r="QJT62"/>
      <c r="QJU62"/>
      <c r="QJV62"/>
      <c r="QJW62"/>
      <c r="QJX62"/>
      <c r="QJY62"/>
      <c r="QJZ62"/>
      <c r="QKA62"/>
      <c r="QKB62"/>
      <c r="QKC62"/>
      <c r="QKD62"/>
      <c r="QKE62"/>
      <c r="QKF62"/>
      <c r="QKG62"/>
      <c r="QKH62"/>
      <c r="QKI62"/>
      <c r="QKJ62"/>
      <c r="QKK62"/>
      <c r="QKL62"/>
      <c r="QKM62"/>
      <c r="QKN62"/>
      <c r="QKO62"/>
      <c r="QKP62"/>
      <c r="QKQ62"/>
      <c r="QKR62"/>
      <c r="QKS62"/>
      <c r="QKT62"/>
      <c r="QKU62"/>
      <c r="QKV62"/>
      <c r="QKW62"/>
      <c r="QKX62"/>
      <c r="QKY62"/>
      <c r="QKZ62"/>
      <c r="QLA62"/>
      <c r="QLB62"/>
      <c r="QLC62"/>
      <c r="QLD62"/>
      <c r="QLE62"/>
      <c r="QLF62"/>
      <c r="QLG62"/>
      <c r="QLH62"/>
      <c r="QLI62"/>
      <c r="QLJ62"/>
      <c r="QLK62"/>
      <c r="QLL62"/>
      <c r="QLM62"/>
      <c r="QLN62"/>
      <c r="QLO62"/>
      <c r="QLP62"/>
      <c r="QLQ62"/>
      <c r="QLR62"/>
      <c r="QLS62"/>
      <c r="QLT62"/>
      <c r="QLU62"/>
      <c r="QLV62"/>
      <c r="QLW62"/>
      <c r="QLX62"/>
      <c r="QLY62"/>
      <c r="QLZ62"/>
      <c r="QMA62"/>
      <c r="QMB62"/>
      <c r="QMC62"/>
      <c r="QMD62"/>
      <c r="QME62"/>
      <c r="QMF62"/>
      <c r="QMG62"/>
      <c r="QMH62"/>
      <c r="QMI62"/>
      <c r="QMJ62"/>
      <c r="QMK62"/>
      <c r="QML62"/>
      <c r="QMM62"/>
      <c r="QMN62"/>
      <c r="QMO62"/>
      <c r="QMP62"/>
      <c r="QMQ62"/>
      <c r="QMR62"/>
      <c r="QMS62"/>
      <c r="QMT62"/>
      <c r="QMU62"/>
      <c r="QMV62"/>
      <c r="QMW62"/>
      <c r="QMX62"/>
      <c r="QMY62"/>
      <c r="QMZ62"/>
      <c r="QNA62"/>
      <c r="QNB62"/>
      <c r="QNC62"/>
      <c r="QND62"/>
      <c r="QNE62"/>
      <c r="QNF62"/>
      <c r="QNG62"/>
      <c r="QNH62"/>
      <c r="QNI62"/>
      <c r="QNJ62"/>
      <c r="QNK62"/>
      <c r="QNL62"/>
      <c r="QNM62"/>
      <c r="QNN62"/>
      <c r="QNO62"/>
      <c r="QNP62"/>
      <c r="QNQ62"/>
      <c r="QNR62"/>
      <c r="QNS62"/>
      <c r="QNT62"/>
      <c r="QNU62"/>
      <c r="QNV62"/>
      <c r="QNW62"/>
      <c r="QNX62"/>
      <c r="QNY62"/>
      <c r="QNZ62"/>
      <c r="QOA62"/>
      <c r="QOB62"/>
      <c r="QOC62"/>
      <c r="QOD62"/>
      <c r="QOE62"/>
      <c r="QOF62"/>
      <c r="QOG62"/>
      <c r="QOH62"/>
      <c r="QOI62"/>
      <c r="QOJ62"/>
      <c r="QOK62"/>
      <c r="QOL62"/>
      <c r="QOM62"/>
      <c r="QON62"/>
      <c r="QOO62"/>
      <c r="QOP62"/>
      <c r="QOQ62"/>
      <c r="QOR62"/>
      <c r="QOS62"/>
      <c r="QOT62"/>
      <c r="QOU62"/>
      <c r="QOV62"/>
      <c r="QOW62"/>
      <c r="QOX62"/>
      <c r="QOY62"/>
      <c r="QOZ62"/>
      <c r="QPA62"/>
      <c r="QPB62"/>
      <c r="QPC62"/>
      <c r="QPD62"/>
      <c r="QPE62"/>
      <c r="QPF62"/>
      <c r="QPG62"/>
      <c r="QPH62"/>
      <c r="QPI62"/>
      <c r="QPJ62"/>
      <c r="QPK62"/>
      <c r="QPL62"/>
      <c r="QPM62"/>
      <c r="QPN62"/>
      <c r="QPO62"/>
      <c r="QPP62"/>
      <c r="QPQ62"/>
      <c r="QPR62"/>
      <c r="QPS62"/>
      <c r="QPT62"/>
      <c r="QPU62"/>
      <c r="QPV62"/>
      <c r="QPW62"/>
      <c r="QPX62"/>
      <c r="QPY62"/>
      <c r="QPZ62"/>
      <c r="QQA62"/>
      <c r="QQB62"/>
      <c r="QQC62"/>
      <c r="QQD62"/>
      <c r="QQE62"/>
      <c r="QQF62"/>
      <c r="QQG62"/>
      <c r="QQH62"/>
      <c r="QQI62"/>
      <c r="QQJ62"/>
      <c r="QQK62"/>
      <c r="QQL62"/>
      <c r="QQM62"/>
      <c r="QQN62"/>
      <c r="QQO62"/>
      <c r="QQP62"/>
      <c r="QQQ62"/>
      <c r="QQR62"/>
      <c r="QQS62"/>
      <c r="QQT62"/>
      <c r="QQU62"/>
      <c r="QQV62"/>
      <c r="QQW62"/>
      <c r="QQX62"/>
      <c r="QQY62"/>
      <c r="QQZ62"/>
      <c r="QRA62"/>
      <c r="QRB62"/>
      <c r="QRC62"/>
      <c r="QRD62"/>
      <c r="QRE62"/>
      <c r="QRF62"/>
      <c r="QRG62"/>
      <c r="QRH62"/>
      <c r="QRI62"/>
      <c r="QRJ62"/>
      <c r="QRK62"/>
      <c r="QRL62"/>
      <c r="QRM62"/>
      <c r="QRN62"/>
      <c r="QRO62"/>
      <c r="QRP62"/>
      <c r="QRQ62"/>
      <c r="QRR62"/>
      <c r="QRS62"/>
      <c r="QRT62"/>
      <c r="QRU62"/>
      <c r="QRV62"/>
      <c r="QRW62"/>
      <c r="QRX62"/>
      <c r="QRY62"/>
      <c r="QRZ62"/>
      <c r="QSA62"/>
      <c r="QSB62"/>
      <c r="QSC62"/>
      <c r="QSD62"/>
      <c r="QSE62"/>
      <c r="QSF62"/>
      <c r="QSG62"/>
      <c r="QSH62"/>
      <c r="QSI62"/>
      <c r="QSJ62"/>
      <c r="QSK62"/>
      <c r="QSL62"/>
      <c r="QSM62"/>
      <c r="QSN62"/>
      <c r="QSO62"/>
      <c r="QSP62"/>
      <c r="QSQ62"/>
      <c r="QSR62"/>
      <c r="QSS62"/>
      <c r="QST62"/>
      <c r="QSU62"/>
      <c r="QSV62"/>
      <c r="QSW62"/>
      <c r="QSX62"/>
      <c r="QSY62"/>
      <c r="QSZ62"/>
      <c r="QTA62"/>
      <c r="QTB62"/>
      <c r="QTC62"/>
      <c r="QTD62"/>
      <c r="QTE62"/>
      <c r="QTF62"/>
      <c r="QTG62"/>
      <c r="QTH62"/>
      <c r="QTI62"/>
      <c r="QTJ62"/>
      <c r="QTK62"/>
      <c r="QTL62"/>
      <c r="QTM62"/>
      <c r="QTN62"/>
      <c r="QTO62"/>
      <c r="QTP62"/>
      <c r="QTQ62"/>
      <c r="QTR62"/>
      <c r="QTS62"/>
      <c r="QTT62"/>
      <c r="QTU62"/>
      <c r="QTV62"/>
      <c r="QTW62"/>
      <c r="QTX62"/>
      <c r="QTY62"/>
      <c r="QTZ62"/>
      <c r="QUA62"/>
      <c r="QUB62"/>
      <c r="QUC62"/>
      <c r="QUD62"/>
      <c r="QUE62"/>
      <c r="QUF62"/>
      <c r="QUG62"/>
      <c r="QUH62"/>
      <c r="QUI62"/>
      <c r="QUJ62"/>
      <c r="QUK62"/>
      <c r="QUL62"/>
      <c r="QUM62"/>
      <c r="QUN62"/>
      <c r="QUO62"/>
      <c r="QUP62"/>
      <c r="QUQ62"/>
      <c r="QUR62"/>
      <c r="QUS62"/>
      <c r="QUT62"/>
      <c r="QUU62"/>
      <c r="QUV62"/>
      <c r="QUW62"/>
      <c r="QUX62"/>
      <c r="QUY62"/>
      <c r="QUZ62"/>
      <c r="QVA62"/>
      <c r="QVB62"/>
      <c r="QVC62"/>
      <c r="QVD62"/>
      <c r="QVE62"/>
      <c r="QVF62"/>
      <c r="QVG62"/>
      <c r="QVH62"/>
      <c r="QVI62"/>
      <c r="QVJ62"/>
      <c r="QVK62"/>
      <c r="QVL62"/>
      <c r="QVM62"/>
      <c r="QVN62"/>
      <c r="QVO62"/>
      <c r="QVP62"/>
      <c r="QVQ62"/>
      <c r="QVR62"/>
      <c r="QVS62"/>
      <c r="QVT62"/>
      <c r="QVU62"/>
      <c r="QVV62"/>
      <c r="QVW62"/>
      <c r="QVX62"/>
      <c r="QVY62"/>
      <c r="QVZ62"/>
      <c r="QWA62"/>
      <c r="QWB62"/>
      <c r="QWC62"/>
      <c r="QWD62"/>
      <c r="QWE62"/>
      <c r="QWF62"/>
      <c r="QWG62"/>
      <c r="QWH62"/>
      <c r="QWI62"/>
      <c r="QWJ62"/>
      <c r="QWK62"/>
      <c r="QWL62"/>
      <c r="QWM62"/>
      <c r="QWN62"/>
      <c r="QWO62"/>
      <c r="QWP62"/>
      <c r="QWQ62"/>
      <c r="QWR62"/>
      <c r="QWS62"/>
      <c r="QWT62"/>
      <c r="QWU62"/>
      <c r="QWV62"/>
      <c r="QWW62"/>
      <c r="QWX62"/>
      <c r="QWY62"/>
      <c r="QWZ62"/>
      <c r="QXA62"/>
      <c r="QXB62"/>
      <c r="QXC62"/>
      <c r="QXD62"/>
      <c r="QXE62"/>
      <c r="QXF62"/>
      <c r="QXG62"/>
      <c r="QXH62"/>
      <c r="QXI62"/>
      <c r="QXJ62"/>
      <c r="QXK62"/>
      <c r="QXL62"/>
      <c r="QXM62"/>
      <c r="QXN62"/>
      <c r="QXO62"/>
      <c r="QXP62"/>
      <c r="QXQ62"/>
      <c r="QXR62"/>
      <c r="QXS62"/>
      <c r="QXT62"/>
      <c r="QXU62"/>
      <c r="QXV62"/>
      <c r="QXW62"/>
      <c r="QXX62"/>
      <c r="QXY62"/>
      <c r="QXZ62"/>
      <c r="QYA62"/>
      <c r="QYB62"/>
      <c r="QYC62"/>
      <c r="QYD62"/>
      <c r="QYE62"/>
      <c r="QYF62"/>
      <c r="QYG62"/>
      <c r="QYH62"/>
      <c r="QYI62"/>
      <c r="QYJ62"/>
      <c r="QYK62"/>
      <c r="QYL62"/>
      <c r="QYM62"/>
      <c r="QYN62"/>
      <c r="QYO62"/>
      <c r="QYP62"/>
      <c r="QYQ62"/>
      <c r="QYR62"/>
      <c r="QYS62"/>
      <c r="QYT62"/>
      <c r="QYU62"/>
      <c r="QYV62"/>
      <c r="QYW62"/>
      <c r="QYX62"/>
      <c r="QYY62"/>
      <c r="QYZ62"/>
      <c r="QZA62"/>
      <c r="QZB62"/>
      <c r="QZC62"/>
      <c r="QZD62"/>
      <c r="QZE62"/>
      <c r="QZF62"/>
      <c r="QZG62"/>
      <c r="QZH62"/>
      <c r="QZI62"/>
      <c r="QZJ62"/>
      <c r="QZK62"/>
      <c r="QZL62"/>
      <c r="QZM62"/>
      <c r="QZN62"/>
      <c r="QZO62"/>
      <c r="QZP62"/>
      <c r="QZQ62"/>
      <c r="QZR62"/>
      <c r="QZS62"/>
      <c r="QZT62"/>
      <c r="QZU62"/>
      <c r="QZV62"/>
      <c r="QZW62"/>
      <c r="QZX62"/>
      <c r="QZY62"/>
      <c r="QZZ62"/>
      <c r="RAA62"/>
      <c r="RAB62"/>
      <c r="RAC62"/>
      <c r="RAD62"/>
      <c r="RAE62"/>
      <c r="RAF62"/>
      <c r="RAG62"/>
      <c r="RAH62"/>
      <c r="RAI62"/>
      <c r="RAJ62"/>
      <c r="RAK62"/>
      <c r="RAL62"/>
      <c r="RAM62"/>
      <c r="RAN62"/>
      <c r="RAO62"/>
      <c r="RAP62"/>
      <c r="RAQ62"/>
      <c r="RAR62"/>
      <c r="RAS62"/>
      <c r="RAT62"/>
      <c r="RAU62"/>
      <c r="RAV62"/>
      <c r="RAW62"/>
      <c r="RAX62"/>
      <c r="RAY62"/>
      <c r="RAZ62"/>
      <c r="RBA62"/>
      <c r="RBB62"/>
      <c r="RBC62"/>
      <c r="RBD62"/>
      <c r="RBE62"/>
      <c r="RBF62"/>
      <c r="RBG62"/>
      <c r="RBH62"/>
      <c r="RBI62"/>
      <c r="RBJ62"/>
      <c r="RBK62"/>
      <c r="RBL62"/>
      <c r="RBM62"/>
      <c r="RBN62"/>
      <c r="RBO62"/>
      <c r="RBP62"/>
      <c r="RBQ62"/>
      <c r="RBR62"/>
      <c r="RBS62"/>
      <c r="RBT62"/>
      <c r="RBU62"/>
      <c r="RBV62"/>
      <c r="RBW62"/>
      <c r="RBX62"/>
      <c r="RBY62"/>
      <c r="RBZ62"/>
      <c r="RCA62"/>
      <c r="RCB62"/>
      <c r="RCC62"/>
      <c r="RCD62"/>
      <c r="RCE62"/>
      <c r="RCF62"/>
      <c r="RCG62"/>
      <c r="RCH62"/>
      <c r="RCI62"/>
      <c r="RCJ62"/>
      <c r="RCK62"/>
      <c r="RCL62"/>
      <c r="RCM62"/>
      <c r="RCN62"/>
      <c r="RCO62"/>
      <c r="RCP62"/>
      <c r="RCQ62"/>
      <c r="RCR62"/>
      <c r="RCS62"/>
      <c r="RCT62"/>
      <c r="RCU62"/>
      <c r="RCV62"/>
      <c r="RCW62"/>
      <c r="RCX62"/>
      <c r="RCY62"/>
      <c r="RCZ62"/>
      <c r="RDA62"/>
      <c r="RDB62"/>
      <c r="RDC62"/>
      <c r="RDD62"/>
      <c r="RDE62"/>
      <c r="RDF62"/>
      <c r="RDG62"/>
      <c r="RDH62"/>
      <c r="RDI62"/>
      <c r="RDJ62"/>
      <c r="RDK62"/>
      <c r="RDL62"/>
      <c r="RDM62"/>
      <c r="RDN62"/>
      <c r="RDO62"/>
      <c r="RDP62"/>
      <c r="RDQ62"/>
      <c r="RDR62"/>
      <c r="RDS62"/>
      <c r="RDT62"/>
      <c r="RDU62"/>
      <c r="RDV62"/>
      <c r="RDW62"/>
      <c r="RDX62"/>
      <c r="RDY62"/>
      <c r="RDZ62"/>
      <c r="REA62"/>
      <c r="REB62"/>
      <c r="REC62"/>
      <c r="RED62"/>
      <c r="REE62"/>
      <c r="REF62"/>
      <c r="REG62"/>
      <c r="REH62"/>
      <c r="REI62"/>
      <c r="REJ62"/>
      <c r="REK62"/>
      <c r="REL62"/>
      <c r="REM62"/>
      <c r="REN62"/>
      <c r="REO62"/>
      <c r="REP62"/>
      <c r="REQ62"/>
      <c r="RER62"/>
      <c r="RES62"/>
      <c r="RET62"/>
      <c r="REU62"/>
      <c r="REV62"/>
      <c r="REW62"/>
      <c r="REX62"/>
      <c r="REY62"/>
      <c r="REZ62"/>
      <c r="RFA62"/>
      <c r="RFB62"/>
      <c r="RFC62"/>
      <c r="RFD62"/>
      <c r="RFE62"/>
      <c r="RFF62"/>
      <c r="RFG62"/>
      <c r="RFH62"/>
      <c r="RFI62"/>
      <c r="RFJ62"/>
      <c r="RFK62"/>
      <c r="RFL62"/>
      <c r="RFM62"/>
      <c r="RFN62"/>
      <c r="RFO62"/>
      <c r="RFP62"/>
      <c r="RFQ62"/>
      <c r="RFR62"/>
      <c r="RFS62"/>
      <c r="RFT62"/>
      <c r="RFU62"/>
      <c r="RFV62"/>
      <c r="RFW62"/>
      <c r="RFX62"/>
      <c r="RFY62"/>
      <c r="RFZ62"/>
      <c r="RGA62"/>
      <c r="RGB62"/>
      <c r="RGC62"/>
      <c r="RGD62"/>
      <c r="RGE62"/>
      <c r="RGF62"/>
      <c r="RGG62"/>
      <c r="RGH62"/>
      <c r="RGI62"/>
      <c r="RGJ62"/>
      <c r="RGK62"/>
      <c r="RGL62"/>
      <c r="RGM62"/>
      <c r="RGN62"/>
      <c r="RGO62"/>
      <c r="RGP62"/>
      <c r="RGQ62"/>
      <c r="RGR62"/>
      <c r="RGS62"/>
      <c r="RGT62"/>
      <c r="RGU62"/>
      <c r="RGV62"/>
      <c r="RGW62"/>
      <c r="RGX62"/>
      <c r="RGY62"/>
      <c r="RGZ62"/>
      <c r="RHA62"/>
      <c r="RHB62"/>
      <c r="RHC62"/>
      <c r="RHD62"/>
      <c r="RHE62"/>
      <c r="RHF62"/>
      <c r="RHG62"/>
      <c r="RHH62"/>
      <c r="RHI62"/>
      <c r="RHJ62"/>
      <c r="RHK62"/>
      <c r="RHL62"/>
      <c r="RHM62"/>
      <c r="RHN62"/>
      <c r="RHO62"/>
      <c r="RHP62"/>
      <c r="RHQ62"/>
      <c r="RHR62"/>
      <c r="RHS62"/>
      <c r="RHT62"/>
      <c r="RHU62"/>
      <c r="RHV62"/>
      <c r="RHW62"/>
      <c r="RHX62"/>
      <c r="RHY62"/>
      <c r="RHZ62"/>
      <c r="RIA62"/>
      <c r="RIB62"/>
      <c r="RIC62"/>
      <c r="RID62"/>
      <c r="RIE62"/>
      <c r="RIF62"/>
      <c r="RIG62"/>
      <c r="RIH62"/>
      <c r="RII62"/>
      <c r="RIJ62"/>
      <c r="RIK62"/>
      <c r="RIL62"/>
      <c r="RIM62"/>
      <c r="RIN62"/>
      <c r="RIO62"/>
      <c r="RIP62"/>
      <c r="RIQ62"/>
      <c r="RIR62"/>
      <c r="RIS62"/>
      <c r="RIT62"/>
      <c r="RIU62"/>
      <c r="RIV62"/>
      <c r="RIW62"/>
      <c r="RIX62"/>
      <c r="RIY62"/>
      <c r="RIZ62"/>
      <c r="RJA62"/>
      <c r="RJB62"/>
      <c r="RJC62"/>
      <c r="RJD62"/>
      <c r="RJE62"/>
      <c r="RJF62"/>
      <c r="RJG62"/>
      <c r="RJH62"/>
      <c r="RJI62"/>
      <c r="RJJ62"/>
      <c r="RJK62"/>
      <c r="RJL62"/>
      <c r="RJM62"/>
      <c r="RJN62"/>
      <c r="RJO62"/>
      <c r="RJP62"/>
      <c r="RJQ62"/>
      <c r="RJR62"/>
      <c r="RJS62"/>
      <c r="RJT62"/>
      <c r="RJU62"/>
      <c r="RJV62"/>
      <c r="RJW62"/>
      <c r="RJX62"/>
      <c r="RJY62"/>
      <c r="RJZ62"/>
      <c r="RKA62"/>
      <c r="RKB62"/>
      <c r="RKC62"/>
      <c r="RKD62"/>
      <c r="RKE62"/>
      <c r="RKF62"/>
      <c r="RKG62"/>
      <c r="RKH62"/>
      <c r="RKI62"/>
      <c r="RKJ62"/>
      <c r="RKK62"/>
      <c r="RKL62"/>
      <c r="RKM62"/>
      <c r="RKN62"/>
      <c r="RKO62"/>
      <c r="RKP62"/>
      <c r="RKQ62"/>
      <c r="RKR62"/>
      <c r="RKS62"/>
      <c r="RKT62"/>
      <c r="RKU62"/>
      <c r="RKV62"/>
      <c r="RKW62"/>
      <c r="RKX62"/>
      <c r="RKY62"/>
      <c r="RKZ62"/>
      <c r="RLA62"/>
      <c r="RLB62"/>
      <c r="RLC62"/>
      <c r="RLD62"/>
      <c r="RLE62"/>
      <c r="RLF62"/>
      <c r="RLG62"/>
      <c r="RLH62"/>
      <c r="RLI62"/>
      <c r="RLJ62"/>
      <c r="RLK62"/>
      <c r="RLL62"/>
      <c r="RLM62"/>
      <c r="RLN62"/>
      <c r="RLO62"/>
      <c r="RLP62"/>
      <c r="RLQ62"/>
      <c r="RLR62"/>
      <c r="RLS62"/>
      <c r="RLT62"/>
      <c r="RLU62"/>
      <c r="RLV62"/>
      <c r="RLW62"/>
      <c r="RLX62"/>
      <c r="RLY62"/>
      <c r="RLZ62"/>
      <c r="RMA62"/>
      <c r="RMB62"/>
      <c r="RMC62"/>
      <c r="RMD62"/>
      <c r="RME62"/>
      <c r="RMF62"/>
      <c r="RMG62"/>
      <c r="RMH62"/>
      <c r="RMI62"/>
      <c r="RMJ62"/>
      <c r="RMK62"/>
      <c r="RML62"/>
      <c r="RMM62"/>
      <c r="RMN62"/>
      <c r="RMO62"/>
      <c r="RMP62"/>
      <c r="RMQ62"/>
      <c r="RMR62"/>
      <c r="RMS62"/>
      <c r="RMT62"/>
      <c r="RMU62"/>
      <c r="RMV62"/>
      <c r="RMW62"/>
      <c r="RMX62"/>
      <c r="RMY62"/>
      <c r="RMZ62"/>
      <c r="RNA62"/>
      <c r="RNB62"/>
      <c r="RNC62"/>
      <c r="RND62"/>
      <c r="RNE62"/>
      <c r="RNF62"/>
      <c r="RNG62"/>
      <c r="RNH62"/>
      <c r="RNI62"/>
      <c r="RNJ62"/>
      <c r="RNK62"/>
      <c r="RNL62"/>
      <c r="RNM62"/>
      <c r="RNN62"/>
      <c r="RNO62"/>
      <c r="RNP62"/>
      <c r="RNQ62"/>
      <c r="RNR62"/>
      <c r="RNS62"/>
      <c r="RNT62"/>
      <c r="RNU62"/>
      <c r="RNV62"/>
      <c r="RNW62"/>
      <c r="RNX62"/>
      <c r="RNY62"/>
      <c r="RNZ62"/>
      <c r="ROA62"/>
      <c r="ROB62"/>
      <c r="ROC62"/>
      <c r="ROD62"/>
      <c r="ROE62"/>
      <c r="ROF62"/>
      <c r="ROG62"/>
      <c r="ROH62"/>
      <c r="ROI62"/>
      <c r="ROJ62"/>
      <c r="ROK62"/>
      <c r="ROL62"/>
      <c r="ROM62"/>
      <c r="RON62"/>
      <c r="ROO62"/>
      <c r="ROP62"/>
      <c r="ROQ62"/>
      <c r="ROR62"/>
      <c r="ROS62"/>
      <c r="ROT62"/>
      <c r="ROU62"/>
      <c r="ROV62"/>
      <c r="ROW62"/>
      <c r="ROX62"/>
      <c r="ROY62"/>
      <c r="ROZ62"/>
      <c r="RPA62"/>
      <c r="RPB62"/>
      <c r="RPC62"/>
      <c r="RPD62"/>
      <c r="RPE62"/>
      <c r="RPF62"/>
      <c r="RPG62"/>
      <c r="RPH62"/>
      <c r="RPI62"/>
      <c r="RPJ62"/>
      <c r="RPK62"/>
      <c r="RPL62"/>
      <c r="RPM62"/>
      <c r="RPN62"/>
      <c r="RPO62"/>
      <c r="RPP62"/>
      <c r="RPQ62"/>
      <c r="RPR62"/>
      <c r="RPS62"/>
      <c r="RPT62"/>
      <c r="RPU62"/>
      <c r="RPV62"/>
      <c r="RPW62"/>
      <c r="RPX62"/>
      <c r="RPY62"/>
      <c r="RPZ62"/>
      <c r="RQA62"/>
      <c r="RQB62"/>
      <c r="RQC62"/>
      <c r="RQD62"/>
      <c r="RQE62"/>
      <c r="RQF62"/>
      <c r="RQG62"/>
      <c r="RQH62"/>
      <c r="RQI62"/>
      <c r="RQJ62"/>
      <c r="RQK62"/>
      <c r="RQL62"/>
      <c r="RQM62"/>
      <c r="RQN62"/>
      <c r="RQO62"/>
      <c r="RQP62"/>
      <c r="RQQ62"/>
      <c r="RQR62"/>
      <c r="RQS62"/>
      <c r="RQT62"/>
      <c r="RQU62"/>
      <c r="RQV62"/>
      <c r="RQW62"/>
      <c r="RQX62"/>
      <c r="RQY62"/>
      <c r="RQZ62"/>
      <c r="RRA62"/>
      <c r="RRB62"/>
      <c r="RRC62"/>
      <c r="RRD62"/>
      <c r="RRE62"/>
      <c r="RRF62"/>
      <c r="RRG62"/>
      <c r="RRH62"/>
      <c r="RRI62"/>
      <c r="RRJ62"/>
      <c r="RRK62"/>
      <c r="RRL62"/>
      <c r="RRM62"/>
      <c r="RRN62"/>
      <c r="RRO62"/>
      <c r="RRP62"/>
      <c r="RRQ62"/>
      <c r="RRR62"/>
      <c r="RRS62"/>
      <c r="RRT62"/>
      <c r="RRU62"/>
      <c r="RRV62"/>
      <c r="RRW62"/>
      <c r="RRX62"/>
      <c r="RRY62"/>
      <c r="RRZ62"/>
      <c r="RSA62"/>
      <c r="RSB62"/>
      <c r="RSC62"/>
      <c r="RSD62"/>
      <c r="RSE62"/>
      <c r="RSF62"/>
      <c r="RSG62"/>
      <c r="RSH62"/>
      <c r="RSI62"/>
      <c r="RSJ62"/>
      <c r="RSK62"/>
      <c r="RSL62"/>
      <c r="RSM62"/>
      <c r="RSN62"/>
      <c r="RSO62"/>
      <c r="RSP62"/>
      <c r="RSQ62"/>
      <c r="RSR62"/>
      <c r="RSS62"/>
      <c r="RST62"/>
      <c r="RSU62"/>
      <c r="RSV62"/>
      <c r="RSW62"/>
      <c r="RSX62"/>
      <c r="RSY62"/>
      <c r="RSZ62"/>
      <c r="RTA62"/>
      <c r="RTB62"/>
      <c r="RTC62"/>
      <c r="RTD62"/>
      <c r="RTE62"/>
      <c r="RTF62"/>
      <c r="RTG62"/>
      <c r="RTH62"/>
      <c r="RTI62"/>
      <c r="RTJ62"/>
      <c r="RTK62"/>
      <c r="RTL62"/>
      <c r="RTM62"/>
      <c r="RTN62"/>
      <c r="RTO62"/>
      <c r="RTP62"/>
      <c r="RTQ62"/>
      <c r="RTR62"/>
      <c r="RTS62"/>
      <c r="RTT62"/>
      <c r="RTU62"/>
      <c r="RTV62"/>
      <c r="RTW62"/>
      <c r="RTX62"/>
      <c r="RTY62"/>
      <c r="RTZ62"/>
      <c r="RUA62"/>
      <c r="RUB62"/>
      <c r="RUC62"/>
      <c r="RUD62"/>
      <c r="RUE62"/>
      <c r="RUF62"/>
      <c r="RUG62"/>
      <c r="RUH62"/>
      <c r="RUI62"/>
      <c r="RUJ62"/>
      <c r="RUK62"/>
      <c r="RUL62"/>
      <c r="RUM62"/>
      <c r="RUN62"/>
      <c r="RUO62"/>
      <c r="RUP62"/>
      <c r="RUQ62"/>
      <c r="RUR62"/>
      <c r="RUS62"/>
      <c r="RUT62"/>
      <c r="RUU62"/>
      <c r="RUV62"/>
      <c r="RUW62"/>
      <c r="RUX62"/>
      <c r="RUY62"/>
      <c r="RUZ62"/>
      <c r="RVA62"/>
      <c r="RVB62"/>
      <c r="RVC62"/>
      <c r="RVD62"/>
      <c r="RVE62"/>
      <c r="RVF62"/>
      <c r="RVG62"/>
      <c r="RVH62"/>
      <c r="RVI62"/>
      <c r="RVJ62"/>
      <c r="RVK62"/>
      <c r="RVL62"/>
      <c r="RVM62"/>
      <c r="RVN62"/>
      <c r="RVO62"/>
      <c r="RVP62"/>
      <c r="RVQ62"/>
      <c r="RVR62"/>
      <c r="RVS62"/>
      <c r="RVT62"/>
      <c r="RVU62"/>
      <c r="RVV62"/>
      <c r="RVW62"/>
      <c r="RVX62"/>
      <c r="RVY62"/>
      <c r="RVZ62"/>
      <c r="RWA62"/>
      <c r="RWB62"/>
      <c r="RWC62"/>
      <c r="RWD62"/>
      <c r="RWE62"/>
      <c r="RWF62"/>
      <c r="RWG62"/>
      <c r="RWH62"/>
      <c r="RWI62"/>
      <c r="RWJ62"/>
      <c r="RWK62"/>
      <c r="RWL62"/>
      <c r="RWM62"/>
      <c r="RWN62"/>
      <c r="RWO62"/>
      <c r="RWP62"/>
      <c r="RWQ62"/>
      <c r="RWR62"/>
      <c r="RWS62"/>
      <c r="RWT62"/>
      <c r="RWU62"/>
      <c r="RWV62"/>
      <c r="RWW62"/>
      <c r="RWX62"/>
      <c r="RWY62"/>
      <c r="RWZ62"/>
      <c r="RXA62"/>
      <c r="RXB62"/>
      <c r="RXC62"/>
      <c r="RXD62"/>
      <c r="RXE62"/>
      <c r="RXF62"/>
      <c r="RXG62"/>
      <c r="RXH62"/>
      <c r="RXI62"/>
      <c r="RXJ62"/>
      <c r="RXK62"/>
      <c r="RXL62"/>
      <c r="RXM62"/>
      <c r="RXN62"/>
      <c r="RXO62"/>
      <c r="RXP62"/>
      <c r="RXQ62"/>
      <c r="RXR62"/>
      <c r="RXS62"/>
      <c r="RXT62"/>
      <c r="RXU62"/>
      <c r="RXV62"/>
      <c r="RXW62"/>
      <c r="RXX62"/>
      <c r="RXY62"/>
      <c r="RXZ62"/>
      <c r="RYA62"/>
      <c r="RYB62"/>
      <c r="RYC62"/>
      <c r="RYD62"/>
      <c r="RYE62"/>
      <c r="RYF62"/>
      <c r="RYG62"/>
      <c r="RYH62"/>
      <c r="RYI62"/>
      <c r="RYJ62"/>
      <c r="RYK62"/>
      <c r="RYL62"/>
      <c r="RYM62"/>
      <c r="RYN62"/>
      <c r="RYO62"/>
      <c r="RYP62"/>
      <c r="RYQ62"/>
      <c r="RYR62"/>
      <c r="RYS62"/>
      <c r="RYT62"/>
      <c r="RYU62"/>
      <c r="RYV62"/>
      <c r="RYW62"/>
      <c r="RYX62"/>
      <c r="RYY62"/>
      <c r="RYZ62"/>
      <c r="RZA62"/>
      <c r="RZB62"/>
      <c r="RZC62"/>
      <c r="RZD62"/>
      <c r="RZE62"/>
      <c r="RZF62"/>
      <c r="RZG62"/>
      <c r="RZH62"/>
      <c r="RZI62"/>
      <c r="RZJ62"/>
      <c r="RZK62"/>
      <c r="RZL62"/>
      <c r="RZM62"/>
      <c r="RZN62"/>
      <c r="RZO62"/>
      <c r="RZP62"/>
      <c r="RZQ62"/>
      <c r="RZR62"/>
      <c r="RZS62"/>
      <c r="RZT62"/>
      <c r="RZU62"/>
      <c r="RZV62"/>
      <c r="RZW62"/>
      <c r="RZX62"/>
      <c r="RZY62"/>
      <c r="RZZ62"/>
      <c r="SAA62"/>
      <c r="SAB62"/>
      <c r="SAC62"/>
      <c r="SAD62"/>
      <c r="SAE62"/>
      <c r="SAF62"/>
      <c r="SAG62"/>
      <c r="SAH62"/>
      <c r="SAI62"/>
      <c r="SAJ62"/>
      <c r="SAK62"/>
      <c r="SAL62"/>
      <c r="SAM62"/>
      <c r="SAN62"/>
      <c r="SAO62"/>
      <c r="SAP62"/>
      <c r="SAQ62"/>
      <c r="SAR62"/>
      <c r="SAS62"/>
      <c r="SAT62"/>
      <c r="SAU62"/>
      <c r="SAV62"/>
      <c r="SAW62"/>
      <c r="SAX62"/>
      <c r="SAY62"/>
      <c r="SAZ62"/>
      <c r="SBA62"/>
      <c r="SBB62"/>
      <c r="SBC62"/>
      <c r="SBD62"/>
      <c r="SBE62"/>
      <c r="SBF62"/>
      <c r="SBG62"/>
      <c r="SBH62"/>
      <c r="SBI62"/>
      <c r="SBJ62"/>
      <c r="SBK62"/>
      <c r="SBL62"/>
      <c r="SBM62"/>
      <c r="SBN62"/>
      <c r="SBO62"/>
      <c r="SBP62"/>
      <c r="SBQ62"/>
      <c r="SBR62"/>
      <c r="SBS62"/>
      <c r="SBT62"/>
      <c r="SBU62"/>
      <c r="SBV62"/>
      <c r="SBW62"/>
      <c r="SBX62"/>
      <c r="SBY62"/>
      <c r="SBZ62"/>
      <c r="SCA62"/>
      <c r="SCB62"/>
      <c r="SCC62"/>
      <c r="SCD62"/>
      <c r="SCE62"/>
      <c r="SCF62"/>
      <c r="SCG62"/>
      <c r="SCH62"/>
      <c r="SCI62"/>
      <c r="SCJ62"/>
      <c r="SCK62"/>
      <c r="SCL62"/>
      <c r="SCM62"/>
      <c r="SCN62"/>
      <c r="SCO62"/>
      <c r="SCP62"/>
      <c r="SCQ62"/>
      <c r="SCR62"/>
      <c r="SCS62"/>
      <c r="SCT62"/>
      <c r="SCU62"/>
      <c r="SCV62"/>
      <c r="SCW62"/>
      <c r="SCX62"/>
      <c r="SCY62"/>
      <c r="SCZ62"/>
      <c r="SDA62"/>
      <c r="SDB62"/>
      <c r="SDC62"/>
      <c r="SDD62"/>
      <c r="SDE62"/>
      <c r="SDF62"/>
      <c r="SDG62"/>
      <c r="SDH62"/>
      <c r="SDI62"/>
      <c r="SDJ62"/>
      <c r="SDK62"/>
      <c r="SDL62"/>
      <c r="SDM62"/>
      <c r="SDN62"/>
      <c r="SDO62"/>
      <c r="SDP62"/>
      <c r="SDQ62"/>
      <c r="SDR62"/>
      <c r="SDS62"/>
      <c r="SDT62"/>
      <c r="SDU62"/>
      <c r="SDV62"/>
      <c r="SDW62"/>
      <c r="SDX62"/>
      <c r="SDY62"/>
      <c r="SDZ62"/>
      <c r="SEA62"/>
      <c r="SEB62"/>
      <c r="SEC62"/>
      <c r="SED62"/>
      <c r="SEE62"/>
      <c r="SEF62"/>
      <c r="SEG62"/>
      <c r="SEH62"/>
      <c r="SEI62"/>
      <c r="SEJ62"/>
      <c r="SEK62"/>
      <c r="SEL62"/>
      <c r="SEM62"/>
      <c r="SEN62"/>
      <c r="SEO62"/>
      <c r="SEP62"/>
      <c r="SEQ62"/>
      <c r="SER62"/>
      <c r="SES62"/>
      <c r="SET62"/>
      <c r="SEU62"/>
      <c r="SEV62"/>
      <c r="SEW62"/>
      <c r="SEX62"/>
      <c r="SEY62"/>
      <c r="SEZ62"/>
      <c r="SFA62"/>
      <c r="SFB62"/>
      <c r="SFC62"/>
      <c r="SFD62"/>
      <c r="SFE62"/>
      <c r="SFF62"/>
      <c r="SFG62"/>
      <c r="SFH62"/>
      <c r="SFI62"/>
      <c r="SFJ62"/>
      <c r="SFK62"/>
      <c r="SFL62"/>
      <c r="SFM62"/>
      <c r="SFN62"/>
      <c r="SFO62"/>
      <c r="SFP62"/>
      <c r="SFQ62"/>
      <c r="SFR62"/>
      <c r="SFS62"/>
      <c r="SFT62"/>
      <c r="SFU62"/>
      <c r="SFV62"/>
      <c r="SFW62"/>
      <c r="SFX62"/>
      <c r="SFY62"/>
      <c r="SFZ62"/>
      <c r="SGA62"/>
      <c r="SGB62"/>
      <c r="SGC62"/>
      <c r="SGD62"/>
      <c r="SGE62"/>
      <c r="SGF62"/>
      <c r="SGG62"/>
      <c r="SGH62"/>
      <c r="SGI62"/>
      <c r="SGJ62"/>
      <c r="SGK62"/>
      <c r="SGL62"/>
      <c r="SGM62"/>
      <c r="SGN62"/>
      <c r="SGO62"/>
      <c r="SGP62"/>
      <c r="SGQ62"/>
      <c r="SGR62"/>
      <c r="SGS62"/>
      <c r="SGT62"/>
      <c r="SGU62"/>
      <c r="SGV62"/>
      <c r="SGW62"/>
      <c r="SGX62"/>
      <c r="SGY62"/>
      <c r="SGZ62"/>
      <c r="SHA62"/>
      <c r="SHB62"/>
      <c r="SHC62"/>
      <c r="SHD62"/>
      <c r="SHE62"/>
      <c r="SHF62"/>
      <c r="SHG62"/>
      <c r="SHH62"/>
      <c r="SHI62"/>
      <c r="SHJ62"/>
      <c r="SHK62"/>
      <c r="SHL62"/>
      <c r="SHM62"/>
      <c r="SHN62"/>
      <c r="SHO62"/>
      <c r="SHP62"/>
      <c r="SHQ62"/>
      <c r="SHR62"/>
      <c r="SHS62"/>
      <c r="SHT62"/>
      <c r="SHU62"/>
      <c r="SHV62"/>
      <c r="SHW62"/>
      <c r="SHX62"/>
      <c r="SHY62"/>
      <c r="SHZ62"/>
      <c r="SIA62"/>
      <c r="SIB62"/>
      <c r="SIC62"/>
      <c r="SID62"/>
      <c r="SIE62"/>
      <c r="SIF62"/>
      <c r="SIG62"/>
      <c r="SIH62"/>
      <c r="SII62"/>
      <c r="SIJ62"/>
      <c r="SIK62"/>
      <c r="SIL62"/>
      <c r="SIM62"/>
      <c r="SIN62"/>
      <c r="SIO62"/>
      <c r="SIP62"/>
      <c r="SIQ62"/>
      <c r="SIR62"/>
      <c r="SIS62"/>
      <c r="SIT62"/>
      <c r="SIU62"/>
      <c r="SIV62"/>
      <c r="SIW62"/>
      <c r="SIX62"/>
      <c r="SIY62"/>
      <c r="SIZ62"/>
      <c r="SJA62"/>
      <c r="SJB62"/>
      <c r="SJC62"/>
      <c r="SJD62"/>
      <c r="SJE62"/>
      <c r="SJF62"/>
      <c r="SJG62"/>
      <c r="SJH62"/>
      <c r="SJI62"/>
      <c r="SJJ62"/>
      <c r="SJK62"/>
      <c r="SJL62"/>
      <c r="SJM62"/>
      <c r="SJN62"/>
      <c r="SJO62"/>
      <c r="SJP62"/>
      <c r="SJQ62"/>
      <c r="SJR62"/>
      <c r="SJS62"/>
      <c r="SJT62"/>
      <c r="SJU62"/>
      <c r="SJV62"/>
      <c r="SJW62"/>
      <c r="SJX62"/>
      <c r="SJY62"/>
      <c r="SJZ62"/>
      <c r="SKA62"/>
      <c r="SKB62"/>
      <c r="SKC62"/>
      <c r="SKD62"/>
      <c r="SKE62"/>
      <c r="SKF62"/>
      <c r="SKG62"/>
      <c r="SKH62"/>
      <c r="SKI62"/>
      <c r="SKJ62"/>
      <c r="SKK62"/>
      <c r="SKL62"/>
      <c r="SKM62"/>
      <c r="SKN62"/>
      <c r="SKO62"/>
      <c r="SKP62"/>
      <c r="SKQ62"/>
      <c r="SKR62"/>
      <c r="SKS62"/>
      <c r="SKT62"/>
      <c r="SKU62"/>
      <c r="SKV62"/>
      <c r="SKW62"/>
      <c r="SKX62"/>
      <c r="SKY62"/>
      <c r="SKZ62"/>
      <c r="SLA62"/>
      <c r="SLB62"/>
      <c r="SLC62"/>
      <c r="SLD62"/>
      <c r="SLE62"/>
      <c r="SLF62"/>
      <c r="SLG62"/>
      <c r="SLH62"/>
      <c r="SLI62"/>
      <c r="SLJ62"/>
      <c r="SLK62"/>
      <c r="SLL62"/>
      <c r="SLM62"/>
      <c r="SLN62"/>
      <c r="SLO62"/>
      <c r="SLP62"/>
      <c r="SLQ62"/>
      <c r="SLR62"/>
      <c r="SLS62"/>
      <c r="SLT62"/>
      <c r="SLU62"/>
      <c r="SLV62"/>
      <c r="SLW62"/>
      <c r="SLX62"/>
      <c r="SLY62"/>
      <c r="SLZ62"/>
      <c r="SMA62"/>
      <c r="SMB62"/>
      <c r="SMC62"/>
      <c r="SMD62"/>
      <c r="SME62"/>
      <c r="SMF62"/>
      <c r="SMG62"/>
      <c r="SMH62"/>
      <c r="SMI62"/>
      <c r="SMJ62"/>
      <c r="SMK62"/>
      <c r="SML62"/>
      <c r="SMM62"/>
      <c r="SMN62"/>
      <c r="SMO62"/>
      <c r="SMP62"/>
      <c r="SMQ62"/>
      <c r="SMR62"/>
      <c r="SMS62"/>
      <c r="SMT62"/>
      <c r="SMU62"/>
      <c r="SMV62"/>
      <c r="SMW62"/>
      <c r="SMX62"/>
      <c r="SMY62"/>
      <c r="SMZ62"/>
      <c r="SNA62"/>
      <c r="SNB62"/>
      <c r="SNC62"/>
      <c r="SND62"/>
      <c r="SNE62"/>
      <c r="SNF62"/>
      <c r="SNG62"/>
      <c r="SNH62"/>
      <c r="SNI62"/>
      <c r="SNJ62"/>
      <c r="SNK62"/>
      <c r="SNL62"/>
      <c r="SNM62"/>
      <c r="SNN62"/>
      <c r="SNO62"/>
      <c r="SNP62"/>
      <c r="SNQ62"/>
      <c r="SNR62"/>
      <c r="SNS62"/>
      <c r="SNT62"/>
      <c r="SNU62"/>
      <c r="SNV62"/>
      <c r="SNW62"/>
      <c r="SNX62"/>
      <c r="SNY62"/>
      <c r="SNZ62"/>
      <c r="SOA62"/>
      <c r="SOB62"/>
      <c r="SOC62"/>
      <c r="SOD62"/>
      <c r="SOE62"/>
      <c r="SOF62"/>
      <c r="SOG62"/>
      <c r="SOH62"/>
      <c r="SOI62"/>
      <c r="SOJ62"/>
      <c r="SOK62"/>
      <c r="SOL62"/>
      <c r="SOM62"/>
      <c r="SON62"/>
      <c r="SOO62"/>
      <c r="SOP62"/>
      <c r="SOQ62"/>
      <c r="SOR62"/>
      <c r="SOS62"/>
      <c r="SOT62"/>
      <c r="SOU62"/>
      <c r="SOV62"/>
      <c r="SOW62"/>
      <c r="SOX62"/>
      <c r="SOY62"/>
      <c r="SOZ62"/>
      <c r="SPA62"/>
      <c r="SPB62"/>
      <c r="SPC62"/>
      <c r="SPD62"/>
      <c r="SPE62"/>
      <c r="SPF62"/>
      <c r="SPG62"/>
      <c r="SPH62"/>
      <c r="SPI62"/>
      <c r="SPJ62"/>
      <c r="SPK62"/>
      <c r="SPL62"/>
      <c r="SPM62"/>
      <c r="SPN62"/>
      <c r="SPO62"/>
      <c r="SPP62"/>
      <c r="SPQ62"/>
      <c r="SPR62"/>
      <c r="SPS62"/>
      <c r="SPT62"/>
      <c r="SPU62"/>
      <c r="SPV62"/>
      <c r="SPW62"/>
      <c r="SPX62"/>
      <c r="SPY62"/>
      <c r="SPZ62"/>
      <c r="SQA62"/>
      <c r="SQB62"/>
      <c r="SQC62"/>
      <c r="SQD62"/>
      <c r="SQE62"/>
      <c r="SQF62"/>
      <c r="SQG62"/>
      <c r="SQH62"/>
      <c r="SQI62"/>
      <c r="SQJ62"/>
      <c r="SQK62"/>
      <c r="SQL62"/>
      <c r="SQM62"/>
      <c r="SQN62"/>
      <c r="SQO62"/>
      <c r="SQP62"/>
      <c r="SQQ62"/>
      <c r="SQR62"/>
      <c r="SQS62"/>
      <c r="SQT62"/>
      <c r="SQU62"/>
      <c r="SQV62"/>
      <c r="SQW62"/>
      <c r="SQX62"/>
      <c r="SQY62"/>
      <c r="SQZ62"/>
      <c r="SRA62"/>
      <c r="SRB62"/>
      <c r="SRC62"/>
      <c r="SRD62"/>
      <c r="SRE62"/>
      <c r="SRF62"/>
      <c r="SRG62"/>
      <c r="SRH62"/>
      <c r="SRI62"/>
      <c r="SRJ62"/>
      <c r="SRK62"/>
      <c r="SRL62"/>
      <c r="SRM62"/>
      <c r="SRN62"/>
      <c r="SRO62"/>
      <c r="SRP62"/>
      <c r="SRQ62"/>
      <c r="SRR62"/>
      <c r="SRS62"/>
      <c r="SRT62"/>
      <c r="SRU62"/>
      <c r="SRV62"/>
      <c r="SRW62"/>
      <c r="SRX62"/>
      <c r="SRY62"/>
      <c r="SRZ62"/>
      <c r="SSA62"/>
      <c r="SSB62"/>
      <c r="SSC62"/>
      <c r="SSD62"/>
      <c r="SSE62"/>
      <c r="SSF62"/>
      <c r="SSG62"/>
      <c r="SSH62"/>
      <c r="SSI62"/>
      <c r="SSJ62"/>
      <c r="SSK62"/>
      <c r="SSL62"/>
      <c r="SSM62"/>
      <c r="SSN62"/>
      <c r="SSO62"/>
      <c r="SSP62"/>
      <c r="SSQ62"/>
      <c r="SSR62"/>
      <c r="SSS62"/>
      <c r="SST62"/>
      <c r="SSU62"/>
      <c r="SSV62"/>
      <c r="SSW62"/>
      <c r="SSX62"/>
      <c r="SSY62"/>
      <c r="SSZ62"/>
      <c r="STA62"/>
      <c r="STB62"/>
      <c r="STC62"/>
      <c r="STD62"/>
      <c r="STE62"/>
      <c r="STF62"/>
      <c r="STG62"/>
      <c r="STH62"/>
      <c r="STI62"/>
      <c r="STJ62"/>
      <c r="STK62"/>
      <c r="STL62"/>
      <c r="STM62"/>
      <c r="STN62"/>
      <c r="STO62"/>
      <c r="STP62"/>
      <c r="STQ62"/>
      <c r="STR62"/>
      <c r="STS62"/>
      <c r="STT62"/>
      <c r="STU62"/>
      <c r="STV62"/>
      <c r="STW62"/>
      <c r="STX62"/>
      <c r="STY62"/>
      <c r="STZ62"/>
      <c r="SUA62"/>
      <c r="SUB62"/>
      <c r="SUC62"/>
      <c r="SUD62"/>
      <c r="SUE62"/>
      <c r="SUF62"/>
      <c r="SUG62"/>
      <c r="SUH62"/>
      <c r="SUI62"/>
      <c r="SUJ62"/>
      <c r="SUK62"/>
      <c r="SUL62"/>
      <c r="SUM62"/>
      <c r="SUN62"/>
      <c r="SUO62"/>
      <c r="SUP62"/>
      <c r="SUQ62"/>
      <c r="SUR62"/>
      <c r="SUS62"/>
      <c r="SUT62"/>
      <c r="SUU62"/>
      <c r="SUV62"/>
      <c r="SUW62"/>
      <c r="SUX62"/>
      <c r="SUY62"/>
      <c r="SUZ62"/>
      <c r="SVA62"/>
      <c r="SVB62"/>
      <c r="SVC62"/>
      <c r="SVD62"/>
      <c r="SVE62"/>
      <c r="SVF62"/>
      <c r="SVG62"/>
      <c r="SVH62"/>
      <c r="SVI62"/>
      <c r="SVJ62"/>
      <c r="SVK62"/>
      <c r="SVL62"/>
      <c r="SVM62"/>
      <c r="SVN62"/>
      <c r="SVO62"/>
      <c r="SVP62"/>
      <c r="SVQ62"/>
      <c r="SVR62"/>
      <c r="SVS62"/>
      <c r="SVT62"/>
      <c r="SVU62"/>
      <c r="SVV62"/>
      <c r="SVW62"/>
      <c r="SVX62"/>
      <c r="SVY62"/>
      <c r="SVZ62"/>
      <c r="SWA62"/>
      <c r="SWB62"/>
      <c r="SWC62"/>
      <c r="SWD62"/>
      <c r="SWE62"/>
      <c r="SWF62"/>
      <c r="SWG62"/>
      <c r="SWH62"/>
      <c r="SWI62"/>
      <c r="SWJ62"/>
      <c r="SWK62"/>
      <c r="SWL62"/>
      <c r="SWM62"/>
      <c r="SWN62"/>
      <c r="SWO62"/>
      <c r="SWP62"/>
      <c r="SWQ62"/>
      <c r="SWR62"/>
      <c r="SWS62"/>
      <c r="SWT62"/>
      <c r="SWU62"/>
      <c r="SWV62"/>
      <c r="SWW62"/>
      <c r="SWX62"/>
      <c r="SWY62"/>
      <c r="SWZ62"/>
      <c r="SXA62"/>
      <c r="SXB62"/>
      <c r="SXC62"/>
      <c r="SXD62"/>
      <c r="SXE62"/>
      <c r="SXF62"/>
      <c r="SXG62"/>
      <c r="SXH62"/>
      <c r="SXI62"/>
      <c r="SXJ62"/>
      <c r="SXK62"/>
      <c r="SXL62"/>
      <c r="SXM62"/>
      <c r="SXN62"/>
      <c r="SXO62"/>
      <c r="SXP62"/>
      <c r="SXQ62"/>
      <c r="SXR62"/>
      <c r="SXS62"/>
      <c r="SXT62"/>
      <c r="SXU62"/>
      <c r="SXV62"/>
      <c r="SXW62"/>
      <c r="SXX62"/>
      <c r="SXY62"/>
      <c r="SXZ62"/>
      <c r="SYA62"/>
      <c r="SYB62"/>
      <c r="SYC62"/>
      <c r="SYD62"/>
      <c r="SYE62"/>
      <c r="SYF62"/>
      <c r="SYG62"/>
      <c r="SYH62"/>
      <c r="SYI62"/>
      <c r="SYJ62"/>
      <c r="SYK62"/>
      <c r="SYL62"/>
      <c r="SYM62"/>
      <c r="SYN62"/>
      <c r="SYO62"/>
      <c r="SYP62"/>
      <c r="SYQ62"/>
      <c r="SYR62"/>
      <c r="SYS62"/>
      <c r="SYT62"/>
      <c r="SYU62"/>
      <c r="SYV62"/>
      <c r="SYW62"/>
      <c r="SYX62"/>
      <c r="SYY62"/>
      <c r="SYZ62"/>
      <c r="SZA62"/>
      <c r="SZB62"/>
      <c r="SZC62"/>
      <c r="SZD62"/>
      <c r="SZE62"/>
      <c r="SZF62"/>
      <c r="SZG62"/>
      <c r="SZH62"/>
      <c r="SZI62"/>
      <c r="SZJ62"/>
      <c r="SZK62"/>
      <c r="SZL62"/>
      <c r="SZM62"/>
      <c r="SZN62"/>
      <c r="SZO62"/>
      <c r="SZP62"/>
      <c r="SZQ62"/>
      <c r="SZR62"/>
      <c r="SZS62"/>
      <c r="SZT62"/>
      <c r="SZU62"/>
      <c r="SZV62"/>
      <c r="SZW62"/>
      <c r="SZX62"/>
      <c r="SZY62"/>
      <c r="SZZ62"/>
      <c r="TAA62"/>
      <c r="TAB62"/>
      <c r="TAC62"/>
      <c r="TAD62"/>
      <c r="TAE62"/>
      <c r="TAF62"/>
      <c r="TAG62"/>
      <c r="TAH62"/>
      <c r="TAI62"/>
      <c r="TAJ62"/>
      <c r="TAK62"/>
      <c r="TAL62"/>
      <c r="TAM62"/>
      <c r="TAN62"/>
      <c r="TAO62"/>
      <c r="TAP62"/>
      <c r="TAQ62"/>
      <c r="TAR62"/>
      <c r="TAS62"/>
      <c r="TAT62"/>
      <c r="TAU62"/>
      <c r="TAV62"/>
      <c r="TAW62"/>
      <c r="TAX62"/>
      <c r="TAY62"/>
      <c r="TAZ62"/>
      <c r="TBA62"/>
      <c r="TBB62"/>
      <c r="TBC62"/>
      <c r="TBD62"/>
      <c r="TBE62"/>
      <c r="TBF62"/>
      <c r="TBG62"/>
      <c r="TBH62"/>
      <c r="TBI62"/>
      <c r="TBJ62"/>
      <c r="TBK62"/>
      <c r="TBL62"/>
      <c r="TBM62"/>
      <c r="TBN62"/>
      <c r="TBO62"/>
      <c r="TBP62"/>
      <c r="TBQ62"/>
      <c r="TBR62"/>
      <c r="TBS62"/>
      <c r="TBT62"/>
      <c r="TBU62"/>
      <c r="TBV62"/>
      <c r="TBW62"/>
      <c r="TBX62"/>
      <c r="TBY62"/>
      <c r="TBZ62"/>
      <c r="TCA62"/>
      <c r="TCB62"/>
      <c r="TCC62"/>
      <c r="TCD62"/>
      <c r="TCE62"/>
      <c r="TCF62"/>
      <c r="TCG62"/>
      <c r="TCH62"/>
      <c r="TCI62"/>
      <c r="TCJ62"/>
      <c r="TCK62"/>
      <c r="TCL62"/>
      <c r="TCM62"/>
      <c r="TCN62"/>
      <c r="TCO62"/>
      <c r="TCP62"/>
      <c r="TCQ62"/>
      <c r="TCR62"/>
      <c r="TCS62"/>
      <c r="TCT62"/>
      <c r="TCU62"/>
      <c r="TCV62"/>
      <c r="TCW62"/>
      <c r="TCX62"/>
      <c r="TCY62"/>
      <c r="TCZ62"/>
      <c r="TDA62"/>
      <c r="TDB62"/>
      <c r="TDC62"/>
      <c r="TDD62"/>
      <c r="TDE62"/>
      <c r="TDF62"/>
      <c r="TDG62"/>
      <c r="TDH62"/>
      <c r="TDI62"/>
      <c r="TDJ62"/>
      <c r="TDK62"/>
      <c r="TDL62"/>
      <c r="TDM62"/>
      <c r="TDN62"/>
      <c r="TDO62"/>
      <c r="TDP62"/>
      <c r="TDQ62"/>
      <c r="TDR62"/>
      <c r="TDS62"/>
      <c r="TDT62"/>
      <c r="TDU62"/>
      <c r="TDV62"/>
      <c r="TDW62"/>
      <c r="TDX62"/>
      <c r="TDY62"/>
      <c r="TDZ62"/>
      <c r="TEA62"/>
      <c r="TEB62"/>
      <c r="TEC62"/>
      <c r="TED62"/>
      <c r="TEE62"/>
      <c r="TEF62"/>
      <c r="TEG62"/>
      <c r="TEH62"/>
      <c r="TEI62"/>
      <c r="TEJ62"/>
      <c r="TEK62"/>
      <c r="TEL62"/>
      <c r="TEM62"/>
      <c r="TEN62"/>
      <c r="TEO62"/>
      <c r="TEP62"/>
      <c r="TEQ62"/>
      <c r="TER62"/>
      <c r="TES62"/>
      <c r="TET62"/>
      <c r="TEU62"/>
      <c r="TEV62"/>
      <c r="TEW62"/>
      <c r="TEX62"/>
      <c r="TEY62"/>
      <c r="TEZ62"/>
      <c r="TFA62"/>
      <c r="TFB62"/>
      <c r="TFC62"/>
      <c r="TFD62"/>
      <c r="TFE62"/>
      <c r="TFF62"/>
      <c r="TFG62"/>
      <c r="TFH62"/>
      <c r="TFI62"/>
      <c r="TFJ62"/>
      <c r="TFK62"/>
      <c r="TFL62"/>
      <c r="TFM62"/>
      <c r="TFN62"/>
      <c r="TFO62"/>
      <c r="TFP62"/>
      <c r="TFQ62"/>
      <c r="TFR62"/>
      <c r="TFS62"/>
      <c r="TFT62"/>
      <c r="TFU62"/>
      <c r="TFV62"/>
      <c r="TFW62"/>
      <c r="TFX62"/>
      <c r="TFY62"/>
      <c r="TFZ62"/>
      <c r="TGA62"/>
      <c r="TGB62"/>
      <c r="TGC62"/>
      <c r="TGD62"/>
      <c r="TGE62"/>
      <c r="TGF62"/>
      <c r="TGG62"/>
      <c r="TGH62"/>
      <c r="TGI62"/>
      <c r="TGJ62"/>
      <c r="TGK62"/>
      <c r="TGL62"/>
      <c r="TGM62"/>
      <c r="TGN62"/>
      <c r="TGO62"/>
      <c r="TGP62"/>
      <c r="TGQ62"/>
      <c r="TGR62"/>
      <c r="TGS62"/>
      <c r="TGT62"/>
      <c r="TGU62"/>
      <c r="TGV62"/>
      <c r="TGW62"/>
      <c r="TGX62"/>
      <c r="TGY62"/>
      <c r="TGZ62"/>
      <c r="THA62"/>
      <c r="THB62"/>
      <c r="THC62"/>
      <c r="THD62"/>
      <c r="THE62"/>
      <c r="THF62"/>
      <c r="THG62"/>
      <c r="THH62"/>
      <c r="THI62"/>
      <c r="THJ62"/>
      <c r="THK62"/>
      <c r="THL62"/>
      <c r="THM62"/>
      <c r="THN62"/>
      <c r="THO62"/>
      <c r="THP62"/>
      <c r="THQ62"/>
      <c r="THR62"/>
      <c r="THS62"/>
      <c r="THT62"/>
      <c r="THU62"/>
      <c r="THV62"/>
      <c r="THW62"/>
      <c r="THX62"/>
      <c r="THY62"/>
      <c r="THZ62"/>
      <c r="TIA62"/>
      <c r="TIB62"/>
      <c r="TIC62"/>
      <c r="TID62"/>
      <c r="TIE62"/>
      <c r="TIF62"/>
      <c r="TIG62"/>
      <c r="TIH62"/>
      <c r="TII62"/>
      <c r="TIJ62"/>
      <c r="TIK62"/>
      <c r="TIL62"/>
      <c r="TIM62"/>
      <c r="TIN62"/>
      <c r="TIO62"/>
      <c r="TIP62"/>
      <c r="TIQ62"/>
      <c r="TIR62"/>
      <c r="TIS62"/>
      <c r="TIT62"/>
      <c r="TIU62"/>
      <c r="TIV62"/>
      <c r="TIW62"/>
      <c r="TIX62"/>
      <c r="TIY62"/>
      <c r="TIZ62"/>
      <c r="TJA62"/>
      <c r="TJB62"/>
      <c r="TJC62"/>
      <c r="TJD62"/>
      <c r="TJE62"/>
      <c r="TJF62"/>
      <c r="TJG62"/>
      <c r="TJH62"/>
      <c r="TJI62"/>
      <c r="TJJ62"/>
      <c r="TJK62"/>
      <c r="TJL62"/>
      <c r="TJM62"/>
      <c r="TJN62"/>
      <c r="TJO62"/>
      <c r="TJP62"/>
      <c r="TJQ62"/>
      <c r="TJR62"/>
      <c r="TJS62"/>
      <c r="TJT62"/>
      <c r="TJU62"/>
      <c r="TJV62"/>
      <c r="TJW62"/>
      <c r="TJX62"/>
      <c r="TJY62"/>
      <c r="TJZ62"/>
      <c r="TKA62"/>
      <c r="TKB62"/>
      <c r="TKC62"/>
      <c r="TKD62"/>
      <c r="TKE62"/>
      <c r="TKF62"/>
      <c r="TKG62"/>
      <c r="TKH62"/>
      <c r="TKI62"/>
      <c r="TKJ62"/>
      <c r="TKK62"/>
      <c r="TKL62"/>
      <c r="TKM62"/>
      <c r="TKN62"/>
      <c r="TKO62"/>
      <c r="TKP62"/>
      <c r="TKQ62"/>
      <c r="TKR62"/>
      <c r="TKS62"/>
      <c r="TKT62"/>
      <c r="TKU62"/>
      <c r="TKV62"/>
      <c r="TKW62"/>
      <c r="TKX62"/>
      <c r="TKY62"/>
      <c r="TKZ62"/>
      <c r="TLA62"/>
      <c r="TLB62"/>
      <c r="TLC62"/>
      <c r="TLD62"/>
      <c r="TLE62"/>
      <c r="TLF62"/>
      <c r="TLG62"/>
      <c r="TLH62"/>
      <c r="TLI62"/>
      <c r="TLJ62"/>
      <c r="TLK62"/>
      <c r="TLL62"/>
      <c r="TLM62"/>
      <c r="TLN62"/>
      <c r="TLO62"/>
      <c r="TLP62"/>
      <c r="TLQ62"/>
      <c r="TLR62"/>
      <c r="TLS62"/>
      <c r="TLT62"/>
      <c r="TLU62"/>
      <c r="TLV62"/>
      <c r="TLW62"/>
      <c r="TLX62"/>
      <c r="TLY62"/>
      <c r="TLZ62"/>
      <c r="TMA62"/>
      <c r="TMB62"/>
      <c r="TMC62"/>
      <c r="TMD62"/>
      <c r="TME62"/>
      <c r="TMF62"/>
      <c r="TMG62"/>
      <c r="TMH62"/>
      <c r="TMI62"/>
      <c r="TMJ62"/>
      <c r="TMK62"/>
      <c r="TML62"/>
      <c r="TMM62"/>
      <c r="TMN62"/>
      <c r="TMO62"/>
      <c r="TMP62"/>
      <c r="TMQ62"/>
      <c r="TMR62"/>
      <c r="TMS62"/>
      <c r="TMT62"/>
      <c r="TMU62"/>
      <c r="TMV62"/>
      <c r="TMW62"/>
      <c r="TMX62"/>
      <c r="TMY62"/>
      <c r="TMZ62"/>
      <c r="TNA62"/>
      <c r="TNB62"/>
      <c r="TNC62"/>
      <c r="TND62"/>
      <c r="TNE62"/>
      <c r="TNF62"/>
      <c r="TNG62"/>
      <c r="TNH62"/>
      <c r="TNI62"/>
      <c r="TNJ62"/>
      <c r="TNK62"/>
      <c r="TNL62"/>
      <c r="TNM62"/>
      <c r="TNN62"/>
      <c r="TNO62"/>
      <c r="TNP62"/>
      <c r="TNQ62"/>
      <c r="TNR62"/>
      <c r="TNS62"/>
      <c r="TNT62"/>
      <c r="TNU62"/>
      <c r="TNV62"/>
      <c r="TNW62"/>
      <c r="TNX62"/>
      <c r="TNY62"/>
      <c r="TNZ62"/>
      <c r="TOA62"/>
      <c r="TOB62"/>
      <c r="TOC62"/>
      <c r="TOD62"/>
      <c r="TOE62"/>
      <c r="TOF62"/>
      <c r="TOG62"/>
      <c r="TOH62"/>
      <c r="TOI62"/>
      <c r="TOJ62"/>
      <c r="TOK62"/>
      <c r="TOL62"/>
      <c r="TOM62"/>
      <c r="TON62"/>
      <c r="TOO62"/>
      <c r="TOP62"/>
      <c r="TOQ62"/>
      <c r="TOR62"/>
      <c r="TOS62"/>
      <c r="TOT62"/>
      <c r="TOU62"/>
      <c r="TOV62"/>
      <c r="TOW62"/>
      <c r="TOX62"/>
      <c r="TOY62"/>
      <c r="TOZ62"/>
      <c r="TPA62"/>
      <c r="TPB62"/>
      <c r="TPC62"/>
      <c r="TPD62"/>
      <c r="TPE62"/>
      <c r="TPF62"/>
      <c r="TPG62"/>
      <c r="TPH62"/>
      <c r="TPI62"/>
      <c r="TPJ62"/>
      <c r="TPK62"/>
      <c r="TPL62"/>
      <c r="TPM62"/>
      <c r="TPN62"/>
      <c r="TPO62"/>
      <c r="TPP62"/>
      <c r="TPQ62"/>
      <c r="TPR62"/>
      <c r="TPS62"/>
      <c r="TPT62"/>
      <c r="TPU62"/>
      <c r="TPV62"/>
      <c r="TPW62"/>
      <c r="TPX62"/>
      <c r="TPY62"/>
      <c r="TPZ62"/>
      <c r="TQA62"/>
      <c r="TQB62"/>
      <c r="TQC62"/>
      <c r="TQD62"/>
      <c r="TQE62"/>
      <c r="TQF62"/>
      <c r="TQG62"/>
      <c r="TQH62"/>
      <c r="TQI62"/>
      <c r="TQJ62"/>
      <c r="TQK62"/>
      <c r="TQL62"/>
      <c r="TQM62"/>
      <c r="TQN62"/>
      <c r="TQO62"/>
      <c r="TQP62"/>
      <c r="TQQ62"/>
      <c r="TQR62"/>
      <c r="TQS62"/>
      <c r="TQT62"/>
      <c r="TQU62"/>
      <c r="TQV62"/>
      <c r="TQW62"/>
      <c r="TQX62"/>
      <c r="TQY62"/>
      <c r="TQZ62"/>
      <c r="TRA62"/>
      <c r="TRB62"/>
      <c r="TRC62"/>
      <c r="TRD62"/>
      <c r="TRE62"/>
      <c r="TRF62"/>
      <c r="TRG62"/>
      <c r="TRH62"/>
      <c r="TRI62"/>
      <c r="TRJ62"/>
      <c r="TRK62"/>
      <c r="TRL62"/>
      <c r="TRM62"/>
      <c r="TRN62"/>
      <c r="TRO62"/>
      <c r="TRP62"/>
      <c r="TRQ62"/>
      <c r="TRR62"/>
      <c r="TRS62"/>
      <c r="TRT62"/>
      <c r="TRU62"/>
      <c r="TRV62"/>
      <c r="TRW62"/>
      <c r="TRX62"/>
      <c r="TRY62"/>
      <c r="TRZ62"/>
      <c r="TSA62"/>
      <c r="TSB62"/>
      <c r="TSC62"/>
      <c r="TSD62"/>
      <c r="TSE62"/>
      <c r="TSF62"/>
      <c r="TSG62"/>
      <c r="TSH62"/>
      <c r="TSI62"/>
      <c r="TSJ62"/>
      <c r="TSK62"/>
      <c r="TSL62"/>
      <c r="TSM62"/>
      <c r="TSN62"/>
      <c r="TSO62"/>
      <c r="TSP62"/>
      <c r="TSQ62"/>
      <c r="TSR62"/>
      <c r="TSS62"/>
      <c r="TST62"/>
      <c r="TSU62"/>
      <c r="TSV62"/>
      <c r="TSW62"/>
      <c r="TSX62"/>
      <c r="TSY62"/>
      <c r="TSZ62"/>
      <c r="TTA62"/>
      <c r="TTB62"/>
      <c r="TTC62"/>
      <c r="TTD62"/>
      <c r="TTE62"/>
      <c r="TTF62"/>
      <c r="TTG62"/>
      <c r="TTH62"/>
      <c r="TTI62"/>
      <c r="TTJ62"/>
      <c r="TTK62"/>
      <c r="TTL62"/>
      <c r="TTM62"/>
      <c r="TTN62"/>
      <c r="TTO62"/>
      <c r="TTP62"/>
      <c r="TTQ62"/>
      <c r="TTR62"/>
      <c r="TTS62"/>
      <c r="TTT62"/>
      <c r="TTU62"/>
      <c r="TTV62"/>
      <c r="TTW62"/>
      <c r="TTX62"/>
      <c r="TTY62"/>
      <c r="TTZ62"/>
      <c r="TUA62"/>
      <c r="TUB62"/>
      <c r="TUC62"/>
      <c r="TUD62"/>
      <c r="TUE62"/>
      <c r="TUF62"/>
      <c r="TUG62"/>
      <c r="TUH62"/>
      <c r="TUI62"/>
      <c r="TUJ62"/>
      <c r="TUK62"/>
      <c r="TUL62"/>
      <c r="TUM62"/>
      <c r="TUN62"/>
      <c r="TUO62"/>
      <c r="TUP62"/>
      <c r="TUQ62"/>
      <c r="TUR62"/>
      <c r="TUS62"/>
      <c r="TUT62"/>
      <c r="TUU62"/>
      <c r="TUV62"/>
      <c r="TUW62"/>
      <c r="TUX62"/>
      <c r="TUY62"/>
      <c r="TUZ62"/>
      <c r="TVA62"/>
      <c r="TVB62"/>
      <c r="TVC62"/>
      <c r="TVD62"/>
      <c r="TVE62"/>
      <c r="TVF62"/>
      <c r="TVG62"/>
      <c r="TVH62"/>
      <c r="TVI62"/>
      <c r="TVJ62"/>
      <c r="TVK62"/>
      <c r="TVL62"/>
      <c r="TVM62"/>
      <c r="TVN62"/>
      <c r="TVO62"/>
      <c r="TVP62"/>
      <c r="TVQ62"/>
      <c r="TVR62"/>
      <c r="TVS62"/>
      <c r="TVT62"/>
      <c r="TVU62"/>
      <c r="TVV62"/>
      <c r="TVW62"/>
      <c r="TVX62"/>
      <c r="TVY62"/>
      <c r="TVZ62"/>
      <c r="TWA62"/>
      <c r="TWB62"/>
      <c r="TWC62"/>
      <c r="TWD62"/>
      <c r="TWE62"/>
      <c r="TWF62"/>
      <c r="TWG62"/>
      <c r="TWH62"/>
      <c r="TWI62"/>
      <c r="TWJ62"/>
      <c r="TWK62"/>
      <c r="TWL62"/>
      <c r="TWM62"/>
      <c r="TWN62"/>
      <c r="TWO62"/>
      <c r="TWP62"/>
      <c r="TWQ62"/>
      <c r="TWR62"/>
      <c r="TWS62"/>
      <c r="TWT62"/>
      <c r="TWU62"/>
      <c r="TWV62"/>
      <c r="TWW62"/>
      <c r="TWX62"/>
      <c r="TWY62"/>
      <c r="TWZ62"/>
      <c r="TXA62"/>
      <c r="TXB62"/>
      <c r="TXC62"/>
      <c r="TXD62"/>
      <c r="TXE62"/>
      <c r="TXF62"/>
      <c r="TXG62"/>
      <c r="TXH62"/>
      <c r="TXI62"/>
      <c r="TXJ62"/>
      <c r="TXK62"/>
      <c r="TXL62"/>
      <c r="TXM62"/>
      <c r="TXN62"/>
      <c r="TXO62"/>
      <c r="TXP62"/>
      <c r="TXQ62"/>
      <c r="TXR62"/>
      <c r="TXS62"/>
      <c r="TXT62"/>
      <c r="TXU62"/>
      <c r="TXV62"/>
      <c r="TXW62"/>
      <c r="TXX62"/>
      <c r="TXY62"/>
      <c r="TXZ62"/>
      <c r="TYA62"/>
      <c r="TYB62"/>
      <c r="TYC62"/>
      <c r="TYD62"/>
      <c r="TYE62"/>
      <c r="TYF62"/>
      <c r="TYG62"/>
      <c r="TYH62"/>
      <c r="TYI62"/>
      <c r="TYJ62"/>
      <c r="TYK62"/>
      <c r="TYL62"/>
      <c r="TYM62"/>
      <c r="TYN62"/>
      <c r="TYO62"/>
      <c r="TYP62"/>
      <c r="TYQ62"/>
      <c r="TYR62"/>
      <c r="TYS62"/>
      <c r="TYT62"/>
      <c r="TYU62"/>
      <c r="TYV62"/>
      <c r="TYW62"/>
      <c r="TYX62"/>
      <c r="TYY62"/>
      <c r="TYZ62"/>
      <c r="TZA62"/>
      <c r="TZB62"/>
      <c r="TZC62"/>
      <c r="TZD62"/>
      <c r="TZE62"/>
      <c r="TZF62"/>
      <c r="TZG62"/>
      <c r="TZH62"/>
      <c r="TZI62"/>
      <c r="TZJ62"/>
      <c r="TZK62"/>
      <c r="TZL62"/>
      <c r="TZM62"/>
      <c r="TZN62"/>
      <c r="TZO62"/>
      <c r="TZP62"/>
      <c r="TZQ62"/>
      <c r="TZR62"/>
      <c r="TZS62"/>
      <c r="TZT62"/>
      <c r="TZU62"/>
      <c r="TZV62"/>
      <c r="TZW62"/>
      <c r="TZX62"/>
      <c r="TZY62"/>
      <c r="TZZ62"/>
      <c r="UAA62"/>
      <c r="UAB62"/>
      <c r="UAC62"/>
      <c r="UAD62"/>
      <c r="UAE62"/>
      <c r="UAF62"/>
      <c r="UAG62"/>
      <c r="UAH62"/>
      <c r="UAI62"/>
      <c r="UAJ62"/>
      <c r="UAK62"/>
      <c r="UAL62"/>
      <c r="UAM62"/>
      <c r="UAN62"/>
      <c r="UAO62"/>
      <c r="UAP62"/>
      <c r="UAQ62"/>
      <c r="UAR62"/>
      <c r="UAS62"/>
      <c r="UAT62"/>
      <c r="UAU62"/>
      <c r="UAV62"/>
      <c r="UAW62"/>
      <c r="UAX62"/>
      <c r="UAY62"/>
      <c r="UAZ62"/>
      <c r="UBA62"/>
      <c r="UBB62"/>
      <c r="UBC62"/>
      <c r="UBD62"/>
      <c r="UBE62"/>
      <c r="UBF62"/>
      <c r="UBG62"/>
      <c r="UBH62"/>
      <c r="UBI62"/>
      <c r="UBJ62"/>
      <c r="UBK62"/>
      <c r="UBL62"/>
      <c r="UBM62"/>
      <c r="UBN62"/>
      <c r="UBO62"/>
      <c r="UBP62"/>
      <c r="UBQ62"/>
      <c r="UBR62"/>
      <c r="UBS62"/>
      <c r="UBT62"/>
      <c r="UBU62"/>
      <c r="UBV62"/>
      <c r="UBW62"/>
      <c r="UBX62"/>
      <c r="UBY62"/>
      <c r="UBZ62"/>
      <c r="UCA62"/>
      <c r="UCB62"/>
      <c r="UCC62"/>
      <c r="UCD62"/>
      <c r="UCE62"/>
      <c r="UCF62"/>
      <c r="UCG62"/>
      <c r="UCH62"/>
      <c r="UCI62"/>
      <c r="UCJ62"/>
      <c r="UCK62"/>
      <c r="UCL62"/>
      <c r="UCM62"/>
      <c r="UCN62"/>
      <c r="UCO62"/>
      <c r="UCP62"/>
      <c r="UCQ62"/>
      <c r="UCR62"/>
      <c r="UCS62"/>
      <c r="UCT62"/>
      <c r="UCU62"/>
      <c r="UCV62"/>
      <c r="UCW62"/>
      <c r="UCX62"/>
      <c r="UCY62"/>
      <c r="UCZ62"/>
      <c r="UDA62"/>
      <c r="UDB62"/>
      <c r="UDC62"/>
      <c r="UDD62"/>
      <c r="UDE62"/>
      <c r="UDF62"/>
      <c r="UDG62"/>
      <c r="UDH62"/>
      <c r="UDI62"/>
      <c r="UDJ62"/>
      <c r="UDK62"/>
      <c r="UDL62"/>
      <c r="UDM62"/>
      <c r="UDN62"/>
      <c r="UDO62"/>
      <c r="UDP62"/>
      <c r="UDQ62"/>
      <c r="UDR62"/>
      <c r="UDS62"/>
      <c r="UDT62"/>
      <c r="UDU62"/>
      <c r="UDV62"/>
      <c r="UDW62"/>
      <c r="UDX62"/>
      <c r="UDY62"/>
      <c r="UDZ62"/>
      <c r="UEA62"/>
      <c r="UEB62"/>
      <c r="UEC62"/>
      <c r="UED62"/>
      <c r="UEE62"/>
      <c r="UEF62"/>
      <c r="UEG62"/>
      <c r="UEH62"/>
      <c r="UEI62"/>
      <c r="UEJ62"/>
      <c r="UEK62"/>
      <c r="UEL62"/>
      <c r="UEM62"/>
      <c r="UEN62"/>
      <c r="UEO62"/>
      <c r="UEP62"/>
      <c r="UEQ62"/>
      <c r="UER62"/>
      <c r="UES62"/>
      <c r="UET62"/>
      <c r="UEU62"/>
      <c r="UEV62"/>
      <c r="UEW62"/>
      <c r="UEX62"/>
      <c r="UEY62"/>
      <c r="UEZ62"/>
      <c r="UFA62"/>
      <c r="UFB62"/>
      <c r="UFC62"/>
      <c r="UFD62"/>
      <c r="UFE62"/>
      <c r="UFF62"/>
      <c r="UFG62"/>
      <c r="UFH62"/>
      <c r="UFI62"/>
      <c r="UFJ62"/>
      <c r="UFK62"/>
      <c r="UFL62"/>
      <c r="UFM62"/>
      <c r="UFN62"/>
      <c r="UFO62"/>
      <c r="UFP62"/>
      <c r="UFQ62"/>
      <c r="UFR62"/>
      <c r="UFS62"/>
      <c r="UFT62"/>
      <c r="UFU62"/>
      <c r="UFV62"/>
      <c r="UFW62"/>
      <c r="UFX62"/>
      <c r="UFY62"/>
      <c r="UFZ62"/>
      <c r="UGA62"/>
      <c r="UGB62"/>
      <c r="UGC62"/>
      <c r="UGD62"/>
      <c r="UGE62"/>
      <c r="UGF62"/>
      <c r="UGG62"/>
      <c r="UGH62"/>
      <c r="UGI62"/>
      <c r="UGJ62"/>
      <c r="UGK62"/>
      <c r="UGL62"/>
      <c r="UGM62"/>
      <c r="UGN62"/>
      <c r="UGO62"/>
      <c r="UGP62"/>
      <c r="UGQ62"/>
      <c r="UGR62"/>
      <c r="UGS62"/>
      <c r="UGT62"/>
      <c r="UGU62"/>
      <c r="UGV62"/>
      <c r="UGW62"/>
      <c r="UGX62"/>
      <c r="UGY62"/>
      <c r="UGZ62"/>
      <c r="UHA62"/>
      <c r="UHB62"/>
      <c r="UHC62"/>
      <c r="UHD62"/>
      <c r="UHE62"/>
      <c r="UHF62"/>
      <c r="UHG62"/>
      <c r="UHH62"/>
      <c r="UHI62"/>
      <c r="UHJ62"/>
      <c r="UHK62"/>
      <c r="UHL62"/>
      <c r="UHM62"/>
      <c r="UHN62"/>
      <c r="UHO62"/>
      <c r="UHP62"/>
      <c r="UHQ62"/>
      <c r="UHR62"/>
      <c r="UHS62"/>
      <c r="UHT62"/>
      <c r="UHU62"/>
      <c r="UHV62"/>
      <c r="UHW62"/>
      <c r="UHX62"/>
      <c r="UHY62"/>
      <c r="UHZ62"/>
      <c r="UIA62"/>
      <c r="UIB62"/>
      <c r="UIC62"/>
      <c r="UID62"/>
      <c r="UIE62"/>
      <c r="UIF62"/>
      <c r="UIG62"/>
      <c r="UIH62"/>
      <c r="UII62"/>
      <c r="UIJ62"/>
      <c r="UIK62"/>
      <c r="UIL62"/>
      <c r="UIM62"/>
      <c r="UIN62"/>
      <c r="UIO62"/>
      <c r="UIP62"/>
      <c r="UIQ62"/>
      <c r="UIR62"/>
      <c r="UIS62"/>
      <c r="UIT62"/>
      <c r="UIU62"/>
      <c r="UIV62"/>
      <c r="UIW62"/>
      <c r="UIX62"/>
      <c r="UIY62"/>
      <c r="UIZ62"/>
      <c r="UJA62"/>
      <c r="UJB62"/>
      <c r="UJC62"/>
      <c r="UJD62"/>
      <c r="UJE62"/>
      <c r="UJF62"/>
      <c r="UJG62"/>
      <c r="UJH62"/>
      <c r="UJI62"/>
      <c r="UJJ62"/>
      <c r="UJK62"/>
      <c r="UJL62"/>
      <c r="UJM62"/>
      <c r="UJN62"/>
      <c r="UJO62"/>
      <c r="UJP62"/>
      <c r="UJQ62"/>
      <c r="UJR62"/>
      <c r="UJS62"/>
      <c r="UJT62"/>
      <c r="UJU62"/>
      <c r="UJV62"/>
      <c r="UJW62"/>
      <c r="UJX62"/>
      <c r="UJY62"/>
      <c r="UJZ62"/>
      <c r="UKA62"/>
      <c r="UKB62"/>
      <c r="UKC62"/>
      <c r="UKD62"/>
      <c r="UKE62"/>
      <c r="UKF62"/>
      <c r="UKG62"/>
      <c r="UKH62"/>
      <c r="UKI62"/>
      <c r="UKJ62"/>
      <c r="UKK62"/>
      <c r="UKL62"/>
      <c r="UKM62"/>
      <c r="UKN62"/>
      <c r="UKO62"/>
      <c r="UKP62"/>
      <c r="UKQ62"/>
      <c r="UKR62"/>
      <c r="UKS62"/>
      <c r="UKT62"/>
      <c r="UKU62"/>
      <c r="UKV62"/>
      <c r="UKW62"/>
      <c r="UKX62"/>
      <c r="UKY62"/>
      <c r="UKZ62"/>
      <c r="ULA62"/>
      <c r="ULB62"/>
      <c r="ULC62"/>
      <c r="ULD62"/>
      <c r="ULE62"/>
      <c r="ULF62"/>
      <c r="ULG62"/>
      <c r="ULH62"/>
      <c r="ULI62"/>
      <c r="ULJ62"/>
      <c r="ULK62"/>
      <c r="ULL62"/>
      <c r="ULM62"/>
      <c r="ULN62"/>
      <c r="ULO62"/>
      <c r="ULP62"/>
      <c r="ULQ62"/>
      <c r="ULR62"/>
      <c r="ULS62"/>
      <c r="ULT62"/>
      <c r="ULU62"/>
      <c r="ULV62"/>
      <c r="ULW62"/>
      <c r="ULX62"/>
      <c r="ULY62"/>
      <c r="ULZ62"/>
      <c r="UMA62"/>
      <c r="UMB62"/>
      <c r="UMC62"/>
      <c r="UMD62"/>
      <c r="UME62"/>
      <c r="UMF62"/>
      <c r="UMG62"/>
      <c r="UMH62"/>
      <c r="UMI62"/>
      <c r="UMJ62"/>
      <c r="UMK62"/>
      <c r="UML62"/>
      <c r="UMM62"/>
      <c r="UMN62"/>
      <c r="UMO62"/>
      <c r="UMP62"/>
      <c r="UMQ62"/>
      <c r="UMR62"/>
      <c r="UMS62"/>
      <c r="UMT62"/>
      <c r="UMU62"/>
      <c r="UMV62"/>
      <c r="UMW62"/>
      <c r="UMX62"/>
      <c r="UMY62"/>
      <c r="UMZ62"/>
      <c r="UNA62"/>
      <c r="UNB62"/>
      <c r="UNC62"/>
      <c r="UND62"/>
      <c r="UNE62"/>
      <c r="UNF62"/>
      <c r="UNG62"/>
      <c r="UNH62"/>
      <c r="UNI62"/>
      <c r="UNJ62"/>
      <c r="UNK62"/>
      <c r="UNL62"/>
      <c r="UNM62"/>
      <c r="UNN62"/>
      <c r="UNO62"/>
      <c r="UNP62"/>
      <c r="UNQ62"/>
      <c r="UNR62"/>
      <c r="UNS62"/>
      <c r="UNT62"/>
      <c r="UNU62"/>
      <c r="UNV62"/>
      <c r="UNW62"/>
      <c r="UNX62"/>
      <c r="UNY62"/>
      <c r="UNZ62"/>
      <c r="UOA62"/>
      <c r="UOB62"/>
      <c r="UOC62"/>
      <c r="UOD62"/>
      <c r="UOE62"/>
      <c r="UOF62"/>
      <c r="UOG62"/>
      <c r="UOH62"/>
      <c r="UOI62"/>
      <c r="UOJ62"/>
      <c r="UOK62"/>
      <c r="UOL62"/>
      <c r="UOM62"/>
      <c r="UON62"/>
      <c r="UOO62"/>
      <c r="UOP62"/>
      <c r="UOQ62"/>
      <c r="UOR62"/>
      <c r="UOS62"/>
      <c r="UOT62"/>
      <c r="UOU62"/>
      <c r="UOV62"/>
      <c r="UOW62"/>
      <c r="UOX62"/>
      <c r="UOY62"/>
      <c r="UOZ62"/>
      <c r="UPA62"/>
      <c r="UPB62"/>
      <c r="UPC62"/>
      <c r="UPD62"/>
      <c r="UPE62"/>
      <c r="UPF62"/>
      <c r="UPG62"/>
      <c r="UPH62"/>
      <c r="UPI62"/>
      <c r="UPJ62"/>
      <c r="UPK62"/>
      <c r="UPL62"/>
      <c r="UPM62"/>
      <c r="UPN62"/>
      <c r="UPO62"/>
      <c r="UPP62"/>
      <c r="UPQ62"/>
      <c r="UPR62"/>
      <c r="UPS62"/>
      <c r="UPT62"/>
      <c r="UPU62"/>
      <c r="UPV62"/>
      <c r="UPW62"/>
      <c r="UPX62"/>
      <c r="UPY62"/>
      <c r="UPZ62"/>
      <c r="UQA62"/>
      <c r="UQB62"/>
      <c r="UQC62"/>
      <c r="UQD62"/>
      <c r="UQE62"/>
      <c r="UQF62"/>
      <c r="UQG62"/>
      <c r="UQH62"/>
      <c r="UQI62"/>
      <c r="UQJ62"/>
      <c r="UQK62"/>
      <c r="UQL62"/>
      <c r="UQM62"/>
      <c r="UQN62"/>
      <c r="UQO62"/>
      <c r="UQP62"/>
      <c r="UQQ62"/>
      <c r="UQR62"/>
      <c r="UQS62"/>
      <c r="UQT62"/>
      <c r="UQU62"/>
      <c r="UQV62"/>
      <c r="UQW62"/>
      <c r="UQX62"/>
      <c r="UQY62"/>
      <c r="UQZ62"/>
      <c r="URA62"/>
      <c r="URB62"/>
      <c r="URC62"/>
      <c r="URD62"/>
      <c r="URE62"/>
      <c r="URF62"/>
      <c r="URG62"/>
      <c r="URH62"/>
      <c r="URI62"/>
      <c r="URJ62"/>
      <c r="URK62"/>
      <c r="URL62"/>
      <c r="URM62"/>
      <c r="URN62"/>
      <c r="URO62"/>
      <c r="URP62"/>
      <c r="URQ62"/>
      <c r="URR62"/>
      <c r="URS62"/>
      <c r="URT62"/>
      <c r="URU62"/>
      <c r="URV62"/>
      <c r="URW62"/>
      <c r="URX62"/>
      <c r="URY62"/>
      <c r="URZ62"/>
      <c r="USA62"/>
      <c r="USB62"/>
      <c r="USC62"/>
      <c r="USD62"/>
      <c r="USE62"/>
      <c r="USF62"/>
      <c r="USG62"/>
      <c r="USH62"/>
      <c r="USI62"/>
      <c r="USJ62"/>
      <c r="USK62"/>
      <c r="USL62"/>
      <c r="USM62"/>
      <c r="USN62"/>
      <c r="USO62"/>
      <c r="USP62"/>
      <c r="USQ62"/>
      <c r="USR62"/>
      <c r="USS62"/>
      <c r="UST62"/>
      <c r="USU62"/>
      <c r="USV62"/>
      <c r="USW62"/>
      <c r="USX62"/>
      <c r="USY62"/>
      <c r="USZ62"/>
      <c r="UTA62"/>
      <c r="UTB62"/>
      <c r="UTC62"/>
      <c r="UTD62"/>
      <c r="UTE62"/>
      <c r="UTF62"/>
      <c r="UTG62"/>
      <c r="UTH62"/>
      <c r="UTI62"/>
      <c r="UTJ62"/>
      <c r="UTK62"/>
      <c r="UTL62"/>
      <c r="UTM62"/>
      <c r="UTN62"/>
      <c r="UTO62"/>
      <c r="UTP62"/>
      <c r="UTQ62"/>
      <c r="UTR62"/>
      <c r="UTS62"/>
      <c r="UTT62"/>
      <c r="UTU62"/>
      <c r="UTV62"/>
      <c r="UTW62"/>
      <c r="UTX62"/>
      <c r="UTY62"/>
      <c r="UTZ62"/>
      <c r="UUA62"/>
      <c r="UUB62"/>
      <c r="UUC62"/>
      <c r="UUD62"/>
      <c r="UUE62"/>
      <c r="UUF62"/>
      <c r="UUG62"/>
      <c r="UUH62"/>
      <c r="UUI62"/>
      <c r="UUJ62"/>
      <c r="UUK62"/>
      <c r="UUL62"/>
      <c r="UUM62"/>
      <c r="UUN62"/>
      <c r="UUO62"/>
      <c r="UUP62"/>
      <c r="UUQ62"/>
      <c r="UUR62"/>
      <c r="UUS62"/>
      <c r="UUT62"/>
      <c r="UUU62"/>
      <c r="UUV62"/>
      <c r="UUW62"/>
      <c r="UUX62"/>
      <c r="UUY62"/>
      <c r="UUZ62"/>
      <c r="UVA62"/>
      <c r="UVB62"/>
      <c r="UVC62"/>
      <c r="UVD62"/>
      <c r="UVE62"/>
      <c r="UVF62"/>
      <c r="UVG62"/>
      <c r="UVH62"/>
      <c r="UVI62"/>
      <c r="UVJ62"/>
      <c r="UVK62"/>
      <c r="UVL62"/>
      <c r="UVM62"/>
      <c r="UVN62"/>
      <c r="UVO62"/>
      <c r="UVP62"/>
      <c r="UVQ62"/>
      <c r="UVR62"/>
      <c r="UVS62"/>
      <c r="UVT62"/>
      <c r="UVU62"/>
      <c r="UVV62"/>
      <c r="UVW62"/>
      <c r="UVX62"/>
      <c r="UVY62"/>
      <c r="UVZ62"/>
      <c r="UWA62"/>
      <c r="UWB62"/>
      <c r="UWC62"/>
      <c r="UWD62"/>
      <c r="UWE62"/>
      <c r="UWF62"/>
      <c r="UWG62"/>
      <c r="UWH62"/>
      <c r="UWI62"/>
      <c r="UWJ62"/>
      <c r="UWK62"/>
      <c r="UWL62"/>
      <c r="UWM62"/>
      <c r="UWN62"/>
      <c r="UWO62"/>
      <c r="UWP62"/>
      <c r="UWQ62"/>
      <c r="UWR62"/>
      <c r="UWS62"/>
      <c r="UWT62"/>
      <c r="UWU62"/>
      <c r="UWV62"/>
      <c r="UWW62"/>
      <c r="UWX62"/>
      <c r="UWY62"/>
      <c r="UWZ62"/>
      <c r="UXA62"/>
      <c r="UXB62"/>
      <c r="UXC62"/>
      <c r="UXD62"/>
      <c r="UXE62"/>
      <c r="UXF62"/>
      <c r="UXG62"/>
      <c r="UXH62"/>
      <c r="UXI62"/>
      <c r="UXJ62"/>
      <c r="UXK62"/>
      <c r="UXL62"/>
      <c r="UXM62"/>
      <c r="UXN62"/>
      <c r="UXO62"/>
      <c r="UXP62"/>
      <c r="UXQ62"/>
      <c r="UXR62"/>
      <c r="UXS62"/>
      <c r="UXT62"/>
      <c r="UXU62"/>
      <c r="UXV62"/>
      <c r="UXW62"/>
      <c r="UXX62"/>
      <c r="UXY62"/>
      <c r="UXZ62"/>
      <c r="UYA62"/>
      <c r="UYB62"/>
      <c r="UYC62"/>
      <c r="UYD62"/>
      <c r="UYE62"/>
      <c r="UYF62"/>
      <c r="UYG62"/>
      <c r="UYH62"/>
      <c r="UYI62"/>
      <c r="UYJ62"/>
      <c r="UYK62"/>
      <c r="UYL62"/>
      <c r="UYM62"/>
      <c r="UYN62"/>
      <c r="UYO62"/>
      <c r="UYP62"/>
      <c r="UYQ62"/>
      <c r="UYR62"/>
      <c r="UYS62"/>
      <c r="UYT62"/>
      <c r="UYU62"/>
      <c r="UYV62"/>
      <c r="UYW62"/>
      <c r="UYX62"/>
      <c r="UYY62"/>
      <c r="UYZ62"/>
      <c r="UZA62"/>
      <c r="UZB62"/>
      <c r="UZC62"/>
      <c r="UZD62"/>
      <c r="UZE62"/>
      <c r="UZF62"/>
      <c r="UZG62"/>
      <c r="UZH62"/>
      <c r="UZI62"/>
      <c r="UZJ62"/>
      <c r="UZK62"/>
      <c r="UZL62"/>
      <c r="UZM62"/>
      <c r="UZN62"/>
      <c r="UZO62"/>
      <c r="UZP62"/>
      <c r="UZQ62"/>
      <c r="UZR62"/>
      <c r="UZS62"/>
      <c r="UZT62"/>
      <c r="UZU62"/>
      <c r="UZV62"/>
      <c r="UZW62"/>
      <c r="UZX62"/>
      <c r="UZY62"/>
      <c r="UZZ62"/>
      <c r="VAA62"/>
      <c r="VAB62"/>
      <c r="VAC62"/>
      <c r="VAD62"/>
      <c r="VAE62"/>
      <c r="VAF62"/>
      <c r="VAG62"/>
      <c r="VAH62"/>
      <c r="VAI62"/>
      <c r="VAJ62"/>
      <c r="VAK62"/>
      <c r="VAL62"/>
      <c r="VAM62"/>
      <c r="VAN62"/>
      <c r="VAO62"/>
      <c r="VAP62"/>
      <c r="VAQ62"/>
      <c r="VAR62"/>
      <c r="VAS62"/>
      <c r="VAT62"/>
      <c r="VAU62"/>
      <c r="VAV62"/>
      <c r="VAW62"/>
      <c r="VAX62"/>
      <c r="VAY62"/>
      <c r="VAZ62"/>
      <c r="VBA62"/>
      <c r="VBB62"/>
      <c r="VBC62"/>
      <c r="VBD62"/>
      <c r="VBE62"/>
      <c r="VBF62"/>
      <c r="VBG62"/>
      <c r="VBH62"/>
      <c r="VBI62"/>
      <c r="VBJ62"/>
      <c r="VBK62"/>
      <c r="VBL62"/>
      <c r="VBM62"/>
      <c r="VBN62"/>
      <c r="VBO62"/>
      <c r="VBP62"/>
      <c r="VBQ62"/>
      <c r="VBR62"/>
      <c r="VBS62"/>
      <c r="VBT62"/>
      <c r="VBU62"/>
      <c r="VBV62"/>
      <c r="VBW62"/>
      <c r="VBX62"/>
      <c r="VBY62"/>
      <c r="VBZ62"/>
      <c r="VCA62"/>
      <c r="VCB62"/>
      <c r="VCC62"/>
      <c r="VCD62"/>
      <c r="VCE62"/>
      <c r="VCF62"/>
      <c r="VCG62"/>
      <c r="VCH62"/>
      <c r="VCI62"/>
      <c r="VCJ62"/>
      <c r="VCK62"/>
      <c r="VCL62"/>
      <c r="VCM62"/>
      <c r="VCN62"/>
      <c r="VCO62"/>
      <c r="VCP62"/>
      <c r="VCQ62"/>
      <c r="VCR62"/>
      <c r="VCS62"/>
      <c r="VCT62"/>
      <c r="VCU62"/>
      <c r="VCV62"/>
      <c r="VCW62"/>
      <c r="VCX62"/>
      <c r="VCY62"/>
      <c r="VCZ62"/>
      <c r="VDA62"/>
      <c r="VDB62"/>
      <c r="VDC62"/>
      <c r="VDD62"/>
      <c r="VDE62"/>
      <c r="VDF62"/>
      <c r="VDG62"/>
      <c r="VDH62"/>
      <c r="VDI62"/>
      <c r="VDJ62"/>
      <c r="VDK62"/>
      <c r="VDL62"/>
      <c r="VDM62"/>
      <c r="VDN62"/>
      <c r="VDO62"/>
      <c r="VDP62"/>
      <c r="VDQ62"/>
      <c r="VDR62"/>
      <c r="VDS62"/>
      <c r="VDT62"/>
      <c r="VDU62"/>
      <c r="VDV62"/>
      <c r="VDW62"/>
      <c r="VDX62"/>
      <c r="VDY62"/>
      <c r="VDZ62"/>
      <c r="VEA62"/>
      <c r="VEB62"/>
      <c r="VEC62"/>
      <c r="VED62"/>
      <c r="VEE62"/>
      <c r="VEF62"/>
      <c r="VEG62"/>
      <c r="VEH62"/>
      <c r="VEI62"/>
      <c r="VEJ62"/>
      <c r="VEK62"/>
      <c r="VEL62"/>
      <c r="VEM62"/>
      <c r="VEN62"/>
      <c r="VEO62"/>
      <c r="VEP62"/>
      <c r="VEQ62"/>
      <c r="VER62"/>
      <c r="VES62"/>
      <c r="VET62"/>
      <c r="VEU62"/>
      <c r="VEV62"/>
      <c r="VEW62"/>
      <c r="VEX62"/>
      <c r="VEY62"/>
      <c r="VEZ62"/>
      <c r="VFA62"/>
      <c r="VFB62"/>
      <c r="VFC62"/>
      <c r="VFD62"/>
      <c r="VFE62"/>
      <c r="VFF62"/>
      <c r="VFG62"/>
      <c r="VFH62"/>
      <c r="VFI62"/>
      <c r="VFJ62"/>
      <c r="VFK62"/>
      <c r="VFL62"/>
      <c r="VFM62"/>
      <c r="VFN62"/>
      <c r="VFO62"/>
      <c r="VFP62"/>
      <c r="VFQ62"/>
      <c r="VFR62"/>
      <c r="VFS62"/>
      <c r="VFT62"/>
      <c r="VFU62"/>
      <c r="VFV62"/>
      <c r="VFW62"/>
      <c r="VFX62"/>
      <c r="VFY62"/>
      <c r="VFZ62"/>
      <c r="VGA62"/>
      <c r="VGB62"/>
      <c r="VGC62"/>
      <c r="VGD62"/>
      <c r="VGE62"/>
      <c r="VGF62"/>
      <c r="VGG62"/>
      <c r="VGH62"/>
      <c r="VGI62"/>
      <c r="VGJ62"/>
      <c r="VGK62"/>
      <c r="VGL62"/>
      <c r="VGM62"/>
      <c r="VGN62"/>
      <c r="VGO62"/>
      <c r="VGP62"/>
      <c r="VGQ62"/>
      <c r="VGR62"/>
      <c r="VGS62"/>
      <c r="VGT62"/>
      <c r="VGU62"/>
      <c r="VGV62"/>
      <c r="VGW62"/>
      <c r="VGX62"/>
      <c r="VGY62"/>
      <c r="VGZ62"/>
      <c r="VHA62"/>
      <c r="VHB62"/>
      <c r="VHC62"/>
      <c r="VHD62"/>
      <c r="VHE62"/>
      <c r="VHF62"/>
      <c r="VHG62"/>
      <c r="VHH62"/>
      <c r="VHI62"/>
      <c r="VHJ62"/>
      <c r="VHK62"/>
      <c r="VHL62"/>
      <c r="VHM62"/>
      <c r="VHN62"/>
      <c r="VHO62"/>
      <c r="VHP62"/>
      <c r="VHQ62"/>
      <c r="VHR62"/>
      <c r="VHS62"/>
      <c r="VHT62"/>
      <c r="VHU62"/>
      <c r="VHV62"/>
      <c r="VHW62"/>
      <c r="VHX62"/>
      <c r="VHY62"/>
      <c r="VHZ62"/>
      <c r="VIA62"/>
      <c r="VIB62"/>
      <c r="VIC62"/>
      <c r="VID62"/>
      <c r="VIE62"/>
      <c r="VIF62"/>
      <c r="VIG62"/>
      <c r="VIH62"/>
      <c r="VII62"/>
      <c r="VIJ62"/>
      <c r="VIK62"/>
      <c r="VIL62"/>
      <c r="VIM62"/>
      <c r="VIN62"/>
      <c r="VIO62"/>
      <c r="VIP62"/>
      <c r="VIQ62"/>
      <c r="VIR62"/>
      <c r="VIS62"/>
      <c r="VIT62"/>
      <c r="VIU62"/>
      <c r="VIV62"/>
      <c r="VIW62"/>
      <c r="VIX62"/>
      <c r="VIY62"/>
      <c r="VIZ62"/>
      <c r="VJA62"/>
      <c r="VJB62"/>
      <c r="VJC62"/>
      <c r="VJD62"/>
      <c r="VJE62"/>
      <c r="VJF62"/>
      <c r="VJG62"/>
      <c r="VJH62"/>
      <c r="VJI62"/>
      <c r="VJJ62"/>
      <c r="VJK62"/>
      <c r="VJL62"/>
      <c r="VJM62"/>
      <c r="VJN62"/>
      <c r="VJO62"/>
      <c r="VJP62"/>
      <c r="VJQ62"/>
      <c r="VJR62"/>
      <c r="VJS62"/>
      <c r="VJT62"/>
      <c r="VJU62"/>
      <c r="VJV62"/>
      <c r="VJW62"/>
      <c r="VJX62"/>
      <c r="VJY62"/>
      <c r="VJZ62"/>
      <c r="VKA62"/>
      <c r="VKB62"/>
      <c r="VKC62"/>
      <c r="VKD62"/>
      <c r="VKE62"/>
      <c r="VKF62"/>
      <c r="VKG62"/>
      <c r="VKH62"/>
      <c r="VKI62"/>
      <c r="VKJ62"/>
      <c r="VKK62"/>
      <c r="VKL62"/>
      <c r="VKM62"/>
      <c r="VKN62"/>
      <c r="VKO62"/>
      <c r="VKP62"/>
      <c r="VKQ62"/>
      <c r="VKR62"/>
      <c r="VKS62"/>
      <c r="VKT62"/>
      <c r="VKU62"/>
      <c r="VKV62"/>
      <c r="VKW62"/>
      <c r="VKX62"/>
      <c r="VKY62"/>
      <c r="VKZ62"/>
      <c r="VLA62"/>
      <c r="VLB62"/>
      <c r="VLC62"/>
      <c r="VLD62"/>
      <c r="VLE62"/>
      <c r="VLF62"/>
      <c r="VLG62"/>
      <c r="VLH62"/>
      <c r="VLI62"/>
      <c r="VLJ62"/>
      <c r="VLK62"/>
      <c r="VLL62"/>
      <c r="VLM62"/>
      <c r="VLN62"/>
      <c r="VLO62"/>
      <c r="VLP62"/>
      <c r="VLQ62"/>
      <c r="VLR62"/>
      <c r="VLS62"/>
      <c r="VLT62"/>
      <c r="VLU62"/>
      <c r="VLV62"/>
      <c r="VLW62"/>
      <c r="VLX62"/>
      <c r="VLY62"/>
      <c r="VLZ62"/>
      <c r="VMA62"/>
      <c r="VMB62"/>
      <c r="VMC62"/>
      <c r="VMD62"/>
      <c r="VME62"/>
      <c r="VMF62"/>
      <c r="VMG62"/>
      <c r="VMH62"/>
      <c r="VMI62"/>
      <c r="VMJ62"/>
      <c r="VMK62"/>
      <c r="VML62"/>
      <c r="VMM62"/>
      <c r="VMN62"/>
      <c r="VMO62"/>
      <c r="VMP62"/>
      <c r="VMQ62"/>
      <c r="VMR62"/>
      <c r="VMS62"/>
      <c r="VMT62"/>
      <c r="VMU62"/>
      <c r="VMV62"/>
      <c r="VMW62"/>
      <c r="VMX62"/>
      <c r="VMY62"/>
      <c r="VMZ62"/>
      <c r="VNA62"/>
      <c r="VNB62"/>
      <c r="VNC62"/>
      <c r="VND62"/>
      <c r="VNE62"/>
      <c r="VNF62"/>
      <c r="VNG62"/>
      <c r="VNH62"/>
      <c r="VNI62"/>
      <c r="VNJ62"/>
      <c r="VNK62"/>
      <c r="VNL62"/>
      <c r="VNM62"/>
      <c r="VNN62"/>
      <c r="VNO62"/>
      <c r="VNP62"/>
      <c r="VNQ62"/>
      <c r="VNR62"/>
      <c r="VNS62"/>
      <c r="VNT62"/>
      <c r="VNU62"/>
      <c r="VNV62"/>
      <c r="VNW62"/>
      <c r="VNX62"/>
      <c r="VNY62"/>
      <c r="VNZ62"/>
      <c r="VOA62"/>
      <c r="VOB62"/>
      <c r="VOC62"/>
      <c r="VOD62"/>
      <c r="VOE62"/>
      <c r="VOF62"/>
      <c r="VOG62"/>
      <c r="VOH62"/>
      <c r="VOI62"/>
      <c r="VOJ62"/>
      <c r="VOK62"/>
      <c r="VOL62"/>
      <c r="VOM62"/>
      <c r="VON62"/>
      <c r="VOO62"/>
      <c r="VOP62"/>
      <c r="VOQ62"/>
      <c r="VOR62"/>
      <c r="VOS62"/>
      <c r="VOT62"/>
      <c r="VOU62"/>
      <c r="VOV62"/>
      <c r="VOW62"/>
      <c r="VOX62"/>
      <c r="VOY62"/>
      <c r="VOZ62"/>
      <c r="VPA62"/>
      <c r="VPB62"/>
      <c r="VPC62"/>
      <c r="VPD62"/>
      <c r="VPE62"/>
      <c r="VPF62"/>
      <c r="VPG62"/>
      <c r="VPH62"/>
      <c r="VPI62"/>
      <c r="VPJ62"/>
      <c r="VPK62"/>
      <c r="VPL62"/>
      <c r="VPM62"/>
      <c r="VPN62"/>
      <c r="VPO62"/>
      <c r="VPP62"/>
      <c r="VPQ62"/>
      <c r="VPR62"/>
      <c r="VPS62"/>
      <c r="VPT62"/>
      <c r="VPU62"/>
      <c r="VPV62"/>
      <c r="VPW62"/>
      <c r="VPX62"/>
      <c r="VPY62"/>
      <c r="VPZ62"/>
      <c r="VQA62"/>
      <c r="VQB62"/>
      <c r="VQC62"/>
      <c r="VQD62"/>
      <c r="VQE62"/>
      <c r="VQF62"/>
      <c r="VQG62"/>
      <c r="VQH62"/>
      <c r="VQI62"/>
      <c r="VQJ62"/>
      <c r="VQK62"/>
      <c r="VQL62"/>
      <c r="VQM62"/>
      <c r="VQN62"/>
      <c r="VQO62"/>
      <c r="VQP62"/>
      <c r="VQQ62"/>
      <c r="VQR62"/>
      <c r="VQS62"/>
      <c r="VQT62"/>
      <c r="VQU62"/>
      <c r="VQV62"/>
      <c r="VQW62"/>
      <c r="VQX62"/>
      <c r="VQY62"/>
      <c r="VQZ62"/>
      <c r="VRA62"/>
      <c r="VRB62"/>
      <c r="VRC62"/>
      <c r="VRD62"/>
      <c r="VRE62"/>
      <c r="VRF62"/>
      <c r="VRG62"/>
      <c r="VRH62"/>
      <c r="VRI62"/>
      <c r="VRJ62"/>
      <c r="VRK62"/>
      <c r="VRL62"/>
      <c r="VRM62"/>
      <c r="VRN62"/>
      <c r="VRO62"/>
      <c r="VRP62"/>
      <c r="VRQ62"/>
      <c r="VRR62"/>
      <c r="VRS62"/>
      <c r="VRT62"/>
      <c r="VRU62"/>
      <c r="VRV62"/>
      <c r="VRW62"/>
      <c r="VRX62"/>
      <c r="VRY62"/>
      <c r="VRZ62"/>
      <c r="VSA62"/>
      <c r="VSB62"/>
      <c r="VSC62"/>
      <c r="VSD62"/>
      <c r="VSE62"/>
      <c r="VSF62"/>
      <c r="VSG62"/>
      <c r="VSH62"/>
      <c r="VSI62"/>
      <c r="VSJ62"/>
      <c r="VSK62"/>
      <c r="VSL62"/>
      <c r="VSM62"/>
      <c r="VSN62"/>
      <c r="VSO62"/>
      <c r="VSP62"/>
      <c r="VSQ62"/>
      <c r="VSR62"/>
      <c r="VSS62"/>
      <c r="VST62"/>
      <c r="VSU62"/>
      <c r="VSV62"/>
      <c r="VSW62"/>
      <c r="VSX62"/>
      <c r="VSY62"/>
      <c r="VSZ62"/>
      <c r="VTA62"/>
      <c r="VTB62"/>
      <c r="VTC62"/>
      <c r="VTD62"/>
      <c r="VTE62"/>
      <c r="VTF62"/>
      <c r="VTG62"/>
      <c r="VTH62"/>
      <c r="VTI62"/>
      <c r="VTJ62"/>
      <c r="VTK62"/>
      <c r="VTL62"/>
      <c r="VTM62"/>
      <c r="VTN62"/>
      <c r="VTO62"/>
      <c r="VTP62"/>
      <c r="VTQ62"/>
      <c r="VTR62"/>
      <c r="VTS62"/>
      <c r="VTT62"/>
      <c r="VTU62"/>
      <c r="VTV62"/>
      <c r="VTW62"/>
      <c r="VTX62"/>
      <c r="VTY62"/>
      <c r="VTZ62"/>
      <c r="VUA62"/>
      <c r="VUB62"/>
      <c r="VUC62"/>
      <c r="VUD62"/>
      <c r="VUE62"/>
      <c r="VUF62"/>
      <c r="VUG62"/>
      <c r="VUH62"/>
      <c r="VUI62"/>
      <c r="VUJ62"/>
      <c r="VUK62"/>
      <c r="VUL62"/>
      <c r="VUM62"/>
      <c r="VUN62"/>
      <c r="VUO62"/>
      <c r="VUP62"/>
      <c r="VUQ62"/>
      <c r="VUR62"/>
      <c r="VUS62"/>
      <c r="VUT62"/>
      <c r="VUU62"/>
      <c r="VUV62"/>
      <c r="VUW62"/>
      <c r="VUX62"/>
      <c r="VUY62"/>
      <c r="VUZ62"/>
      <c r="VVA62"/>
      <c r="VVB62"/>
      <c r="VVC62"/>
      <c r="VVD62"/>
      <c r="VVE62"/>
      <c r="VVF62"/>
      <c r="VVG62"/>
      <c r="VVH62"/>
      <c r="VVI62"/>
      <c r="VVJ62"/>
      <c r="VVK62"/>
      <c r="VVL62"/>
      <c r="VVM62"/>
      <c r="VVN62"/>
      <c r="VVO62"/>
      <c r="VVP62"/>
      <c r="VVQ62"/>
      <c r="VVR62"/>
      <c r="VVS62"/>
      <c r="VVT62"/>
      <c r="VVU62"/>
      <c r="VVV62"/>
      <c r="VVW62"/>
      <c r="VVX62"/>
      <c r="VVY62"/>
      <c r="VVZ62"/>
      <c r="VWA62"/>
      <c r="VWB62"/>
      <c r="VWC62"/>
      <c r="VWD62"/>
      <c r="VWE62"/>
      <c r="VWF62"/>
      <c r="VWG62"/>
      <c r="VWH62"/>
      <c r="VWI62"/>
      <c r="VWJ62"/>
      <c r="VWK62"/>
      <c r="VWL62"/>
      <c r="VWM62"/>
      <c r="VWN62"/>
      <c r="VWO62"/>
      <c r="VWP62"/>
      <c r="VWQ62"/>
      <c r="VWR62"/>
      <c r="VWS62"/>
      <c r="VWT62"/>
      <c r="VWU62"/>
      <c r="VWV62"/>
      <c r="VWW62"/>
      <c r="VWX62"/>
      <c r="VWY62"/>
      <c r="VWZ62"/>
      <c r="VXA62"/>
      <c r="VXB62"/>
      <c r="VXC62"/>
      <c r="VXD62"/>
      <c r="VXE62"/>
      <c r="VXF62"/>
      <c r="VXG62"/>
      <c r="VXH62"/>
      <c r="VXI62"/>
      <c r="VXJ62"/>
      <c r="VXK62"/>
      <c r="VXL62"/>
      <c r="VXM62"/>
      <c r="VXN62"/>
      <c r="VXO62"/>
      <c r="VXP62"/>
      <c r="VXQ62"/>
      <c r="VXR62"/>
      <c r="VXS62"/>
      <c r="VXT62"/>
      <c r="VXU62"/>
      <c r="VXV62"/>
      <c r="VXW62"/>
      <c r="VXX62"/>
      <c r="VXY62"/>
      <c r="VXZ62"/>
      <c r="VYA62"/>
      <c r="VYB62"/>
      <c r="VYC62"/>
      <c r="VYD62"/>
      <c r="VYE62"/>
      <c r="VYF62"/>
      <c r="VYG62"/>
      <c r="VYH62"/>
      <c r="VYI62"/>
      <c r="VYJ62"/>
      <c r="VYK62"/>
      <c r="VYL62"/>
      <c r="VYM62"/>
      <c r="VYN62"/>
      <c r="VYO62"/>
      <c r="VYP62"/>
      <c r="VYQ62"/>
      <c r="VYR62"/>
      <c r="VYS62"/>
      <c r="VYT62"/>
      <c r="VYU62"/>
      <c r="VYV62"/>
      <c r="VYW62"/>
      <c r="VYX62"/>
      <c r="VYY62"/>
      <c r="VYZ62"/>
      <c r="VZA62"/>
      <c r="VZB62"/>
      <c r="VZC62"/>
      <c r="VZD62"/>
      <c r="VZE62"/>
      <c r="VZF62"/>
      <c r="VZG62"/>
      <c r="VZH62"/>
      <c r="VZI62"/>
      <c r="VZJ62"/>
      <c r="VZK62"/>
      <c r="VZL62"/>
      <c r="VZM62"/>
      <c r="VZN62"/>
      <c r="VZO62"/>
      <c r="VZP62"/>
      <c r="VZQ62"/>
      <c r="VZR62"/>
      <c r="VZS62"/>
      <c r="VZT62"/>
      <c r="VZU62"/>
      <c r="VZV62"/>
      <c r="VZW62"/>
      <c r="VZX62"/>
      <c r="VZY62"/>
      <c r="VZZ62"/>
      <c r="WAA62"/>
      <c r="WAB62"/>
      <c r="WAC62"/>
      <c r="WAD62"/>
      <c r="WAE62"/>
      <c r="WAF62"/>
      <c r="WAG62"/>
      <c r="WAH62"/>
      <c r="WAI62"/>
      <c r="WAJ62"/>
      <c r="WAK62"/>
      <c r="WAL62"/>
      <c r="WAM62"/>
      <c r="WAN62"/>
      <c r="WAO62"/>
      <c r="WAP62"/>
      <c r="WAQ62"/>
      <c r="WAR62"/>
      <c r="WAS62"/>
      <c r="WAT62"/>
      <c r="WAU62"/>
      <c r="WAV62"/>
      <c r="WAW62"/>
      <c r="WAX62"/>
      <c r="WAY62"/>
      <c r="WAZ62"/>
      <c r="WBA62"/>
      <c r="WBB62"/>
      <c r="WBC62"/>
      <c r="WBD62"/>
      <c r="WBE62"/>
      <c r="WBF62"/>
      <c r="WBG62"/>
      <c r="WBH62"/>
      <c r="WBI62"/>
      <c r="WBJ62"/>
      <c r="WBK62"/>
      <c r="WBL62"/>
      <c r="WBM62"/>
      <c r="WBN62"/>
      <c r="WBO62"/>
      <c r="WBP62"/>
      <c r="WBQ62"/>
      <c r="WBR62"/>
      <c r="WBS62"/>
      <c r="WBT62"/>
      <c r="WBU62"/>
      <c r="WBV62"/>
      <c r="WBW62"/>
      <c r="WBX62"/>
      <c r="WBY62"/>
      <c r="WBZ62"/>
      <c r="WCA62"/>
      <c r="WCB62"/>
      <c r="WCC62"/>
      <c r="WCD62"/>
      <c r="WCE62"/>
      <c r="WCF62"/>
      <c r="WCG62"/>
      <c r="WCH62"/>
      <c r="WCI62"/>
      <c r="WCJ62"/>
      <c r="WCK62"/>
      <c r="WCL62"/>
      <c r="WCM62"/>
      <c r="WCN62"/>
      <c r="WCO62"/>
      <c r="WCP62"/>
      <c r="WCQ62"/>
      <c r="WCR62"/>
      <c r="WCS62"/>
      <c r="WCT62"/>
      <c r="WCU62"/>
      <c r="WCV62"/>
      <c r="WCW62"/>
      <c r="WCX62"/>
      <c r="WCY62"/>
      <c r="WCZ62"/>
      <c r="WDA62"/>
      <c r="WDB62"/>
      <c r="WDC62"/>
      <c r="WDD62"/>
      <c r="WDE62"/>
      <c r="WDF62"/>
      <c r="WDG62"/>
      <c r="WDH62"/>
      <c r="WDI62"/>
      <c r="WDJ62"/>
      <c r="WDK62"/>
      <c r="WDL62"/>
      <c r="WDM62"/>
      <c r="WDN62"/>
      <c r="WDO62"/>
      <c r="WDP62"/>
      <c r="WDQ62"/>
      <c r="WDR62"/>
      <c r="WDS62"/>
      <c r="WDT62"/>
      <c r="WDU62"/>
      <c r="WDV62"/>
      <c r="WDW62"/>
      <c r="WDX62"/>
      <c r="WDY62"/>
      <c r="WDZ62"/>
      <c r="WEA62"/>
      <c r="WEB62"/>
      <c r="WEC62"/>
      <c r="WED62"/>
      <c r="WEE62"/>
      <c r="WEF62"/>
      <c r="WEG62"/>
      <c r="WEH62"/>
      <c r="WEI62"/>
      <c r="WEJ62"/>
      <c r="WEK62"/>
      <c r="WEL62"/>
      <c r="WEM62"/>
      <c r="WEN62"/>
      <c r="WEO62"/>
      <c r="WEP62"/>
      <c r="WEQ62"/>
      <c r="WER62"/>
      <c r="WES62"/>
      <c r="WET62"/>
      <c r="WEU62"/>
      <c r="WEV62"/>
      <c r="WEW62"/>
      <c r="WEX62"/>
      <c r="WEY62"/>
      <c r="WEZ62"/>
      <c r="WFA62"/>
      <c r="WFB62"/>
      <c r="WFC62"/>
      <c r="WFD62"/>
      <c r="WFE62"/>
      <c r="WFF62"/>
      <c r="WFG62"/>
      <c r="WFH62"/>
      <c r="WFI62"/>
      <c r="WFJ62"/>
      <c r="WFK62"/>
      <c r="WFL62"/>
      <c r="WFM62"/>
      <c r="WFN62"/>
      <c r="WFO62"/>
      <c r="WFP62"/>
      <c r="WFQ62"/>
      <c r="WFR62"/>
      <c r="WFS62"/>
      <c r="WFT62"/>
      <c r="WFU62"/>
      <c r="WFV62"/>
      <c r="WFW62"/>
      <c r="WFX62"/>
      <c r="WFY62"/>
      <c r="WFZ62"/>
      <c r="WGA62"/>
      <c r="WGB62"/>
      <c r="WGC62"/>
      <c r="WGD62"/>
      <c r="WGE62"/>
      <c r="WGF62"/>
      <c r="WGG62"/>
      <c r="WGH62"/>
      <c r="WGI62"/>
      <c r="WGJ62"/>
      <c r="WGK62"/>
      <c r="WGL62"/>
      <c r="WGM62"/>
      <c r="WGN62"/>
      <c r="WGO62"/>
      <c r="WGP62"/>
      <c r="WGQ62"/>
      <c r="WGR62"/>
      <c r="WGS62"/>
      <c r="WGT62"/>
      <c r="WGU62"/>
      <c r="WGV62"/>
      <c r="WGW62"/>
      <c r="WGX62"/>
      <c r="WGY62"/>
      <c r="WGZ62"/>
      <c r="WHA62"/>
      <c r="WHB62"/>
      <c r="WHC62"/>
      <c r="WHD62"/>
      <c r="WHE62"/>
      <c r="WHF62"/>
      <c r="WHG62"/>
      <c r="WHH62"/>
      <c r="WHI62"/>
      <c r="WHJ62"/>
      <c r="WHK62"/>
      <c r="WHL62"/>
      <c r="WHM62"/>
      <c r="WHN62"/>
      <c r="WHO62"/>
      <c r="WHP62"/>
      <c r="WHQ62"/>
      <c r="WHR62"/>
      <c r="WHS62"/>
      <c r="WHT62"/>
      <c r="WHU62"/>
      <c r="WHV62"/>
      <c r="WHW62"/>
      <c r="WHX62"/>
      <c r="WHY62"/>
      <c r="WHZ62"/>
      <c r="WIA62"/>
      <c r="WIB62"/>
      <c r="WIC62"/>
      <c r="WID62"/>
      <c r="WIE62"/>
      <c r="WIF62"/>
      <c r="WIG62"/>
      <c r="WIH62"/>
      <c r="WII62"/>
      <c r="WIJ62"/>
      <c r="WIK62"/>
      <c r="WIL62"/>
      <c r="WIM62"/>
      <c r="WIN62"/>
      <c r="WIO62"/>
      <c r="WIP62"/>
      <c r="WIQ62"/>
      <c r="WIR62"/>
      <c r="WIS62"/>
      <c r="WIT62"/>
      <c r="WIU62"/>
      <c r="WIV62"/>
      <c r="WIW62"/>
      <c r="WIX62"/>
      <c r="WIY62"/>
      <c r="WIZ62"/>
      <c r="WJA62"/>
      <c r="WJB62"/>
      <c r="WJC62"/>
      <c r="WJD62"/>
      <c r="WJE62"/>
      <c r="WJF62"/>
      <c r="WJG62"/>
      <c r="WJH62"/>
      <c r="WJI62"/>
      <c r="WJJ62"/>
      <c r="WJK62"/>
      <c r="WJL62"/>
      <c r="WJM62"/>
      <c r="WJN62"/>
      <c r="WJO62"/>
      <c r="WJP62"/>
      <c r="WJQ62"/>
      <c r="WJR62"/>
      <c r="WJS62"/>
      <c r="WJT62"/>
      <c r="WJU62"/>
      <c r="WJV62"/>
      <c r="WJW62"/>
      <c r="WJX62"/>
      <c r="WJY62"/>
      <c r="WJZ62"/>
      <c r="WKA62"/>
      <c r="WKB62"/>
      <c r="WKC62"/>
      <c r="WKD62"/>
      <c r="WKE62"/>
      <c r="WKF62"/>
      <c r="WKG62"/>
      <c r="WKH62"/>
      <c r="WKI62"/>
      <c r="WKJ62"/>
      <c r="WKK62"/>
      <c r="WKL62"/>
      <c r="WKM62"/>
      <c r="WKN62"/>
      <c r="WKO62"/>
      <c r="WKP62"/>
      <c r="WKQ62"/>
      <c r="WKR62"/>
      <c r="WKS62"/>
      <c r="WKT62"/>
      <c r="WKU62"/>
      <c r="WKV62"/>
      <c r="WKW62"/>
      <c r="WKX62"/>
      <c r="WKY62"/>
      <c r="WKZ62"/>
      <c r="WLA62"/>
      <c r="WLB62"/>
      <c r="WLC62"/>
      <c r="WLD62"/>
      <c r="WLE62"/>
      <c r="WLF62"/>
      <c r="WLG62"/>
      <c r="WLH62"/>
      <c r="WLI62"/>
      <c r="WLJ62"/>
      <c r="WLK62"/>
      <c r="WLL62"/>
      <c r="WLM62"/>
      <c r="WLN62"/>
      <c r="WLO62"/>
      <c r="WLP62"/>
      <c r="WLQ62"/>
      <c r="WLR62"/>
      <c r="WLS62"/>
      <c r="WLT62"/>
      <c r="WLU62"/>
      <c r="WLV62"/>
      <c r="WLW62"/>
      <c r="WLX62"/>
      <c r="WLY62"/>
      <c r="WLZ62"/>
      <c r="WMA62"/>
      <c r="WMB62"/>
      <c r="WMC62"/>
      <c r="WMD62"/>
      <c r="WME62"/>
      <c r="WMF62"/>
      <c r="WMG62"/>
      <c r="WMH62"/>
      <c r="WMI62"/>
      <c r="WMJ62"/>
      <c r="WMK62"/>
      <c r="WML62"/>
      <c r="WMM62"/>
      <c r="WMN62"/>
      <c r="WMO62"/>
      <c r="WMP62"/>
      <c r="WMQ62"/>
      <c r="WMR62"/>
      <c r="WMS62"/>
      <c r="WMT62"/>
      <c r="WMU62"/>
      <c r="WMV62"/>
      <c r="WMW62"/>
      <c r="WMX62"/>
      <c r="WMY62"/>
      <c r="WMZ62"/>
      <c r="WNA62"/>
      <c r="WNB62"/>
      <c r="WNC62"/>
      <c r="WND62"/>
      <c r="WNE62"/>
      <c r="WNF62"/>
      <c r="WNG62"/>
      <c r="WNH62"/>
      <c r="WNI62"/>
      <c r="WNJ62"/>
      <c r="WNK62"/>
      <c r="WNL62"/>
      <c r="WNM62"/>
      <c r="WNN62"/>
      <c r="WNO62"/>
      <c r="WNP62"/>
      <c r="WNQ62"/>
      <c r="WNR62"/>
      <c r="WNS62"/>
      <c r="WNT62"/>
      <c r="WNU62"/>
      <c r="WNV62"/>
      <c r="WNW62"/>
      <c r="WNX62"/>
      <c r="WNY62"/>
      <c r="WNZ62"/>
      <c r="WOA62"/>
      <c r="WOB62"/>
      <c r="WOC62"/>
      <c r="WOD62"/>
      <c r="WOE62"/>
      <c r="WOF62"/>
      <c r="WOG62"/>
      <c r="WOH62"/>
      <c r="WOI62"/>
      <c r="WOJ62"/>
      <c r="WOK62"/>
      <c r="WOL62"/>
      <c r="WOM62"/>
      <c r="WON62"/>
      <c r="WOO62"/>
      <c r="WOP62"/>
      <c r="WOQ62"/>
      <c r="WOR62"/>
      <c r="WOS62"/>
      <c r="WOT62"/>
      <c r="WOU62"/>
      <c r="WOV62"/>
      <c r="WOW62"/>
      <c r="WOX62"/>
      <c r="WOY62"/>
      <c r="WOZ62"/>
      <c r="WPA62"/>
      <c r="WPB62"/>
      <c r="WPC62"/>
      <c r="WPD62"/>
      <c r="WPE62"/>
      <c r="WPF62"/>
      <c r="WPG62"/>
      <c r="WPH62"/>
      <c r="WPI62"/>
      <c r="WPJ62"/>
      <c r="WPK62"/>
      <c r="WPL62"/>
      <c r="WPM62"/>
      <c r="WPN62"/>
      <c r="WPO62"/>
      <c r="WPP62"/>
      <c r="WPQ62"/>
      <c r="WPR62"/>
      <c r="WPS62"/>
      <c r="WPT62"/>
      <c r="WPU62"/>
      <c r="WPV62"/>
      <c r="WPW62"/>
      <c r="WPX62"/>
      <c r="WPY62"/>
      <c r="WPZ62"/>
      <c r="WQA62"/>
      <c r="WQB62"/>
      <c r="WQC62"/>
      <c r="WQD62"/>
      <c r="WQE62"/>
      <c r="WQF62"/>
      <c r="WQG62"/>
      <c r="WQH62"/>
      <c r="WQI62"/>
      <c r="WQJ62"/>
      <c r="WQK62"/>
      <c r="WQL62"/>
      <c r="WQM62"/>
      <c r="WQN62"/>
      <c r="WQO62"/>
      <c r="WQP62"/>
      <c r="WQQ62"/>
      <c r="WQR62"/>
      <c r="WQS62"/>
      <c r="WQT62"/>
      <c r="WQU62"/>
      <c r="WQV62"/>
      <c r="WQW62"/>
      <c r="WQX62"/>
      <c r="WQY62"/>
      <c r="WQZ62"/>
      <c r="WRA62"/>
      <c r="WRB62"/>
      <c r="WRC62"/>
      <c r="WRD62"/>
      <c r="WRE62"/>
      <c r="WRF62"/>
      <c r="WRG62"/>
      <c r="WRH62"/>
      <c r="WRI62"/>
      <c r="WRJ62"/>
      <c r="WRK62"/>
      <c r="WRL62"/>
      <c r="WRM62"/>
      <c r="WRN62"/>
      <c r="WRO62"/>
      <c r="WRP62"/>
      <c r="WRQ62"/>
      <c r="WRR62"/>
      <c r="WRS62"/>
      <c r="WRT62"/>
      <c r="WRU62"/>
      <c r="WRV62"/>
      <c r="WRW62"/>
      <c r="WRX62"/>
      <c r="WRY62"/>
      <c r="WRZ62"/>
      <c r="WSA62"/>
      <c r="WSB62"/>
      <c r="WSC62"/>
      <c r="WSD62"/>
      <c r="WSE62"/>
      <c r="WSF62"/>
      <c r="WSG62"/>
      <c r="WSH62"/>
      <c r="WSI62"/>
      <c r="WSJ62"/>
      <c r="WSK62"/>
      <c r="WSL62"/>
      <c r="WSM62"/>
      <c r="WSN62"/>
      <c r="WSO62"/>
      <c r="WSP62"/>
      <c r="WSQ62"/>
      <c r="WSR62"/>
      <c r="WSS62"/>
      <c r="WST62"/>
      <c r="WSU62"/>
      <c r="WSV62"/>
      <c r="WSW62"/>
      <c r="WSX62"/>
      <c r="WSY62"/>
      <c r="WSZ62"/>
      <c r="WTA62"/>
      <c r="WTB62"/>
      <c r="WTC62"/>
      <c r="WTD62"/>
      <c r="WTE62"/>
      <c r="WTF62"/>
      <c r="WTG62"/>
      <c r="WTH62"/>
      <c r="WTI62"/>
      <c r="WTJ62"/>
      <c r="WTK62"/>
      <c r="WTL62"/>
      <c r="WTM62"/>
      <c r="WTN62"/>
      <c r="WTO62"/>
      <c r="WTP62"/>
      <c r="WTQ62"/>
      <c r="WTR62"/>
      <c r="WTS62"/>
      <c r="WTT62"/>
      <c r="WTU62"/>
      <c r="WTV62"/>
      <c r="WTW62"/>
      <c r="WTX62"/>
      <c r="WTY62"/>
      <c r="WTZ62"/>
      <c r="WUA62"/>
      <c r="WUB62"/>
      <c r="WUC62"/>
      <c r="WUD62"/>
      <c r="WUE62"/>
      <c r="WUF62"/>
      <c r="WUG62"/>
      <c r="WUH62"/>
      <c r="WUI62"/>
      <c r="WUJ62"/>
      <c r="WUK62"/>
      <c r="WUL62"/>
      <c r="WUM62"/>
      <c r="WUN62"/>
      <c r="WUO62"/>
      <c r="WUP62"/>
      <c r="WUQ62"/>
      <c r="WUR62"/>
      <c r="WUS62"/>
      <c r="WUT62"/>
      <c r="WUU62"/>
      <c r="WUV62"/>
      <c r="WUW62"/>
      <c r="WUX62"/>
      <c r="WUY62"/>
      <c r="WUZ62"/>
      <c r="WVA62"/>
      <c r="WVB62"/>
      <c r="WVC62"/>
      <c r="WVD62"/>
      <c r="WVE62"/>
      <c r="WVF62"/>
      <c r="WVG62"/>
      <c r="WVH62"/>
      <c r="WVI62"/>
      <c r="WVJ62"/>
      <c r="WVK62"/>
      <c r="WVL62"/>
      <c r="WVM62"/>
      <c r="WVN62"/>
      <c r="WVO62"/>
      <c r="WVP62"/>
      <c r="WVQ62"/>
      <c r="WVR62"/>
      <c r="WVS62"/>
      <c r="WVT62"/>
      <c r="WVU62"/>
      <c r="WVV62"/>
      <c r="WVW62"/>
      <c r="WVX62"/>
      <c r="WVY62"/>
      <c r="WVZ62"/>
      <c r="WWA62"/>
      <c r="WWB62"/>
      <c r="WWC62"/>
      <c r="WWD62"/>
      <c r="WWE62"/>
      <c r="WWF62"/>
      <c r="WWG62"/>
      <c r="WWH62"/>
      <c r="WWI62"/>
      <c r="WWJ62"/>
      <c r="WWK62"/>
      <c r="WWL62"/>
      <c r="WWM62"/>
      <c r="WWN62"/>
      <c r="WWO62"/>
      <c r="WWP62"/>
      <c r="WWQ62"/>
      <c r="WWR62"/>
      <c r="WWS62"/>
      <c r="WWT62"/>
      <c r="WWU62"/>
      <c r="WWV62"/>
      <c r="WWW62"/>
      <c r="WWX62"/>
      <c r="WWY62"/>
      <c r="WWZ62"/>
      <c r="WXA62"/>
      <c r="WXB62"/>
      <c r="WXC62"/>
      <c r="WXD62"/>
      <c r="WXE62"/>
      <c r="WXF62"/>
      <c r="WXG62"/>
      <c r="WXH62"/>
      <c r="WXI62"/>
      <c r="WXJ62"/>
      <c r="WXK62"/>
      <c r="WXL62"/>
      <c r="WXM62"/>
      <c r="WXN62"/>
      <c r="WXO62"/>
      <c r="WXP62"/>
      <c r="WXQ62"/>
      <c r="WXR62"/>
      <c r="WXS62"/>
      <c r="WXT62"/>
      <c r="WXU62"/>
      <c r="WXV62"/>
      <c r="WXW62"/>
      <c r="WXX62"/>
      <c r="WXY62"/>
      <c r="WXZ62"/>
      <c r="WYA62"/>
      <c r="WYB62"/>
      <c r="WYC62"/>
      <c r="WYD62"/>
      <c r="WYE62"/>
      <c r="WYF62"/>
      <c r="WYG62"/>
      <c r="WYH62"/>
      <c r="WYI62"/>
      <c r="WYJ62"/>
      <c r="WYK62"/>
      <c r="WYL62"/>
      <c r="WYM62"/>
      <c r="WYN62"/>
      <c r="WYO62"/>
      <c r="WYP62"/>
      <c r="WYQ62"/>
      <c r="WYR62"/>
      <c r="WYS62"/>
      <c r="WYT62"/>
      <c r="WYU62"/>
      <c r="WYV62"/>
      <c r="WYW62"/>
      <c r="WYX62"/>
      <c r="WYY62"/>
      <c r="WYZ62"/>
      <c r="WZA62"/>
      <c r="WZB62"/>
      <c r="WZC62"/>
      <c r="WZD62"/>
      <c r="WZE62"/>
      <c r="WZF62"/>
      <c r="WZG62"/>
      <c r="WZH62"/>
      <c r="WZI62"/>
      <c r="WZJ62"/>
      <c r="WZK62"/>
      <c r="WZL62"/>
      <c r="WZM62"/>
      <c r="WZN62"/>
      <c r="WZO62"/>
      <c r="WZP62"/>
      <c r="WZQ62"/>
      <c r="WZR62"/>
      <c r="WZS62"/>
      <c r="WZT62"/>
      <c r="WZU62"/>
      <c r="WZV62"/>
      <c r="WZW62"/>
      <c r="WZX62"/>
      <c r="WZY62"/>
      <c r="WZZ62"/>
      <c r="XAA62"/>
      <c r="XAB62"/>
      <c r="XAC62"/>
      <c r="XAD62"/>
      <c r="XAE62"/>
      <c r="XAF62"/>
      <c r="XAG62"/>
      <c r="XAH62"/>
      <c r="XAI62"/>
      <c r="XAJ62"/>
      <c r="XAK62"/>
      <c r="XAL62"/>
      <c r="XAM62"/>
      <c r="XAN62"/>
      <c r="XAO62"/>
      <c r="XAP62"/>
      <c r="XAQ62"/>
      <c r="XAR62"/>
      <c r="XAS62"/>
      <c r="XAT62"/>
      <c r="XAU62"/>
      <c r="XAV62"/>
      <c r="XAW62"/>
      <c r="XAX62"/>
      <c r="XAY62"/>
      <c r="XAZ62"/>
      <c r="XBA62"/>
      <c r="XBB62"/>
      <c r="XBC62"/>
      <c r="XBD62"/>
      <c r="XBE62"/>
      <c r="XBF62"/>
      <c r="XBG62"/>
      <c r="XBH62"/>
      <c r="XBI62"/>
      <c r="XBJ62"/>
      <c r="XBK62"/>
      <c r="XBL62"/>
      <c r="XBM62"/>
      <c r="XBN62"/>
      <c r="XBO62"/>
      <c r="XBP62"/>
      <c r="XBQ62"/>
      <c r="XBR62"/>
      <c r="XBS62"/>
      <c r="XBT62"/>
      <c r="XBU62"/>
      <c r="XBV62"/>
      <c r="XBW62"/>
      <c r="XBX62"/>
      <c r="XBY62"/>
      <c r="XBZ62"/>
      <c r="XCA62"/>
      <c r="XCB62"/>
      <c r="XCC62"/>
      <c r="XCD62"/>
      <c r="XCE62"/>
      <c r="XCF62"/>
      <c r="XCG62"/>
      <c r="XCH62"/>
      <c r="XCI62"/>
      <c r="XCJ62"/>
      <c r="XCK62"/>
      <c r="XCL62"/>
      <c r="XCM62"/>
      <c r="XCN62"/>
      <c r="XCO62"/>
      <c r="XCP62"/>
      <c r="XCQ62"/>
      <c r="XCR62"/>
      <c r="XCS62"/>
      <c r="XCT62"/>
      <c r="XCU62"/>
      <c r="XCV62"/>
      <c r="XCW62"/>
      <c r="XCX62"/>
      <c r="XCY62"/>
      <c r="XCZ62"/>
      <c r="XDA62"/>
      <c r="XDB62"/>
      <c r="XDC62"/>
      <c r="XDD62"/>
      <c r="XDE62"/>
      <c r="XDF62"/>
      <c r="XDG62"/>
      <c r="XDH62"/>
      <c r="XDI62"/>
      <c r="XDJ62"/>
      <c r="XDK62"/>
      <c r="XDL62"/>
      <c r="XDM62"/>
      <c r="XDN62"/>
      <c r="XDO62"/>
      <c r="XDP62"/>
      <c r="XDQ62"/>
      <c r="XDR62"/>
      <c r="XDS62"/>
      <c r="XDT62"/>
      <c r="XDU62"/>
      <c r="XDV62"/>
      <c r="XDW62"/>
      <c r="XDX62"/>
      <c r="XDY62"/>
      <c r="XDZ62"/>
      <c r="XEA62"/>
      <c r="XEB62"/>
      <c r="XEC62"/>
      <c r="XED62"/>
      <c r="XEE62"/>
      <c r="XEF62"/>
      <c r="XEG62"/>
      <c r="XEH62"/>
      <c r="XEI62"/>
      <c r="XEJ62"/>
      <c r="XEK62"/>
      <c r="XEL62"/>
      <c r="XEM62"/>
      <c r="XEN62"/>
      <c r="XEO62"/>
      <c r="XEP62"/>
      <c r="XEQ62"/>
      <c r="XER62"/>
      <c r="XES62"/>
      <c r="XET62"/>
      <c r="XEU62"/>
      <c r="XEV62"/>
      <c r="XEW62"/>
      <c r="XEX62"/>
      <c r="XEY62"/>
      <c r="XEZ62"/>
      <c r="XFA62"/>
      <c r="XFB62"/>
      <c r="XFC62"/>
    </row>
    <row r="63" spans="2:16383">
      <c r="B63" t="s">
        <v>6</v>
      </c>
      <c r="C63" s="79">
        <f t="shared" ref="C63:M63" ca="1" si="8">IFERROR(C61*(1-C62),0)</f>
        <v>-191.93752604588477</v>
      </c>
      <c r="D63" s="79">
        <f t="shared" ca="1" si="8"/>
        <v>-169.39080982089374</v>
      </c>
      <c r="E63" s="79">
        <f t="shared" ca="1" si="8"/>
        <v>-149.50106726025467</v>
      </c>
      <c r="F63" s="79">
        <f t="shared" ca="1" si="8"/>
        <v>-86.630639563987955</v>
      </c>
      <c r="G63" s="79">
        <f t="shared" ca="1" si="8"/>
        <v>-26.872195298376948</v>
      </c>
      <c r="H63" s="79">
        <f t="shared" ca="1" si="8"/>
        <v>56.710556004724218</v>
      </c>
      <c r="I63" s="79">
        <f t="shared" ca="1" si="8"/>
        <v>176.93066013103311</v>
      </c>
      <c r="J63" s="79">
        <f t="shared" ca="1" si="8"/>
        <v>333.99337096396795</v>
      </c>
      <c r="K63" s="79">
        <f t="shared" ca="1" si="8"/>
        <v>495.70490871649855</v>
      </c>
      <c r="L63" s="79">
        <f t="shared" ca="1" si="8"/>
        <v>652.57974572037779</v>
      </c>
      <c r="M63" s="79">
        <f t="shared" ca="1" si="8"/>
        <v>681.94583427779469</v>
      </c>
    </row>
    <row r="64" spans="2:16383">
      <c r="B64" t="s">
        <v>7</v>
      </c>
      <c r="C64" s="7">
        <f>-INDEX(Model!$A:$AQ,MATCH("DD&amp;A",Model!$A:$A,0),MATCH(DCF!C$51,Model!$3:$3,0))+INDEX(Model!$A:$AQ,MATCH("ROU D&amp;A",Model!$A:$A,0),MATCH(DCF!C$51,Model!$3:$3,0))</f>
        <v>184.66168738191539</v>
      </c>
      <c r="D64" s="7">
        <f>-INDEX(Model!$A:$AQ,MATCH("DD&amp;A",Model!$A:$A,0),MATCH(DCF!D$51,Model!$3:$3,0))+INDEX(Model!$A:$AQ,MATCH("ROU D&amp;A",Model!$A:$A,0),MATCH(DCF!D$51,Model!$3:$3,0))</f>
        <v>235.45300701342725</v>
      </c>
      <c r="E64" s="7">
        <f>-INDEX(Model!$A:$AQ,MATCH("DD&amp;A",Model!$A:$A,0),MATCH(DCF!E$51,Model!$3:$3,0))+INDEX(Model!$A:$AQ,MATCH("ROU D&amp;A",Model!$A:$A,0),MATCH(DCF!E$51,Model!$3:$3,0))</f>
        <v>281.06019615453999</v>
      </c>
      <c r="F64" s="7">
        <f>-INDEX(Model!$A:$AQ,MATCH("DD&amp;A",Model!$A:$A,0),MATCH(DCF!F$51,Model!$3:$3,0))+INDEX(Model!$A:$AQ,MATCH("ROU D&amp;A",Model!$A:$A,0),MATCH(DCF!F$51,Model!$3:$3,0))</f>
        <v>300.60104335167023</v>
      </c>
      <c r="G64" s="7">
        <f>-INDEX(Model!$A:$AQ,MATCH("DD&amp;A",Model!$A:$A,0),MATCH(DCF!G$51,Model!$3:$3,0))+INDEX(Model!$A:$AQ,MATCH("ROU D&amp;A",Model!$A:$A,0),MATCH(DCF!G$51,Model!$3:$3,0))</f>
        <v>362.71021204406514</v>
      </c>
      <c r="H64" s="7">
        <f>-INDEX(Model!$A:$AQ,MATCH("DD&amp;A",Model!$A:$A,0),MATCH(DCF!H$51,Model!$3:$3,0))+INDEX(Model!$A:$AQ,MATCH("ROU D&amp;A",Model!$A:$A,0),MATCH(DCF!H$51,Model!$3:$3,0))</f>
        <v>425.78469953588024</v>
      </c>
      <c r="I64" s="7">
        <f>-INDEX(Model!$A:$AQ,MATCH("DD&amp;A",Model!$A:$A,0),MATCH(DCF!I$51,Model!$3:$3,0))+INDEX(Model!$A:$AQ,MATCH("ROU D&amp;A",Model!$A:$A,0),MATCH(DCF!I$51,Model!$3:$3,0))</f>
        <v>500.31238664702278</v>
      </c>
      <c r="J64" s="7">
        <f>-INDEX(Model!$A:$AQ,MATCH("DD&amp;A",Model!$A:$A,0),MATCH(DCF!J$51,Model!$3:$3,0))+INDEX(Model!$A:$AQ,MATCH("ROU D&amp;A",Model!$A:$A,0),MATCH(DCF!J$51,Model!$3:$3,0))</f>
        <v>564.60383717609784</v>
      </c>
      <c r="K64" s="7">
        <f>-INDEX(Model!$A:$AQ,MATCH("DD&amp;A",Model!$A:$A,0),MATCH(DCF!K$51,Model!$3:$3,0))+INDEX(Model!$A:$AQ,MATCH("ROU D&amp;A",Model!$A:$A,0),MATCH(DCF!K$51,Model!$3:$3,0))</f>
        <v>636.83102154071958</v>
      </c>
      <c r="L64" s="7">
        <f>-INDEX(Model!$A:$AQ,MATCH("DD&amp;A",Model!$A:$A,0),MATCH(DCF!L$51,Model!$3:$3,0))+INDEX(Model!$A:$AQ,MATCH("ROU D&amp;A",Model!$A:$A,0),MATCH(DCF!L$51,Model!$3:$3,0))</f>
        <v>695.15996945239021</v>
      </c>
      <c r="M64" s="7">
        <f>-INDEX(Model!$A:$AQ,MATCH("DD&amp;A",Model!$A:$A,0),MATCH(DCF!M$51,Model!$3:$3,0))+INDEX(Model!$A:$AQ,MATCH("ROU D&amp;A",Model!$A:$A,0),MATCH(DCF!M$51,Model!$3:$3,0))</f>
        <v>758.23595761135027</v>
      </c>
    </row>
    <row r="65" spans="2:16383">
      <c r="B65" t="s">
        <v>188</v>
      </c>
      <c r="C65" s="7">
        <f>+INDEX(Model!$A:$AQ,MATCH("Capex",Model!$A:$A,0),MATCH(DCF!C$51,Model!$3:$3,0))+INDEX(Model!$A:$AQ,MATCH("Capitalized internal-use software",Model!$A:$A,0),MATCH(DCF!C$51,Model!$3:$3,0))+INDEX(Model!$A:$AQ,MATCH("M&amp;A",Model!$A:$A,0),MATCH(DCF!C$51,Model!$3:$3,0))+INDEX(Model!$A:$AQ,MATCH("ROU payments",Model!$A:$A,0),MATCH(DCF!C$51,Model!$3:$3,0))+INDEX(Model!$A:$AQ,MATCH("CF - Deferred contract acquisitions costs",Model!$A:$A,0),MATCH(DCF!C$51,Model!$3:$3,0))+INDEX(Model!$A:$AQ,MATCH("CF - Deferred revenue",Model!$A:$A,0),MATCH(DCF!C$51,Model!$3:$3,0))</f>
        <v>-286.83792544980781</v>
      </c>
      <c r="D65" s="7">
        <f>+INDEX(Model!$A:$AQ,MATCH("Capex",Model!$A:$A,0),MATCH(DCF!D$51,Model!$3:$3,0))+INDEX(Model!$A:$AQ,MATCH("Capitalized internal-use software",Model!$A:$A,0),MATCH(DCF!D$51,Model!$3:$3,0))+INDEX(Model!$A:$AQ,MATCH("M&amp;A",Model!$A:$A,0),MATCH(DCF!D$51,Model!$3:$3,0))+INDEX(Model!$A:$AQ,MATCH("ROU payments",Model!$A:$A,0),MATCH(DCF!D$51,Model!$3:$3,0))+INDEX(Model!$A:$AQ,MATCH("CF - Deferred contract acquisitions costs",Model!$A:$A,0),MATCH(DCF!D$51,Model!$3:$3,0))+INDEX(Model!$A:$AQ,MATCH("CF - Deferred revenue",Model!$A:$A,0),MATCH(DCF!D$51,Model!$3:$3,0))</f>
        <v>-262.60261492269382</v>
      </c>
      <c r="E65" s="7">
        <f>+INDEX(Model!$A:$AQ,MATCH("Capex",Model!$A:$A,0),MATCH(DCF!E$51,Model!$3:$3,0))+INDEX(Model!$A:$AQ,MATCH("Capitalized internal-use software",Model!$A:$A,0),MATCH(DCF!E$51,Model!$3:$3,0))+INDEX(Model!$A:$AQ,MATCH("M&amp;A",Model!$A:$A,0),MATCH(DCF!E$51,Model!$3:$3,0))+INDEX(Model!$A:$AQ,MATCH("ROU payments",Model!$A:$A,0),MATCH(DCF!E$51,Model!$3:$3,0))+INDEX(Model!$A:$AQ,MATCH("CF - Deferred contract acquisitions costs",Model!$A:$A,0),MATCH(DCF!E$51,Model!$3:$3,0))+INDEX(Model!$A:$AQ,MATCH("CF - Deferred revenue",Model!$A:$A,0),MATCH(DCF!E$51,Model!$3:$3,0))</f>
        <v>-325.2276986466785</v>
      </c>
      <c r="F65" s="7">
        <f>+INDEX(Model!$A:$AQ,MATCH("Capex",Model!$A:$A,0),MATCH(DCF!F$51,Model!$3:$3,0))+INDEX(Model!$A:$AQ,MATCH("Capitalized internal-use software",Model!$A:$A,0),MATCH(DCF!F$51,Model!$3:$3,0))+INDEX(Model!$A:$AQ,MATCH("M&amp;A",Model!$A:$A,0),MATCH(DCF!F$51,Model!$3:$3,0))+INDEX(Model!$A:$AQ,MATCH("ROU payments",Model!$A:$A,0),MATCH(DCF!F$51,Model!$3:$3,0))+INDEX(Model!$A:$AQ,MATCH("CF - Deferred contract acquisitions costs",Model!$A:$A,0),MATCH(DCF!F$51,Model!$3:$3,0))+INDEX(Model!$A:$AQ,MATCH("CF - Deferred revenue",Model!$A:$A,0),MATCH(DCF!F$51,Model!$3:$3,0))</f>
        <v>-354.04387691900888</v>
      </c>
      <c r="G65" s="7">
        <f>+INDEX(Model!$A:$AQ,MATCH("Capex",Model!$A:$A,0),MATCH(DCF!G$51,Model!$3:$3,0))+INDEX(Model!$A:$AQ,MATCH("Capitalized internal-use software",Model!$A:$A,0),MATCH(DCF!G$51,Model!$3:$3,0))+INDEX(Model!$A:$AQ,MATCH("M&amp;A",Model!$A:$A,0),MATCH(DCF!G$51,Model!$3:$3,0))+INDEX(Model!$A:$AQ,MATCH("ROU payments",Model!$A:$A,0),MATCH(DCF!G$51,Model!$3:$3,0))+INDEX(Model!$A:$AQ,MATCH("CF - Deferred contract acquisitions costs",Model!$A:$A,0),MATCH(DCF!G$51,Model!$3:$3,0))+INDEX(Model!$A:$AQ,MATCH("CF - Deferred revenue",Model!$A:$A,0),MATCH(DCF!G$51,Model!$3:$3,0))</f>
        <v>-459.02794047217549</v>
      </c>
      <c r="H65" s="7">
        <f>+INDEX(Model!$A:$AQ,MATCH("Capex",Model!$A:$A,0),MATCH(DCF!H$51,Model!$3:$3,0))+INDEX(Model!$A:$AQ,MATCH("Capitalized internal-use software",Model!$A:$A,0),MATCH(DCF!H$51,Model!$3:$3,0))+INDEX(Model!$A:$AQ,MATCH("M&amp;A",Model!$A:$A,0),MATCH(DCF!H$51,Model!$3:$3,0))+INDEX(Model!$A:$AQ,MATCH("ROU payments",Model!$A:$A,0),MATCH(DCF!H$51,Model!$3:$3,0))+INDEX(Model!$A:$AQ,MATCH("CF - Deferred contract acquisitions costs",Model!$A:$A,0),MATCH(DCF!H$51,Model!$3:$3,0))+INDEX(Model!$A:$AQ,MATCH("CF - Deferred revenue",Model!$A:$A,0),MATCH(DCF!H$51,Model!$3:$3,0))</f>
        <v>-532.20261088461484</v>
      </c>
      <c r="I65" s="7">
        <f>+INDEX(Model!$A:$AQ,MATCH("Capex",Model!$A:$A,0),MATCH(DCF!I$51,Model!$3:$3,0))+INDEX(Model!$A:$AQ,MATCH("Capitalized internal-use software",Model!$A:$A,0),MATCH(DCF!I$51,Model!$3:$3,0))+INDEX(Model!$A:$AQ,MATCH("M&amp;A",Model!$A:$A,0),MATCH(DCF!I$51,Model!$3:$3,0))+INDEX(Model!$A:$AQ,MATCH("ROU payments",Model!$A:$A,0),MATCH(DCF!I$51,Model!$3:$3,0))+INDEX(Model!$A:$AQ,MATCH("CF - Deferred contract acquisitions costs",Model!$A:$A,0),MATCH(DCF!I$51,Model!$3:$3,0))+INDEX(Model!$A:$AQ,MATCH("CF - Deferred revenue",Model!$A:$A,0),MATCH(DCF!I$51,Model!$3:$3,0))</f>
        <v>-614.4935782516809</v>
      </c>
      <c r="J65" s="7">
        <f>+INDEX(Model!$A:$AQ,MATCH("Capex",Model!$A:$A,0),MATCH(DCF!J$51,Model!$3:$3,0))+INDEX(Model!$A:$AQ,MATCH("Capitalized internal-use software",Model!$A:$A,0),MATCH(DCF!J$51,Model!$3:$3,0))+INDEX(Model!$A:$AQ,MATCH("M&amp;A",Model!$A:$A,0),MATCH(DCF!J$51,Model!$3:$3,0))+INDEX(Model!$A:$AQ,MATCH("ROU payments",Model!$A:$A,0),MATCH(DCF!J$51,Model!$3:$3,0))+INDEX(Model!$A:$AQ,MATCH("CF - Deferred contract acquisitions costs",Model!$A:$A,0),MATCH(DCF!J$51,Model!$3:$3,0))+INDEX(Model!$A:$AQ,MATCH("CF - Deferred revenue",Model!$A:$A,0),MATCH(DCF!J$51,Model!$3:$3,0))</f>
        <v>-678.49116914640877</v>
      </c>
      <c r="K65" s="7">
        <f>+INDEX(Model!$A:$AQ,MATCH("Capex",Model!$A:$A,0),MATCH(DCF!K$51,Model!$3:$3,0))+INDEX(Model!$A:$AQ,MATCH("Capitalized internal-use software",Model!$A:$A,0),MATCH(DCF!K$51,Model!$3:$3,0))+INDEX(Model!$A:$AQ,MATCH("M&amp;A",Model!$A:$A,0),MATCH(DCF!K$51,Model!$3:$3,0))+INDEX(Model!$A:$AQ,MATCH("ROU payments",Model!$A:$A,0),MATCH(DCF!K$51,Model!$3:$3,0))+INDEX(Model!$A:$AQ,MATCH("CF - Deferred contract acquisitions costs",Model!$A:$A,0),MATCH(DCF!K$51,Model!$3:$3,0))+INDEX(Model!$A:$AQ,MATCH("CF - Deferred revenue",Model!$A:$A,0),MATCH(DCF!K$51,Model!$3:$3,0))</f>
        <v>-747.81295706069329</v>
      </c>
      <c r="L65" s="7">
        <f>+INDEX(Model!$A:$AQ,MATCH("Capex",Model!$A:$A,0),MATCH(DCF!L$51,Model!$3:$3,0))+INDEX(Model!$A:$AQ,MATCH("Capitalized internal-use software",Model!$A:$A,0),MATCH(DCF!L$51,Model!$3:$3,0))+INDEX(Model!$A:$AQ,MATCH("M&amp;A",Model!$A:$A,0),MATCH(DCF!L$51,Model!$3:$3,0))+INDEX(Model!$A:$AQ,MATCH("ROU payments",Model!$A:$A,0),MATCH(DCF!L$51,Model!$3:$3,0))+INDEX(Model!$A:$AQ,MATCH("CF - Deferred contract acquisitions costs",Model!$A:$A,0),MATCH(DCF!L$51,Model!$3:$3,0))+INDEX(Model!$A:$AQ,MATCH("CF - Deferred revenue",Model!$A:$A,0),MATCH(DCF!L$51,Model!$3:$3,0))</f>
        <v>-792.43595390278301</v>
      </c>
      <c r="M65" s="296">
        <f ca="1">(M63*-INDEX($J$37:$L$37,MATCH($L$85,$J$36:$L$36,0)))-M64-M66</f>
        <v>-935.59680855297324</v>
      </c>
    </row>
    <row r="66" spans="2:16383">
      <c r="B66" t="s">
        <v>124</v>
      </c>
      <c r="C66" s="7">
        <f>+INDEX(Model!$A:$AQ,MATCH("Change in NWC",Model!$A:$A,0),MATCH(DCF!C$51,Model!$3:$3,0))</f>
        <v>-43.95249730407194</v>
      </c>
      <c r="D66" s="7">
        <f>+INDEX(Model!$A:$AQ,MATCH("Change in NWC",Model!$A:$A,0),MATCH(DCF!D$51,Model!$3:$3,0))</f>
        <v>-3.8439777502649406</v>
      </c>
      <c r="E66" s="7">
        <f>+INDEX(Model!$A:$AQ,MATCH("Change in NWC",Model!$A:$A,0),MATCH(DCF!E$51,Model!$3:$3,0))</f>
        <v>-4.443139648959999</v>
      </c>
      <c r="F66" s="7">
        <f>+INDEX(Model!$A:$AQ,MATCH("Change in NWC",Model!$A:$A,0),MATCH(DCF!F$51,Model!$3:$3,0))</f>
        <v>8.2108032701449076</v>
      </c>
      <c r="G66" s="7">
        <f>+INDEX(Model!$A:$AQ,MATCH("Change in NWC",Model!$A:$A,0),MATCH(DCF!G$51,Model!$3:$3,0))</f>
        <v>-2.2991779069143945</v>
      </c>
      <c r="H66" s="7">
        <f>+INDEX(Model!$A:$AQ,MATCH("Change in NWC",Model!$A:$A,0),MATCH(DCF!H$51,Model!$3:$3,0))</f>
        <v>-1.9456816372876347</v>
      </c>
      <c r="I66" s="7">
        <f>+INDEX(Model!$A:$AQ,MATCH("Change in NWC",Model!$A:$A,0),MATCH(DCF!I$51,Model!$3:$3,0))</f>
        <v>-1.6526797216725413</v>
      </c>
      <c r="J66" s="7">
        <f>+INDEX(Model!$A:$AQ,MATCH("Change in NWC",Model!$A:$A,0),MATCH(DCF!J$51,Model!$3:$3,0))</f>
        <v>-1.2802389437131865</v>
      </c>
      <c r="K66" s="7">
        <f>+INDEX(Model!$A:$AQ,MATCH("Change in NWC",Model!$A:$A,0),MATCH(DCF!K$51,Model!$3:$3,0))</f>
        <v>-1.2001397801651876</v>
      </c>
      <c r="L66" s="7">
        <f>+INDEX(Model!$A:$AQ,MATCH("Change in NWC",Model!$A:$A,0),MATCH(DCF!L$51,Model!$3:$3,0))</f>
        <v>-1.1118956321244298</v>
      </c>
      <c r="M66" s="7">
        <f>+INDEX(Model!$A:$AQ,MATCH("Change in NWC",Model!$A:$A,0),MATCH(DCF!M$51,Model!$3:$3,0))</f>
        <v>-1.0653661746128193</v>
      </c>
      <c r="O66" s="15"/>
      <c r="P66" s="15"/>
      <c r="Q66" s="15"/>
      <c r="R66" s="15"/>
      <c r="S66" s="15"/>
      <c r="T66" s="15"/>
      <c r="U66" s="15"/>
      <c r="V66" s="15"/>
    </row>
    <row r="67" spans="2:16383">
      <c r="B67" t="s">
        <v>111</v>
      </c>
      <c r="C67" s="7">
        <f ca="1">+INDEX(Model!$A:$AQ,MATCH("Deferred taxes",Model!$A:$A,0),MATCH(DCF!C$51,Model!$3:$3,0))</f>
        <v>-17.710577747928077</v>
      </c>
      <c r="D67" s="7">
        <f ca="1">+INDEX(Model!$A:$AQ,MATCH("Deferred taxes",Model!$A:$A,0),MATCH(DCF!D$51,Model!$3:$3,0))</f>
        <v>-38.846499057453187</v>
      </c>
      <c r="E67" s="7">
        <f ca="1">+INDEX(Model!$A:$AQ,MATCH("Deferred taxes",Model!$A:$A,0),MATCH(DCF!E$51,Model!$3:$3,0))</f>
        <v>-45.954847926302918</v>
      </c>
      <c r="F67" s="7">
        <f ca="1">+INDEX(Model!$A:$AQ,MATCH("Deferred taxes",Model!$A:$A,0),MATCH(DCF!F$51,Model!$3:$3,0))</f>
        <v>-30.455449128655477</v>
      </c>
      <c r="G67" s="7">
        <f ca="1">+INDEX(Model!$A:$AQ,MATCH("Deferred taxes",Model!$A:$A,0),MATCH(DCF!G$51,Model!$3:$3,0))</f>
        <v>-15.904344691991712</v>
      </c>
      <c r="H67" s="7">
        <f ca="1">+INDEX(Model!$A:$AQ,MATCH("Deferred taxes",Model!$A:$A,0),MATCH(DCF!H$51,Model!$3:$3,0))</f>
        <v>-0.97543835910648713</v>
      </c>
      <c r="I67" s="7">
        <f ca="1">+INDEX(Model!$A:$AQ,MATCH("Deferred taxes",Model!$A:$A,0),MATCH(DCF!I$51,Model!$3:$3,0))</f>
        <v>12.550308729114988</v>
      </c>
      <c r="J67" s="7">
        <f ca="1">+INDEX(Model!$A:$AQ,MATCH("Deferred taxes",Model!$A:$A,0),MATCH(DCF!J$51,Model!$3:$3,0))</f>
        <v>21.426626418420483</v>
      </c>
      <c r="K67" s="7">
        <f ca="1">+INDEX(Model!$A:$AQ,MATCH("Deferred taxes",Model!$A:$A,0),MATCH(DCF!K$51,Model!$3:$3,0))</f>
        <v>20.196519916566515</v>
      </c>
      <c r="L67" s="7">
        <f ca="1">+INDEX(Model!$A:$AQ,MATCH("Deferred taxes",Model!$A:$A,0),MATCH(DCF!L$51,Model!$3:$3,0))</f>
        <v>8.398639674919993</v>
      </c>
      <c r="M67" s="7">
        <f ca="1">+INDEX(Model!$A:$AQ,MATCH("Deferred taxes",Model!$A:$A,0),MATCH(DCF!M$51,Model!$3:$3,0))</f>
        <v>0</v>
      </c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</row>
    <row r="68" spans="2:16383">
      <c r="B68" s="2" t="s">
        <v>10</v>
      </c>
      <c r="C68" s="8">
        <f t="shared" ref="C68:L68" ca="1" si="9">SUM(C63:C67)</f>
        <v>-355.77683916577718</v>
      </c>
      <c r="D68" s="8">
        <f t="shared" ca="1" si="9"/>
        <v>-239.23089453787844</v>
      </c>
      <c r="E68" s="8">
        <f t="shared" ca="1" si="9"/>
        <v>-244.06655732765608</v>
      </c>
      <c r="F68" s="8">
        <f t="shared" ca="1" si="9"/>
        <v>-162.31811898983719</v>
      </c>
      <c r="G68" s="8">
        <f t="shared" ca="1" si="9"/>
        <v>-141.3934463253934</v>
      </c>
      <c r="H68" s="8">
        <f t="shared" ca="1" si="9"/>
        <v>-52.628475340404528</v>
      </c>
      <c r="I68" s="8">
        <f t="shared" ca="1" si="9"/>
        <v>73.647097533817487</v>
      </c>
      <c r="J68" s="8">
        <f t="shared" ca="1" si="9"/>
        <v>240.25242646836426</v>
      </c>
      <c r="K68" s="8">
        <f t="shared" ca="1" si="9"/>
        <v>403.71935333292612</v>
      </c>
      <c r="L68" s="8">
        <f t="shared" ca="1" si="9"/>
        <v>562.59050531278058</v>
      </c>
      <c r="M68" s="8">
        <f ca="1">SUM(M63:M67)</f>
        <v>503.51961716155893</v>
      </c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5"/>
      <c r="AZ68" s="15"/>
      <c r="BA68" s="15"/>
      <c r="BB68" s="15"/>
      <c r="BC68" s="15"/>
      <c r="BD68" s="15"/>
      <c r="BE68" s="15"/>
      <c r="BF68" s="15"/>
      <c r="BG68" s="15"/>
      <c r="BH68" s="15"/>
      <c r="BI68" s="15"/>
      <c r="BJ68" s="15"/>
      <c r="BK68" s="15"/>
      <c r="BL68" s="15"/>
      <c r="BM68" s="15"/>
      <c r="BN68" s="15"/>
      <c r="BO68" s="15"/>
      <c r="BP68" s="15"/>
      <c r="BQ68" s="15"/>
      <c r="BR68" s="15"/>
      <c r="BS68" s="15"/>
      <c r="BT68" s="15"/>
      <c r="BU68" s="15"/>
      <c r="BV68" s="15"/>
      <c r="BW68" s="15"/>
      <c r="BX68" s="15"/>
      <c r="BY68" s="15"/>
      <c r="BZ68" s="15"/>
      <c r="CA68" s="15"/>
      <c r="CB68" s="15"/>
      <c r="CC68" s="15"/>
      <c r="CD68" s="15"/>
      <c r="CE68" s="15"/>
      <c r="CF68" s="15"/>
      <c r="CG68" s="15"/>
      <c r="CH68" s="15"/>
      <c r="CI68" s="15"/>
      <c r="CJ68" s="15"/>
      <c r="CK68" s="15"/>
      <c r="CL68" s="15"/>
      <c r="CM68" s="15"/>
      <c r="CN68" s="15"/>
      <c r="CO68" s="15"/>
      <c r="CP68" s="15"/>
      <c r="CQ68" s="15"/>
      <c r="CR68" s="15"/>
      <c r="CS68" s="15"/>
      <c r="CT68" s="15"/>
      <c r="CU68" s="15"/>
      <c r="CV68" s="15"/>
      <c r="CW68" s="15"/>
      <c r="CX68" s="15"/>
      <c r="CY68" s="15"/>
      <c r="CZ68" s="15"/>
      <c r="DA68" s="15"/>
      <c r="DB68" s="15"/>
      <c r="DC68" s="15"/>
      <c r="DD68" s="15"/>
      <c r="DE68" s="15"/>
      <c r="DF68" s="15"/>
      <c r="DG68" s="15"/>
      <c r="DH68" s="15"/>
      <c r="DI68" s="15"/>
      <c r="DJ68" s="15"/>
      <c r="DK68" s="15"/>
      <c r="DL68" s="15"/>
      <c r="DM68" s="15"/>
      <c r="DN68" s="15"/>
      <c r="DO68" s="15"/>
      <c r="DP68" s="15"/>
      <c r="DQ68" s="15"/>
      <c r="DR68" s="15"/>
      <c r="DS68" s="15"/>
      <c r="DT68" s="15"/>
      <c r="DU68" s="15"/>
      <c r="DV68" s="15"/>
      <c r="DW68" s="15"/>
      <c r="DX68" s="15"/>
      <c r="DY68" s="15"/>
      <c r="DZ68" s="15"/>
      <c r="EA68" s="15"/>
      <c r="EB68" s="15"/>
      <c r="EC68" s="15"/>
      <c r="ED68" s="15"/>
      <c r="EE68" s="15"/>
      <c r="EF68" s="15"/>
      <c r="EG68" s="15"/>
      <c r="EH68" s="15"/>
      <c r="EI68" s="15"/>
      <c r="EJ68" s="15"/>
      <c r="EK68" s="15"/>
      <c r="EL68" s="15"/>
      <c r="EM68" s="15"/>
      <c r="EN68" s="15"/>
      <c r="EO68" s="15"/>
      <c r="EP68" s="15"/>
      <c r="EQ68" s="15"/>
      <c r="ER68" s="15"/>
      <c r="ES68" s="15"/>
      <c r="ET68" s="15"/>
      <c r="EU68" s="15"/>
      <c r="EV68" s="15"/>
      <c r="EW68" s="15"/>
      <c r="EX68" s="15"/>
      <c r="EY68" s="15"/>
      <c r="EZ68" s="15"/>
      <c r="FA68" s="15"/>
      <c r="FB68" s="15"/>
      <c r="FC68" s="15"/>
      <c r="FD68" s="15"/>
      <c r="FE68" s="15"/>
      <c r="FF68" s="15"/>
      <c r="FG68" s="15"/>
      <c r="FH68" s="15"/>
      <c r="FI68" s="15"/>
      <c r="FJ68" s="15"/>
      <c r="FK68" s="15"/>
      <c r="FL68" s="15"/>
      <c r="FM68" s="15"/>
      <c r="FN68" s="15"/>
      <c r="FO68" s="15"/>
      <c r="FP68" s="15"/>
      <c r="FQ68" s="15"/>
      <c r="FR68" s="15"/>
      <c r="FS68" s="15"/>
      <c r="FT68" s="15"/>
      <c r="FU68" s="15"/>
      <c r="FV68" s="15"/>
      <c r="FW68" s="15"/>
      <c r="FX68" s="15"/>
      <c r="FY68" s="15"/>
      <c r="FZ68" s="15"/>
      <c r="GA68" s="15"/>
      <c r="GB68" s="15"/>
      <c r="GC68" s="15"/>
      <c r="GD68" s="15"/>
      <c r="GE68" s="15"/>
      <c r="GF68" s="15"/>
      <c r="GG68" s="15"/>
      <c r="GH68" s="15"/>
      <c r="GI68" s="15"/>
      <c r="GJ68" s="15"/>
      <c r="GK68" s="15"/>
      <c r="GL68" s="15"/>
      <c r="GM68" s="15"/>
      <c r="GN68" s="15"/>
      <c r="GO68" s="15"/>
      <c r="GP68" s="15"/>
      <c r="GQ68" s="15"/>
      <c r="GR68" s="15"/>
      <c r="GS68" s="15"/>
      <c r="GT68" s="15"/>
      <c r="GU68" s="15"/>
      <c r="GV68" s="15"/>
      <c r="GW68" s="15"/>
      <c r="GX68" s="15"/>
      <c r="GY68" s="15"/>
      <c r="GZ68" s="15"/>
      <c r="HA68" s="15"/>
      <c r="HB68" s="15"/>
      <c r="HC68" s="15"/>
      <c r="HD68" s="15"/>
      <c r="HE68" s="15"/>
      <c r="HF68" s="15"/>
      <c r="HG68" s="15"/>
      <c r="HH68" s="15"/>
      <c r="HI68" s="15"/>
      <c r="HJ68" s="15"/>
      <c r="HK68" s="15"/>
      <c r="HL68" s="15"/>
      <c r="HM68" s="15"/>
      <c r="HN68" s="15"/>
      <c r="HO68" s="15"/>
      <c r="HP68" s="15"/>
      <c r="HQ68" s="15"/>
      <c r="HR68" s="15"/>
      <c r="HS68" s="15"/>
      <c r="HT68" s="15"/>
      <c r="HU68" s="15"/>
      <c r="HV68" s="15"/>
      <c r="HW68" s="15"/>
      <c r="HX68" s="15"/>
      <c r="HY68" s="15"/>
      <c r="HZ68" s="15"/>
      <c r="IA68" s="15"/>
      <c r="IB68" s="15"/>
      <c r="IC68" s="15"/>
      <c r="ID68" s="15"/>
      <c r="IE68" s="15"/>
      <c r="IF68" s="15"/>
      <c r="IG68" s="15"/>
      <c r="IH68" s="15"/>
      <c r="II68" s="15"/>
      <c r="IJ68" s="15"/>
      <c r="IK68" s="15"/>
      <c r="IL68" s="15"/>
      <c r="IM68" s="15"/>
      <c r="IN68" s="15"/>
      <c r="IO68" s="15"/>
      <c r="IP68" s="15"/>
      <c r="IQ68" s="15"/>
      <c r="IR68" s="15"/>
      <c r="IS68" s="15"/>
      <c r="IT68" s="15"/>
      <c r="IU68" s="15"/>
      <c r="IV68" s="15"/>
      <c r="IW68" s="15"/>
      <c r="IX68" s="15"/>
      <c r="IY68" s="15"/>
      <c r="IZ68" s="15"/>
      <c r="JA68" s="15"/>
      <c r="JB68" s="15"/>
      <c r="JC68" s="15"/>
      <c r="JD68" s="15"/>
      <c r="JE68" s="15"/>
      <c r="JF68" s="15"/>
      <c r="JG68" s="15"/>
      <c r="JH68" s="15"/>
      <c r="JI68" s="15"/>
      <c r="JJ68" s="15"/>
      <c r="JK68" s="15"/>
      <c r="JL68" s="15"/>
      <c r="JM68" s="15"/>
      <c r="JN68" s="15"/>
      <c r="JO68" s="15"/>
      <c r="JP68" s="15"/>
      <c r="JQ68" s="15"/>
      <c r="JR68" s="15"/>
      <c r="JS68" s="15"/>
      <c r="JT68" s="15"/>
      <c r="JU68" s="15"/>
      <c r="JV68" s="15"/>
      <c r="JW68" s="15"/>
      <c r="JX68" s="15"/>
      <c r="JY68" s="15"/>
      <c r="JZ68" s="15"/>
      <c r="KA68" s="15"/>
      <c r="KB68" s="15"/>
      <c r="KC68" s="15"/>
      <c r="KD68" s="15"/>
      <c r="KE68" s="15"/>
      <c r="KF68" s="15"/>
      <c r="KG68" s="15"/>
      <c r="KH68" s="15"/>
      <c r="KI68" s="15"/>
      <c r="KJ68" s="15"/>
      <c r="KK68" s="15"/>
      <c r="KL68" s="15"/>
      <c r="KM68" s="15"/>
      <c r="KN68" s="15"/>
      <c r="KO68" s="15"/>
      <c r="KP68" s="15"/>
      <c r="KQ68" s="15"/>
      <c r="KR68" s="15"/>
      <c r="KS68" s="15"/>
      <c r="KT68" s="15"/>
      <c r="KU68" s="15"/>
      <c r="KV68" s="15"/>
      <c r="KW68" s="15"/>
      <c r="KX68" s="15"/>
      <c r="KY68" s="15"/>
      <c r="KZ68" s="15"/>
      <c r="LA68" s="15"/>
      <c r="LB68" s="15"/>
      <c r="LC68" s="15"/>
      <c r="LD68" s="15"/>
      <c r="LE68" s="15"/>
      <c r="LF68" s="15"/>
      <c r="LG68" s="15"/>
      <c r="LH68" s="15"/>
      <c r="LI68" s="15"/>
      <c r="LJ68" s="15"/>
      <c r="LK68" s="15"/>
      <c r="LL68" s="15"/>
      <c r="LM68" s="15"/>
      <c r="LN68" s="15"/>
      <c r="LO68" s="15"/>
      <c r="LP68" s="15"/>
      <c r="LQ68" s="15"/>
      <c r="LR68" s="15"/>
      <c r="LS68" s="15"/>
      <c r="LT68" s="15"/>
      <c r="LU68" s="15"/>
      <c r="LV68" s="15"/>
      <c r="LW68" s="15"/>
      <c r="LX68" s="15"/>
      <c r="LY68" s="15"/>
      <c r="LZ68" s="15"/>
      <c r="MA68" s="15"/>
      <c r="MB68" s="15"/>
      <c r="MC68" s="15"/>
      <c r="MD68" s="15"/>
      <c r="ME68" s="15"/>
      <c r="MF68" s="15"/>
      <c r="MG68" s="15"/>
      <c r="MH68" s="15"/>
      <c r="MI68" s="15"/>
      <c r="MJ68" s="15"/>
      <c r="MK68" s="15"/>
      <c r="ML68" s="15"/>
      <c r="MM68" s="15"/>
      <c r="MN68" s="15"/>
      <c r="MO68" s="15"/>
      <c r="MP68" s="15"/>
      <c r="MQ68" s="15"/>
      <c r="MR68" s="15"/>
      <c r="MS68" s="15"/>
      <c r="MT68" s="15"/>
      <c r="MU68" s="15"/>
      <c r="MV68" s="15"/>
      <c r="MW68" s="15"/>
      <c r="MX68" s="15"/>
      <c r="MY68" s="15"/>
      <c r="MZ68" s="15"/>
      <c r="NA68" s="15"/>
      <c r="NB68" s="15"/>
      <c r="NC68" s="15"/>
      <c r="ND68" s="15"/>
      <c r="NE68" s="15"/>
      <c r="NF68" s="15"/>
      <c r="NG68" s="15"/>
      <c r="NH68" s="15"/>
      <c r="NI68" s="15"/>
      <c r="NJ68" s="15"/>
      <c r="NK68" s="15"/>
      <c r="NL68" s="15"/>
      <c r="NM68" s="15"/>
      <c r="NN68" s="15"/>
      <c r="NO68" s="15"/>
      <c r="NP68" s="15"/>
      <c r="NQ68" s="15"/>
      <c r="NR68" s="15"/>
      <c r="NS68" s="15"/>
      <c r="NT68" s="15"/>
      <c r="NU68" s="15"/>
      <c r="NV68" s="15"/>
      <c r="NW68" s="15"/>
      <c r="NX68" s="15"/>
      <c r="NY68" s="15"/>
      <c r="NZ68" s="15"/>
      <c r="OA68" s="15"/>
      <c r="OB68" s="15"/>
      <c r="OC68" s="15"/>
      <c r="OD68" s="15"/>
      <c r="OE68" s="15"/>
      <c r="OF68" s="15"/>
      <c r="OG68" s="15"/>
      <c r="OH68" s="15"/>
      <c r="OI68" s="15"/>
      <c r="OJ68" s="15"/>
      <c r="OK68" s="15"/>
      <c r="OL68" s="15"/>
      <c r="OM68" s="15"/>
      <c r="ON68" s="15"/>
      <c r="OO68" s="15"/>
      <c r="OP68" s="15"/>
      <c r="OQ68" s="15"/>
      <c r="OR68" s="15"/>
      <c r="OS68" s="15"/>
      <c r="OT68" s="15"/>
      <c r="OU68" s="15"/>
      <c r="OV68" s="15"/>
      <c r="OW68" s="15"/>
      <c r="OX68" s="15"/>
      <c r="OY68" s="15"/>
      <c r="OZ68" s="15"/>
      <c r="PA68" s="15"/>
      <c r="PB68" s="15"/>
      <c r="PC68" s="15"/>
      <c r="PD68" s="15"/>
      <c r="PE68" s="15"/>
      <c r="PF68" s="15"/>
      <c r="PG68" s="15"/>
      <c r="PH68" s="15"/>
      <c r="PI68" s="15"/>
      <c r="PJ68" s="15"/>
      <c r="PK68" s="15"/>
      <c r="PL68" s="15"/>
      <c r="PM68" s="15"/>
      <c r="PN68" s="15"/>
      <c r="PO68" s="15"/>
      <c r="PP68" s="15"/>
      <c r="PQ68" s="15"/>
      <c r="PR68" s="15"/>
      <c r="PS68" s="15"/>
      <c r="PT68" s="15"/>
      <c r="PU68" s="15"/>
      <c r="PV68" s="15"/>
      <c r="PW68" s="15"/>
      <c r="PX68" s="15"/>
      <c r="PY68" s="15"/>
      <c r="PZ68" s="15"/>
      <c r="QA68" s="15"/>
      <c r="QB68" s="15"/>
      <c r="QC68" s="15"/>
      <c r="QD68" s="15"/>
      <c r="QE68" s="15"/>
      <c r="QF68" s="15"/>
      <c r="QG68" s="15"/>
      <c r="QH68" s="15"/>
      <c r="QI68" s="15"/>
      <c r="QJ68" s="15"/>
      <c r="QK68" s="15"/>
      <c r="QL68" s="15"/>
      <c r="QM68" s="15"/>
      <c r="QN68" s="15"/>
      <c r="QO68" s="15"/>
      <c r="QP68" s="15"/>
      <c r="QQ68" s="15"/>
      <c r="QR68" s="15"/>
      <c r="QS68" s="15"/>
      <c r="QT68" s="15"/>
      <c r="QU68" s="15"/>
      <c r="QV68" s="15"/>
      <c r="QW68" s="15"/>
      <c r="QX68" s="15"/>
      <c r="QY68" s="15"/>
      <c r="QZ68" s="15"/>
      <c r="RA68" s="15"/>
      <c r="RB68" s="15"/>
      <c r="RC68" s="15"/>
      <c r="RD68" s="15"/>
      <c r="RE68" s="15"/>
      <c r="RF68" s="15"/>
      <c r="RG68" s="15"/>
      <c r="RH68" s="15"/>
      <c r="RI68" s="15"/>
      <c r="RJ68" s="15"/>
      <c r="RK68" s="15"/>
      <c r="RL68" s="15"/>
      <c r="RM68" s="15"/>
      <c r="RN68" s="15"/>
      <c r="RO68" s="15"/>
      <c r="RP68" s="15"/>
      <c r="RQ68" s="15"/>
      <c r="RR68" s="15"/>
      <c r="RS68" s="15"/>
      <c r="RT68" s="15"/>
      <c r="RU68" s="15"/>
      <c r="RV68" s="15"/>
      <c r="RW68" s="15"/>
      <c r="RX68" s="15"/>
      <c r="RY68" s="15"/>
      <c r="RZ68" s="15"/>
      <c r="SA68" s="15"/>
      <c r="SB68" s="15"/>
      <c r="SC68" s="15"/>
      <c r="SD68" s="15"/>
      <c r="SE68" s="15"/>
      <c r="SF68" s="15"/>
      <c r="SG68" s="15"/>
      <c r="SH68" s="15"/>
      <c r="SI68" s="15"/>
      <c r="SJ68" s="15"/>
      <c r="SK68" s="15"/>
      <c r="SL68" s="15"/>
      <c r="SM68" s="15"/>
      <c r="SN68" s="15"/>
      <c r="SO68" s="15"/>
      <c r="SP68" s="15"/>
      <c r="SQ68" s="15"/>
      <c r="SR68" s="15"/>
      <c r="SS68" s="15"/>
      <c r="ST68" s="15"/>
      <c r="SU68" s="15"/>
      <c r="SV68" s="15"/>
      <c r="SW68" s="15"/>
      <c r="SX68" s="15"/>
      <c r="SY68" s="15"/>
      <c r="SZ68" s="15"/>
      <c r="TA68" s="15"/>
      <c r="TB68" s="15"/>
      <c r="TC68" s="15"/>
      <c r="TD68" s="15"/>
      <c r="TE68" s="15"/>
      <c r="TF68" s="15"/>
      <c r="TG68" s="15"/>
      <c r="TH68" s="15"/>
      <c r="TI68" s="15"/>
      <c r="TJ68" s="15"/>
      <c r="TK68" s="15"/>
      <c r="TL68" s="15"/>
      <c r="TM68" s="15"/>
      <c r="TN68" s="15"/>
      <c r="TO68" s="15"/>
      <c r="TP68" s="15"/>
      <c r="TQ68" s="15"/>
      <c r="TR68" s="15"/>
      <c r="TS68" s="15"/>
      <c r="TT68" s="15"/>
      <c r="TU68" s="15"/>
      <c r="TV68" s="15"/>
      <c r="TW68" s="15"/>
      <c r="TX68" s="15"/>
      <c r="TY68" s="15"/>
      <c r="TZ68" s="15"/>
      <c r="UA68" s="15"/>
      <c r="UB68" s="15"/>
      <c r="UC68" s="15"/>
      <c r="UD68" s="15"/>
      <c r="UE68" s="15"/>
      <c r="UF68" s="15"/>
      <c r="UG68" s="15"/>
      <c r="UH68" s="15"/>
      <c r="UI68" s="15"/>
      <c r="UJ68" s="15"/>
      <c r="UK68" s="15"/>
      <c r="UL68" s="15"/>
      <c r="UM68" s="15"/>
      <c r="UN68" s="15"/>
      <c r="UO68" s="15"/>
      <c r="UP68" s="15"/>
      <c r="UQ68" s="15"/>
      <c r="UR68" s="15"/>
      <c r="US68" s="15"/>
      <c r="UT68" s="15"/>
      <c r="UU68" s="15"/>
      <c r="UV68" s="15"/>
      <c r="UW68" s="15"/>
      <c r="UX68" s="15"/>
      <c r="UY68" s="15"/>
      <c r="UZ68" s="15"/>
      <c r="VA68" s="15"/>
      <c r="VB68" s="15"/>
      <c r="VC68" s="15"/>
      <c r="VD68" s="15"/>
      <c r="VE68" s="15"/>
      <c r="VF68" s="15"/>
      <c r="VG68" s="15"/>
      <c r="VH68" s="15"/>
      <c r="VI68" s="15"/>
      <c r="VJ68" s="15"/>
      <c r="VK68" s="15"/>
      <c r="VL68" s="15"/>
      <c r="VM68" s="15"/>
      <c r="VN68" s="15"/>
      <c r="VO68" s="15"/>
      <c r="VP68" s="15"/>
      <c r="VQ68" s="15"/>
      <c r="VR68" s="15"/>
      <c r="VS68" s="15"/>
      <c r="VT68" s="15"/>
      <c r="VU68" s="15"/>
      <c r="VV68" s="15"/>
      <c r="VW68" s="15"/>
      <c r="VX68" s="15"/>
      <c r="VY68" s="15"/>
      <c r="VZ68" s="15"/>
      <c r="WA68" s="15"/>
      <c r="WB68" s="15"/>
      <c r="WC68" s="15"/>
      <c r="WD68" s="15"/>
      <c r="WE68" s="15"/>
      <c r="WF68" s="15"/>
      <c r="WG68" s="15"/>
      <c r="WH68" s="15"/>
      <c r="WI68" s="15"/>
      <c r="WJ68" s="15"/>
      <c r="WK68" s="15"/>
      <c r="WL68" s="15"/>
      <c r="WM68" s="15"/>
      <c r="WN68" s="15"/>
      <c r="WO68" s="15"/>
      <c r="WP68" s="15"/>
      <c r="WQ68" s="15"/>
      <c r="WR68" s="15"/>
      <c r="WS68" s="15"/>
      <c r="WT68" s="15"/>
      <c r="WU68" s="15"/>
      <c r="WV68" s="15"/>
      <c r="WW68" s="15"/>
      <c r="WX68" s="15"/>
      <c r="WY68" s="15"/>
      <c r="WZ68" s="15"/>
      <c r="XA68" s="15"/>
      <c r="XB68" s="15"/>
      <c r="XC68" s="15"/>
      <c r="XD68" s="15"/>
      <c r="XE68" s="15"/>
      <c r="XF68" s="15"/>
      <c r="XG68" s="15"/>
      <c r="XH68" s="15"/>
      <c r="XI68" s="15"/>
      <c r="XJ68" s="15"/>
      <c r="XK68" s="15"/>
      <c r="XL68" s="15"/>
      <c r="XM68" s="15"/>
      <c r="XN68" s="15"/>
      <c r="XO68" s="15"/>
      <c r="XP68" s="15"/>
      <c r="XQ68" s="15"/>
      <c r="XR68" s="15"/>
      <c r="XS68" s="15"/>
      <c r="XT68" s="15"/>
      <c r="XU68" s="15"/>
      <c r="XV68" s="15"/>
      <c r="XW68" s="15"/>
      <c r="XX68" s="15"/>
      <c r="XY68" s="15"/>
      <c r="XZ68" s="15"/>
      <c r="YA68" s="15"/>
      <c r="YB68" s="15"/>
      <c r="YC68" s="15"/>
      <c r="YD68" s="15"/>
      <c r="YE68" s="15"/>
      <c r="YF68" s="15"/>
      <c r="YG68" s="15"/>
      <c r="YH68" s="15"/>
      <c r="YI68" s="15"/>
      <c r="YJ68" s="15"/>
      <c r="YK68" s="15"/>
      <c r="YL68" s="15"/>
      <c r="YM68" s="15"/>
      <c r="YN68" s="15"/>
      <c r="YO68" s="15"/>
      <c r="YP68" s="15"/>
      <c r="YQ68" s="15"/>
      <c r="YR68" s="15"/>
      <c r="YS68" s="15"/>
      <c r="YT68" s="15"/>
      <c r="YU68" s="15"/>
      <c r="YV68" s="15"/>
      <c r="YW68" s="15"/>
      <c r="YX68" s="15"/>
      <c r="YY68" s="15"/>
      <c r="YZ68" s="15"/>
      <c r="ZA68" s="15"/>
      <c r="ZB68" s="15"/>
      <c r="ZC68" s="15"/>
      <c r="ZD68" s="15"/>
      <c r="ZE68" s="15"/>
      <c r="ZF68" s="15"/>
      <c r="ZG68" s="15"/>
      <c r="ZH68" s="15"/>
      <c r="ZI68" s="15"/>
      <c r="ZJ68" s="15"/>
      <c r="ZK68" s="15"/>
      <c r="ZL68" s="15"/>
      <c r="ZM68" s="15"/>
      <c r="ZN68" s="15"/>
      <c r="ZO68" s="15"/>
      <c r="ZP68" s="15"/>
      <c r="ZQ68" s="15"/>
      <c r="ZR68" s="15"/>
      <c r="ZS68" s="15"/>
      <c r="ZT68" s="15"/>
      <c r="ZU68" s="15"/>
      <c r="ZV68" s="15"/>
      <c r="ZW68" s="15"/>
      <c r="ZX68" s="15"/>
      <c r="ZY68" s="15"/>
      <c r="ZZ68" s="15"/>
      <c r="AAA68" s="15"/>
      <c r="AAB68" s="15"/>
      <c r="AAC68" s="15"/>
      <c r="AAD68" s="15"/>
      <c r="AAE68" s="15"/>
      <c r="AAF68" s="15"/>
      <c r="AAG68" s="15"/>
      <c r="AAH68" s="15"/>
      <c r="AAI68" s="15"/>
      <c r="AAJ68" s="15"/>
      <c r="AAK68" s="15"/>
      <c r="AAL68" s="15"/>
      <c r="AAM68" s="15"/>
      <c r="AAN68" s="15"/>
      <c r="AAO68" s="15"/>
      <c r="AAP68" s="15"/>
      <c r="AAQ68" s="15"/>
      <c r="AAR68" s="15"/>
      <c r="AAS68" s="15"/>
      <c r="AAT68" s="15"/>
      <c r="AAU68" s="15"/>
      <c r="AAV68" s="15"/>
      <c r="AAW68" s="15"/>
      <c r="AAX68" s="15"/>
      <c r="AAY68" s="15"/>
      <c r="AAZ68" s="15"/>
      <c r="ABA68" s="15"/>
      <c r="ABB68" s="15"/>
      <c r="ABC68" s="15"/>
      <c r="ABD68" s="15"/>
      <c r="ABE68" s="15"/>
      <c r="ABF68" s="15"/>
      <c r="ABG68" s="15"/>
      <c r="ABH68" s="15"/>
      <c r="ABI68" s="15"/>
      <c r="ABJ68" s="15"/>
      <c r="ABK68" s="15"/>
      <c r="ABL68" s="15"/>
      <c r="ABM68" s="15"/>
      <c r="ABN68" s="15"/>
      <c r="ABO68" s="15"/>
      <c r="ABP68" s="15"/>
      <c r="ABQ68" s="15"/>
      <c r="ABR68" s="15"/>
      <c r="ABS68" s="15"/>
      <c r="ABT68" s="15"/>
      <c r="ABU68" s="15"/>
      <c r="ABV68" s="15"/>
      <c r="ABW68" s="15"/>
      <c r="ABX68" s="15"/>
      <c r="ABY68" s="15"/>
      <c r="ABZ68" s="15"/>
      <c r="ACA68" s="15"/>
      <c r="ACB68" s="15"/>
      <c r="ACC68" s="15"/>
      <c r="ACD68" s="15"/>
      <c r="ACE68" s="15"/>
      <c r="ACF68" s="15"/>
      <c r="ACG68" s="15"/>
      <c r="ACH68" s="15"/>
      <c r="ACI68" s="15"/>
      <c r="ACJ68" s="15"/>
      <c r="ACK68" s="15"/>
      <c r="ACL68" s="15"/>
      <c r="ACM68" s="15"/>
      <c r="ACN68" s="15"/>
      <c r="ACO68" s="15"/>
      <c r="ACP68" s="15"/>
      <c r="ACQ68" s="15"/>
      <c r="ACR68" s="15"/>
      <c r="ACS68" s="15"/>
      <c r="ACT68" s="15"/>
      <c r="ACU68" s="15"/>
      <c r="ACV68" s="15"/>
      <c r="ACW68" s="15"/>
      <c r="ACX68" s="15"/>
      <c r="ACY68" s="15"/>
      <c r="ACZ68" s="15"/>
      <c r="ADA68" s="15"/>
      <c r="ADB68" s="15"/>
      <c r="ADC68" s="15"/>
      <c r="ADD68" s="15"/>
      <c r="ADE68" s="15"/>
      <c r="ADF68" s="15"/>
      <c r="ADG68" s="15"/>
      <c r="ADH68" s="15"/>
      <c r="ADI68" s="15"/>
      <c r="ADJ68" s="15"/>
      <c r="ADK68" s="15"/>
      <c r="ADL68" s="15"/>
      <c r="ADM68" s="15"/>
      <c r="ADN68" s="15"/>
      <c r="ADO68" s="15"/>
      <c r="ADP68" s="15"/>
      <c r="ADQ68" s="15"/>
      <c r="ADR68" s="15"/>
      <c r="ADS68" s="15"/>
      <c r="ADT68" s="15"/>
      <c r="ADU68" s="15"/>
      <c r="ADV68" s="15"/>
      <c r="ADW68" s="15"/>
      <c r="ADX68" s="15"/>
      <c r="ADY68" s="15"/>
      <c r="ADZ68" s="15"/>
      <c r="AEA68" s="15"/>
      <c r="AEB68" s="15"/>
      <c r="AEC68" s="15"/>
      <c r="AED68" s="15"/>
      <c r="AEE68" s="15"/>
      <c r="AEF68" s="15"/>
      <c r="AEG68" s="15"/>
      <c r="AEH68" s="15"/>
      <c r="AEI68" s="15"/>
      <c r="AEJ68" s="15"/>
      <c r="AEK68" s="15"/>
      <c r="AEL68" s="15"/>
      <c r="AEM68" s="15"/>
      <c r="AEN68" s="15"/>
      <c r="AEO68" s="15"/>
      <c r="AEP68" s="15"/>
      <c r="AEQ68" s="15"/>
      <c r="AER68" s="15"/>
      <c r="AES68" s="15"/>
      <c r="AET68" s="15"/>
      <c r="AEU68" s="15"/>
      <c r="AEV68" s="15"/>
      <c r="AEW68" s="15"/>
      <c r="AEX68" s="15"/>
      <c r="AEY68" s="15"/>
      <c r="AEZ68" s="15"/>
      <c r="AFA68" s="15"/>
      <c r="AFB68" s="15"/>
      <c r="AFC68" s="15"/>
      <c r="AFD68" s="15"/>
      <c r="AFE68" s="15"/>
      <c r="AFF68" s="15"/>
      <c r="AFG68" s="15"/>
      <c r="AFH68" s="15"/>
      <c r="AFI68" s="15"/>
      <c r="AFJ68" s="15"/>
      <c r="AFK68" s="15"/>
      <c r="AFL68" s="15"/>
      <c r="AFM68" s="15"/>
      <c r="AFN68" s="15"/>
      <c r="AFO68" s="15"/>
      <c r="AFP68" s="15"/>
      <c r="AFQ68" s="15"/>
      <c r="AFR68" s="15"/>
      <c r="AFS68" s="15"/>
      <c r="AFT68" s="15"/>
      <c r="AFU68" s="15"/>
      <c r="AFV68" s="15"/>
      <c r="AFW68" s="15"/>
      <c r="AFX68" s="15"/>
      <c r="AFY68" s="15"/>
      <c r="AFZ68" s="15"/>
      <c r="AGA68" s="15"/>
      <c r="AGB68" s="15"/>
      <c r="AGC68" s="15"/>
      <c r="AGD68" s="15"/>
      <c r="AGE68" s="15"/>
      <c r="AGF68" s="15"/>
      <c r="AGG68" s="15"/>
      <c r="AGH68" s="15"/>
      <c r="AGI68" s="15"/>
      <c r="AGJ68" s="15"/>
      <c r="AGK68" s="15"/>
      <c r="AGL68" s="15"/>
      <c r="AGM68" s="15"/>
      <c r="AGN68" s="15"/>
      <c r="AGO68" s="15"/>
      <c r="AGP68" s="15"/>
      <c r="AGQ68" s="15"/>
      <c r="AGR68" s="15"/>
      <c r="AGS68" s="15"/>
      <c r="AGT68" s="15"/>
      <c r="AGU68" s="15"/>
      <c r="AGV68" s="15"/>
      <c r="AGW68" s="15"/>
      <c r="AGX68" s="15"/>
      <c r="AGY68" s="15"/>
      <c r="AGZ68" s="15"/>
      <c r="AHA68" s="15"/>
      <c r="AHB68" s="15"/>
      <c r="AHC68" s="15"/>
      <c r="AHD68" s="15"/>
      <c r="AHE68" s="15"/>
      <c r="AHF68" s="15"/>
      <c r="AHG68" s="15"/>
      <c r="AHH68" s="15"/>
      <c r="AHI68" s="15"/>
      <c r="AHJ68" s="15"/>
      <c r="AHK68" s="15"/>
      <c r="AHL68" s="15"/>
      <c r="AHM68" s="15"/>
      <c r="AHN68" s="15"/>
      <c r="AHO68" s="15"/>
      <c r="AHP68" s="15"/>
      <c r="AHQ68" s="15"/>
      <c r="AHR68" s="15"/>
      <c r="AHS68" s="15"/>
      <c r="AHT68" s="15"/>
      <c r="AHU68" s="15"/>
      <c r="AHV68" s="15"/>
      <c r="AHW68" s="15"/>
      <c r="AHX68" s="15"/>
      <c r="AHY68" s="15"/>
      <c r="AHZ68" s="15"/>
      <c r="AIA68" s="15"/>
      <c r="AIB68" s="15"/>
      <c r="AIC68" s="15"/>
      <c r="AID68" s="15"/>
      <c r="AIE68" s="15"/>
      <c r="AIF68" s="15"/>
      <c r="AIG68" s="15"/>
      <c r="AIH68" s="15"/>
      <c r="AII68" s="15"/>
      <c r="AIJ68" s="15"/>
      <c r="AIK68" s="15"/>
      <c r="AIL68" s="15"/>
      <c r="AIM68" s="15"/>
      <c r="AIN68" s="15"/>
      <c r="AIO68" s="15"/>
      <c r="AIP68" s="15"/>
      <c r="AIQ68" s="15"/>
      <c r="AIR68" s="15"/>
      <c r="AIS68" s="15"/>
      <c r="AIT68" s="15"/>
      <c r="AIU68" s="15"/>
      <c r="AIV68" s="15"/>
      <c r="AIW68" s="15"/>
      <c r="AIX68" s="15"/>
      <c r="AIY68" s="15"/>
      <c r="AIZ68" s="15"/>
      <c r="AJA68" s="15"/>
      <c r="AJB68" s="15"/>
      <c r="AJC68" s="15"/>
      <c r="AJD68" s="15"/>
      <c r="AJE68" s="15"/>
      <c r="AJF68" s="15"/>
      <c r="AJG68" s="15"/>
      <c r="AJH68" s="15"/>
      <c r="AJI68" s="15"/>
      <c r="AJJ68" s="15"/>
      <c r="AJK68" s="15"/>
      <c r="AJL68" s="15"/>
      <c r="AJM68" s="15"/>
      <c r="AJN68" s="15"/>
      <c r="AJO68" s="15"/>
      <c r="AJP68" s="15"/>
      <c r="AJQ68" s="15"/>
      <c r="AJR68" s="15"/>
      <c r="AJS68" s="15"/>
      <c r="AJT68" s="15"/>
      <c r="AJU68" s="15"/>
      <c r="AJV68" s="15"/>
      <c r="AJW68" s="15"/>
      <c r="AJX68" s="15"/>
      <c r="AJY68" s="15"/>
      <c r="AJZ68" s="15"/>
      <c r="AKA68" s="15"/>
      <c r="AKB68" s="15"/>
      <c r="AKC68" s="15"/>
      <c r="AKD68" s="15"/>
      <c r="AKE68" s="15"/>
      <c r="AKF68" s="15"/>
      <c r="AKG68" s="15"/>
      <c r="AKH68" s="15"/>
      <c r="AKI68" s="15"/>
      <c r="AKJ68" s="15"/>
      <c r="AKK68" s="15"/>
      <c r="AKL68" s="15"/>
      <c r="AKM68" s="15"/>
      <c r="AKN68" s="15"/>
      <c r="AKO68" s="15"/>
      <c r="AKP68" s="15"/>
      <c r="AKQ68" s="15"/>
      <c r="AKR68" s="15"/>
      <c r="AKS68" s="15"/>
      <c r="AKT68" s="15"/>
      <c r="AKU68" s="15"/>
      <c r="AKV68" s="15"/>
      <c r="AKW68" s="15"/>
      <c r="AKX68" s="15"/>
      <c r="AKY68" s="15"/>
      <c r="AKZ68" s="15"/>
      <c r="ALA68" s="15"/>
      <c r="ALB68" s="15"/>
      <c r="ALC68" s="15"/>
      <c r="ALD68" s="15"/>
      <c r="ALE68" s="15"/>
      <c r="ALF68" s="15"/>
      <c r="ALG68" s="15"/>
      <c r="ALH68" s="15"/>
      <c r="ALI68" s="15"/>
      <c r="ALJ68" s="15"/>
      <c r="ALK68" s="15"/>
      <c r="ALL68" s="15"/>
      <c r="ALM68" s="15"/>
      <c r="ALN68" s="15"/>
      <c r="ALO68" s="15"/>
      <c r="ALP68" s="15"/>
      <c r="ALQ68" s="15"/>
      <c r="ALR68" s="15"/>
      <c r="ALS68" s="15"/>
      <c r="ALT68" s="15"/>
      <c r="ALU68" s="15"/>
      <c r="ALV68" s="15"/>
      <c r="ALW68" s="15"/>
      <c r="ALX68" s="15"/>
      <c r="ALY68" s="15"/>
      <c r="ALZ68" s="15"/>
      <c r="AMA68" s="15"/>
      <c r="AMB68" s="15"/>
      <c r="AMC68" s="15"/>
      <c r="AMD68" s="15"/>
      <c r="AME68" s="15"/>
      <c r="AMF68" s="15"/>
      <c r="AMG68" s="15"/>
      <c r="AMH68" s="15"/>
      <c r="AMI68" s="15"/>
      <c r="AMJ68" s="15"/>
      <c r="AMK68" s="15"/>
      <c r="AML68" s="15"/>
      <c r="AMM68" s="15"/>
      <c r="AMN68" s="15"/>
      <c r="AMO68" s="15"/>
      <c r="AMP68" s="15"/>
      <c r="AMQ68" s="15"/>
      <c r="AMR68" s="15"/>
      <c r="AMS68" s="15"/>
      <c r="AMT68" s="15"/>
      <c r="AMU68" s="15"/>
      <c r="AMV68" s="15"/>
      <c r="AMW68" s="15"/>
      <c r="AMX68" s="15"/>
      <c r="AMY68" s="15"/>
      <c r="AMZ68" s="15"/>
      <c r="ANA68" s="15"/>
      <c r="ANB68" s="15"/>
      <c r="ANC68" s="15"/>
      <c r="AND68" s="15"/>
      <c r="ANE68" s="15"/>
      <c r="ANF68" s="15"/>
      <c r="ANG68" s="15"/>
      <c r="ANH68" s="15"/>
      <c r="ANI68" s="15"/>
      <c r="ANJ68" s="15"/>
      <c r="ANK68" s="15"/>
      <c r="ANL68" s="15"/>
      <c r="ANM68" s="15"/>
      <c r="ANN68" s="15"/>
      <c r="ANO68" s="15"/>
      <c r="ANP68" s="15"/>
      <c r="ANQ68" s="15"/>
      <c r="ANR68" s="15"/>
      <c r="ANS68" s="15"/>
      <c r="ANT68" s="15"/>
      <c r="ANU68" s="15"/>
      <c r="ANV68" s="15"/>
      <c r="ANW68" s="15"/>
      <c r="ANX68" s="15"/>
      <c r="ANY68" s="15"/>
      <c r="ANZ68" s="15"/>
      <c r="AOA68" s="15"/>
      <c r="AOB68" s="15"/>
      <c r="AOC68" s="15"/>
      <c r="AOD68" s="15"/>
      <c r="AOE68" s="15"/>
      <c r="AOF68" s="15"/>
      <c r="AOG68" s="15"/>
      <c r="AOH68" s="15"/>
      <c r="AOI68" s="15"/>
      <c r="AOJ68" s="15"/>
      <c r="AOK68" s="15"/>
      <c r="AOL68" s="15"/>
      <c r="AOM68" s="15"/>
      <c r="AON68" s="15"/>
      <c r="AOO68" s="15"/>
      <c r="AOP68" s="15"/>
      <c r="AOQ68" s="15"/>
      <c r="AOR68" s="15"/>
      <c r="AOS68" s="15"/>
      <c r="AOT68" s="15"/>
      <c r="AOU68" s="15"/>
      <c r="AOV68" s="15"/>
      <c r="AOW68" s="15"/>
      <c r="AOX68" s="15"/>
      <c r="AOY68" s="15"/>
      <c r="AOZ68" s="15"/>
      <c r="APA68" s="15"/>
      <c r="APB68" s="15"/>
      <c r="APC68" s="15"/>
      <c r="APD68" s="15"/>
      <c r="APE68" s="15"/>
      <c r="APF68" s="15"/>
      <c r="APG68" s="15"/>
      <c r="APH68" s="15"/>
      <c r="API68" s="15"/>
      <c r="APJ68" s="15"/>
      <c r="APK68" s="15"/>
      <c r="APL68" s="15"/>
      <c r="APM68" s="15"/>
      <c r="APN68" s="15"/>
      <c r="APO68" s="15"/>
      <c r="APP68" s="15"/>
      <c r="APQ68" s="15"/>
      <c r="APR68" s="15"/>
      <c r="APS68" s="15"/>
      <c r="APT68" s="15"/>
      <c r="APU68" s="15"/>
      <c r="APV68" s="15"/>
      <c r="APW68" s="15"/>
      <c r="APX68" s="15"/>
      <c r="APY68" s="15"/>
      <c r="APZ68" s="15"/>
      <c r="AQA68" s="15"/>
      <c r="AQB68" s="15"/>
      <c r="AQC68" s="15"/>
      <c r="AQD68" s="15"/>
      <c r="AQE68" s="15"/>
      <c r="AQF68" s="15"/>
      <c r="AQG68" s="15"/>
      <c r="AQH68" s="15"/>
      <c r="AQI68" s="15"/>
      <c r="AQJ68" s="15"/>
      <c r="AQK68" s="15"/>
      <c r="AQL68" s="15"/>
      <c r="AQM68" s="15"/>
      <c r="AQN68" s="15"/>
      <c r="AQO68" s="15"/>
      <c r="AQP68" s="15"/>
      <c r="AQQ68" s="15"/>
      <c r="AQR68" s="15"/>
      <c r="AQS68" s="15"/>
      <c r="AQT68" s="15"/>
      <c r="AQU68" s="15"/>
      <c r="AQV68" s="15"/>
      <c r="AQW68" s="15"/>
      <c r="AQX68" s="15"/>
      <c r="AQY68" s="15"/>
      <c r="AQZ68" s="15"/>
      <c r="ARA68" s="15"/>
      <c r="ARB68" s="15"/>
      <c r="ARC68" s="15"/>
      <c r="ARD68" s="15"/>
      <c r="ARE68" s="15"/>
      <c r="ARF68" s="15"/>
      <c r="ARG68" s="15"/>
      <c r="ARH68" s="15"/>
      <c r="ARI68" s="15"/>
      <c r="ARJ68" s="15"/>
      <c r="ARK68" s="15"/>
      <c r="ARL68" s="15"/>
      <c r="ARM68" s="15"/>
      <c r="ARN68" s="15"/>
      <c r="ARO68" s="15"/>
      <c r="ARP68" s="15"/>
      <c r="ARQ68" s="15"/>
      <c r="ARR68" s="15"/>
      <c r="ARS68" s="15"/>
      <c r="ART68" s="15"/>
      <c r="ARU68" s="15"/>
      <c r="ARV68" s="15"/>
      <c r="ARW68" s="15"/>
      <c r="ARX68" s="15"/>
      <c r="ARY68" s="15"/>
      <c r="ARZ68" s="15"/>
      <c r="ASA68" s="15"/>
      <c r="ASB68" s="15"/>
      <c r="ASC68" s="15"/>
      <c r="ASD68" s="15"/>
      <c r="ASE68" s="15"/>
      <c r="ASF68" s="15"/>
      <c r="ASG68" s="15"/>
      <c r="ASH68" s="15"/>
      <c r="ASI68" s="15"/>
      <c r="ASJ68" s="15"/>
      <c r="ASK68" s="15"/>
      <c r="ASL68" s="15"/>
      <c r="ASM68" s="15"/>
      <c r="ASN68" s="15"/>
      <c r="ASO68" s="15"/>
      <c r="ASP68" s="15"/>
      <c r="ASQ68" s="15"/>
      <c r="ASR68" s="15"/>
      <c r="ASS68" s="15"/>
      <c r="AST68" s="15"/>
      <c r="ASU68" s="15"/>
      <c r="ASV68" s="15"/>
      <c r="ASW68" s="15"/>
      <c r="ASX68" s="15"/>
      <c r="ASY68" s="15"/>
      <c r="ASZ68" s="15"/>
      <c r="ATA68" s="15"/>
      <c r="ATB68" s="15"/>
      <c r="ATC68" s="15"/>
      <c r="ATD68" s="15"/>
      <c r="ATE68" s="15"/>
      <c r="ATF68" s="15"/>
      <c r="ATG68" s="15"/>
      <c r="ATH68" s="15"/>
      <c r="ATI68" s="15"/>
      <c r="ATJ68" s="15"/>
      <c r="ATK68" s="15"/>
      <c r="ATL68" s="15"/>
      <c r="ATM68" s="15"/>
      <c r="ATN68" s="15"/>
      <c r="ATO68" s="15"/>
      <c r="ATP68" s="15"/>
      <c r="ATQ68" s="15"/>
      <c r="ATR68" s="15"/>
      <c r="ATS68" s="15"/>
      <c r="ATT68" s="15"/>
      <c r="ATU68" s="15"/>
      <c r="ATV68" s="15"/>
      <c r="ATW68" s="15"/>
      <c r="ATX68" s="15"/>
      <c r="ATY68" s="15"/>
      <c r="ATZ68" s="15"/>
      <c r="AUA68" s="15"/>
      <c r="AUB68" s="15"/>
      <c r="AUC68" s="15"/>
      <c r="AUD68" s="15"/>
      <c r="AUE68" s="15"/>
      <c r="AUF68" s="15"/>
      <c r="AUG68" s="15"/>
      <c r="AUH68" s="15"/>
      <c r="AUI68" s="15"/>
      <c r="AUJ68" s="15"/>
      <c r="AUK68" s="15"/>
      <c r="AUL68" s="15"/>
      <c r="AUM68" s="15"/>
      <c r="AUN68" s="15"/>
      <c r="AUO68" s="15"/>
      <c r="AUP68" s="15"/>
      <c r="AUQ68" s="15"/>
      <c r="AUR68" s="15"/>
      <c r="AUS68" s="15"/>
      <c r="AUT68" s="15"/>
      <c r="AUU68" s="15"/>
      <c r="AUV68" s="15"/>
      <c r="AUW68" s="15"/>
      <c r="AUX68" s="15"/>
      <c r="AUY68" s="15"/>
      <c r="AUZ68" s="15"/>
      <c r="AVA68" s="15"/>
      <c r="AVB68" s="15"/>
      <c r="AVC68" s="15"/>
      <c r="AVD68" s="15"/>
      <c r="AVE68" s="15"/>
      <c r="AVF68" s="15"/>
      <c r="AVG68" s="15"/>
      <c r="AVH68" s="15"/>
      <c r="AVI68" s="15"/>
      <c r="AVJ68" s="15"/>
      <c r="AVK68" s="15"/>
      <c r="AVL68" s="15"/>
      <c r="AVM68" s="15"/>
      <c r="AVN68" s="15"/>
      <c r="AVO68" s="15"/>
      <c r="AVP68" s="15"/>
      <c r="AVQ68" s="15"/>
      <c r="AVR68" s="15"/>
      <c r="AVS68" s="15"/>
      <c r="AVT68" s="15"/>
      <c r="AVU68" s="15"/>
      <c r="AVV68" s="15"/>
      <c r="AVW68" s="15"/>
      <c r="AVX68" s="15"/>
      <c r="AVY68" s="15"/>
      <c r="AVZ68" s="15"/>
      <c r="AWA68" s="15"/>
      <c r="AWB68" s="15"/>
      <c r="AWC68" s="15"/>
      <c r="AWD68" s="15"/>
      <c r="AWE68" s="15"/>
      <c r="AWF68" s="15"/>
      <c r="AWG68" s="15"/>
      <c r="AWH68" s="15"/>
      <c r="AWI68" s="15"/>
      <c r="AWJ68" s="15"/>
      <c r="AWK68" s="15"/>
      <c r="AWL68" s="15"/>
      <c r="AWM68" s="15"/>
      <c r="AWN68" s="15"/>
      <c r="AWO68" s="15"/>
      <c r="AWP68" s="15"/>
      <c r="AWQ68" s="15"/>
      <c r="AWR68" s="15"/>
      <c r="AWS68" s="15"/>
      <c r="AWT68" s="15"/>
      <c r="AWU68" s="15"/>
      <c r="AWV68" s="15"/>
      <c r="AWW68" s="15"/>
      <c r="AWX68" s="15"/>
      <c r="AWY68" s="15"/>
      <c r="AWZ68" s="15"/>
      <c r="AXA68" s="15"/>
      <c r="AXB68" s="15"/>
      <c r="AXC68" s="15"/>
      <c r="AXD68" s="15"/>
      <c r="AXE68" s="15"/>
      <c r="AXF68" s="15"/>
      <c r="AXG68" s="15"/>
      <c r="AXH68" s="15"/>
      <c r="AXI68" s="15"/>
      <c r="AXJ68" s="15"/>
      <c r="AXK68" s="15"/>
      <c r="AXL68" s="15"/>
      <c r="AXM68" s="15"/>
      <c r="AXN68" s="15"/>
      <c r="AXO68" s="15"/>
      <c r="AXP68" s="15"/>
      <c r="AXQ68" s="15"/>
      <c r="AXR68" s="15"/>
      <c r="AXS68" s="15"/>
      <c r="AXT68" s="15"/>
      <c r="AXU68" s="15"/>
      <c r="AXV68" s="15"/>
      <c r="AXW68" s="15"/>
      <c r="AXX68" s="15"/>
      <c r="AXY68" s="15"/>
      <c r="AXZ68" s="15"/>
      <c r="AYA68" s="15"/>
      <c r="AYB68" s="15"/>
      <c r="AYC68" s="15"/>
      <c r="AYD68" s="15"/>
      <c r="AYE68" s="15"/>
      <c r="AYF68" s="15"/>
      <c r="AYG68" s="15"/>
      <c r="AYH68" s="15"/>
      <c r="AYI68" s="15"/>
      <c r="AYJ68" s="15"/>
      <c r="AYK68" s="15"/>
      <c r="AYL68" s="15"/>
      <c r="AYM68" s="15"/>
      <c r="AYN68" s="15"/>
      <c r="AYO68" s="15"/>
      <c r="AYP68" s="15"/>
      <c r="AYQ68" s="15"/>
      <c r="AYR68" s="15"/>
      <c r="AYS68" s="15"/>
      <c r="AYT68" s="15"/>
      <c r="AYU68" s="15"/>
      <c r="AYV68" s="15"/>
      <c r="AYW68" s="15"/>
      <c r="AYX68" s="15"/>
      <c r="AYY68" s="15"/>
      <c r="AYZ68" s="15"/>
      <c r="AZA68" s="15"/>
      <c r="AZB68" s="15"/>
      <c r="AZC68" s="15"/>
      <c r="AZD68" s="15"/>
      <c r="AZE68" s="15"/>
      <c r="AZF68" s="15"/>
      <c r="AZG68" s="15"/>
      <c r="AZH68" s="15"/>
      <c r="AZI68" s="15"/>
      <c r="AZJ68" s="15"/>
      <c r="AZK68" s="15"/>
      <c r="AZL68" s="15"/>
      <c r="AZM68" s="15"/>
      <c r="AZN68" s="15"/>
      <c r="AZO68" s="15"/>
      <c r="AZP68" s="15"/>
      <c r="AZQ68" s="15"/>
      <c r="AZR68" s="15"/>
      <c r="AZS68" s="15"/>
      <c r="AZT68" s="15"/>
      <c r="AZU68" s="15"/>
      <c r="AZV68" s="15"/>
      <c r="AZW68" s="15"/>
      <c r="AZX68" s="15"/>
      <c r="AZY68" s="15"/>
      <c r="AZZ68" s="15"/>
      <c r="BAA68" s="15"/>
      <c r="BAB68" s="15"/>
      <c r="BAC68" s="15"/>
      <c r="BAD68" s="15"/>
      <c r="BAE68" s="15"/>
      <c r="BAF68" s="15"/>
      <c r="BAG68" s="15"/>
      <c r="BAH68" s="15"/>
      <c r="BAI68" s="15"/>
      <c r="BAJ68" s="15"/>
      <c r="BAK68" s="15"/>
      <c r="BAL68" s="15"/>
      <c r="BAM68" s="15"/>
      <c r="BAN68" s="15"/>
      <c r="BAO68" s="15"/>
      <c r="BAP68" s="15"/>
      <c r="BAQ68" s="15"/>
      <c r="BAR68" s="15"/>
      <c r="BAS68" s="15"/>
      <c r="BAT68" s="15"/>
      <c r="BAU68" s="15"/>
      <c r="BAV68" s="15"/>
      <c r="BAW68" s="15"/>
      <c r="BAX68" s="15"/>
      <c r="BAY68" s="15"/>
      <c r="BAZ68" s="15"/>
      <c r="BBA68" s="15"/>
      <c r="BBB68" s="15"/>
      <c r="BBC68" s="15"/>
      <c r="BBD68" s="15"/>
      <c r="BBE68" s="15"/>
      <c r="BBF68" s="15"/>
      <c r="BBG68" s="15"/>
      <c r="BBH68" s="15"/>
      <c r="BBI68" s="15"/>
      <c r="BBJ68" s="15"/>
      <c r="BBK68" s="15"/>
      <c r="BBL68" s="15"/>
      <c r="BBM68" s="15"/>
      <c r="BBN68" s="15"/>
      <c r="BBO68" s="15"/>
      <c r="BBP68" s="15"/>
      <c r="BBQ68" s="15"/>
      <c r="BBR68" s="15"/>
      <c r="BBS68" s="15"/>
      <c r="BBT68" s="15"/>
      <c r="BBU68" s="15"/>
      <c r="BBV68" s="15"/>
      <c r="BBW68" s="15"/>
      <c r="BBX68" s="15"/>
      <c r="BBY68" s="15"/>
      <c r="BBZ68" s="15"/>
      <c r="BCA68" s="15"/>
      <c r="BCB68" s="15"/>
      <c r="BCC68" s="15"/>
      <c r="BCD68" s="15"/>
      <c r="BCE68" s="15"/>
      <c r="BCF68" s="15"/>
      <c r="BCG68" s="15"/>
      <c r="BCH68" s="15"/>
      <c r="BCI68" s="15"/>
      <c r="BCJ68" s="15"/>
      <c r="BCK68" s="15"/>
      <c r="BCL68" s="15"/>
      <c r="BCM68" s="15"/>
      <c r="BCN68" s="15"/>
      <c r="BCO68" s="15"/>
      <c r="BCP68" s="15"/>
      <c r="BCQ68" s="15"/>
      <c r="BCR68" s="15"/>
      <c r="BCS68" s="15"/>
      <c r="BCT68" s="15"/>
      <c r="BCU68" s="15"/>
      <c r="BCV68" s="15"/>
      <c r="BCW68" s="15"/>
      <c r="BCX68" s="15"/>
      <c r="BCY68" s="15"/>
      <c r="BCZ68" s="15"/>
      <c r="BDA68" s="15"/>
      <c r="BDB68" s="15"/>
      <c r="BDC68" s="15"/>
      <c r="BDD68" s="15"/>
      <c r="BDE68" s="15"/>
      <c r="BDF68" s="15"/>
      <c r="BDG68" s="15"/>
      <c r="BDH68" s="15"/>
      <c r="BDI68" s="15"/>
      <c r="BDJ68" s="15"/>
      <c r="BDK68" s="15"/>
      <c r="BDL68" s="15"/>
      <c r="BDM68" s="15"/>
      <c r="BDN68" s="15"/>
      <c r="BDO68" s="15"/>
      <c r="BDP68" s="15"/>
      <c r="BDQ68" s="15"/>
      <c r="BDR68" s="15"/>
      <c r="BDS68" s="15"/>
      <c r="BDT68" s="15"/>
      <c r="BDU68" s="15"/>
      <c r="BDV68" s="15"/>
      <c r="BDW68" s="15"/>
      <c r="BDX68" s="15"/>
      <c r="BDY68" s="15"/>
      <c r="BDZ68" s="15"/>
      <c r="BEA68" s="15"/>
      <c r="BEB68" s="15"/>
      <c r="BEC68" s="15"/>
      <c r="BED68" s="15"/>
      <c r="BEE68" s="15"/>
      <c r="BEF68" s="15"/>
      <c r="BEG68" s="15"/>
      <c r="BEH68" s="15"/>
      <c r="BEI68" s="15"/>
      <c r="BEJ68" s="15"/>
      <c r="BEK68" s="15"/>
      <c r="BEL68" s="15"/>
      <c r="BEM68" s="15"/>
      <c r="BEN68" s="15"/>
      <c r="BEO68" s="15"/>
      <c r="BEP68" s="15"/>
      <c r="BEQ68" s="15"/>
      <c r="BER68" s="15"/>
      <c r="BES68" s="15"/>
      <c r="BET68" s="15"/>
      <c r="BEU68" s="15"/>
      <c r="BEV68" s="15"/>
      <c r="BEW68" s="15"/>
      <c r="BEX68" s="15"/>
      <c r="BEY68" s="15"/>
      <c r="BEZ68" s="15"/>
      <c r="BFA68" s="15"/>
      <c r="BFB68" s="15"/>
      <c r="BFC68" s="15"/>
      <c r="BFD68" s="15"/>
      <c r="BFE68" s="15"/>
      <c r="BFF68" s="15"/>
      <c r="BFG68" s="15"/>
      <c r="BFH68" s="15"/>
      <c r="BFI68" s="15"/>
      <c r="BFJ68" s="15"/>
      <c r="BFK68" s="15"/>
      <c r="BFL68" s="15"/>
      <c r="BFM68" s="15"/>
      <c r="BFN68" s="15"/>
      <c r="BFO68" s="15"/>
      <c r="BFP68" s="15"/>
      <c r="BFQ68" s="15"/>
      <c r="BFR68" s="15"/>
      <c r="BFS68" s="15"/>
      <c r="BFT68" s="15"/>
      <c r="BFU68" s="15"/>
      <c r="BFV68" s="15"/>
      <c r="BFW68" s="15"/>
      <c r="BFX68" s="15"/>
      <c r="BFY68" s="15"/>
      <c r="BFZ68" s="15"/>
      <c r="BGA68" s="15"/>
      <c r="BGB68" s="15"/>
      <c r="BGC68" s="15"/>
      <c r="BGD68" s="15"/>
      <c r="BGE68" s="15"/>
      <c r="BGF68" s="15"/>
      <c r="BGG68" s="15"/>
      <c r="BGH68" s="15"/>
      <c r="BGI68" s="15"/>
      <c r="BGJ68" s="15"/>
      <c r="BGK68" s="15"/>
      <c r="BGL68" s="15"/>
      <c r="BGM68" s="15"/>
      <c r="BGN68" s="15"/>
      <c r="BGO68" s="15"/>
      <c r="BGP68" s="15"/>
      <c r="BGQ68" s="15"/>
      <c r="BGR68" s="15"/>
      <c r="BGS68" s="15"/>
      <c r="BGT68" s="15"/>
      <c r="BGU68" s="15"/>
      <c r="BGV68" s="15"/>
      <c r="BGW68" s="15"/>
      <c r="BGX68" s="15"/>
      <c r="BGY68" s="15"/>
      <c r="BGZ68" s="15"/>
      <c r="BHA68" s="15"/>
      <c r="BHB68" s="15"/>
      <c r="BHC68" s="15"/>
      <c r="BHD68" s="15"/>
      <c r="BHE68" s="15"/>
      <c r="BHF68" s="15"/>
      <c r="BHG68" s="15"/>
      <c r="BHH68" s="15"/>
      <c r="BHI68" s="15"/>
      <c r="BHJ68" s="15"/>
      <c r="BHK68" s="15"/>
      <c r="BHL68" s="15"/>
      <c r="BHM68" s="15"/>
      <c r="BHN68" s="15"/>
      <c r="BHO68" s="15"/>
      <c r="BHP68" s="15"/>
      <c r="BHQ68" s="15"/>
      <c r="BHR68" s="15"/>
      <c r="BHS68" s="15"/>
      <c r="BHT68" s="15"/>
      <c r="BHU68" s="15"/>
      <c r="BHV68" s="15"/>
      <c r="BHW68" s="15"/>
      <c r="BHX68" s="15"/>
      <c r="BHY68" s="15"/>
      <c r="BHZ68" s="15"/>
      <c r="BIA68" s="15"/>
      <c r="BIB68" s="15"/>
      <c r="BIC68" s="15"/>
      <c r="BID68" s="15"/>
      <c r="BIE68" s="15"/>
      <c r="BIF68" s="15"/>
      <c r="BIG68" s="15"/>
      <c r="BIH68" s="15"/>
      <c r="BII68" s="15"/>
      <c r="BIJ68" s="15"/>
      <c r="BIK68" s="15"/>
      <c r="BIL68" s="15"/>
      <c r="BIM68" s="15"/>
      <c r="BIN68" s="15"/>
      <c r="BIO68" s="15"/>
      <c r="BIP68" s="15"/>
      <c r="BIQ68" s="15"/>
      <c r="BIR68" s="15"/>
      <c r="BIS68" s="15"/>
      <c r="BIT68" s="15"/>
      <c r="BIU68" s="15"/>
      <c r="BIV68" s="15"/>
      <c r="BIW68" s="15"/>
      <c r="BIX68" s="15"/>
      <c r="BIY68" s="15"/>
      <c r="BIZ68" s="15"/>
      <c r="BJA68" s="15"/>
      <c r="BJB68" s="15"/>
      <c r="BJC68" s="15"/>
      <c r="BJD68" s="15"/>
      <c r="BJE68" s="15"/>
      <c r="BJF68" s="15"/>
      <c r="BJG68" s="15"/>
      <c r="BJH68" s="15"/>
      <c r="BJI68" s="15"/>
      <c r="BJJ68" s="15"/>
      <c r="BJK68" s="15"/>
      <c r="BJL68" s="15"/>
      <c r="BJM68" s="15"/>
      <c r="BJN68" s="15"/>
      <c r="BJO68" s="15"/>
      <c r="BJP68" s="15"/>
      <c r="BJQ68" s="15"/>
      <c r="BJR68" s="15"/>
      <c r="BJS68" s="15"/>
      <c r="BJT68" s="15"/>
      <c r="BJU68" s="15"/>
      <c r="BJV68" s="15"/>
      <c r="BJW68" s="15"/>
      <c r="BJX68" s="15"/>
      <c r="BJY68" s="15"/>
      <c r="BJZ68" s="15"/>
      <c r="BKA68" s="15"/>
      <c r="BKB68" s="15"/>
      <c r="BKC68" s="15"/>
      <c r="BKD68" s="15"/>
      <c r="BKE68" s="15"/>
      <c r="BKF68" s="15"/>
      <c r="BKG68" s="15"/>
      <c r="BKH68" s="15"/>
      <c r="BKI68" s="15"/>
      <c r="BKJ68" s="15"/>
      <c r="BKK68" s="15"/>
      <c r="BKL68" s="15"/>
      <c r="BKM68" s="15"/>
      <c r="BKN68" s="15"/>
      <c r="BKO68" s="15"/>
      <c r="BKP68" s="15"/>
      <c r="BKQ68" s="15"/>
      <c r="BKR68" s="15"/>
      <c r="BKS68" s="15"/>
      <c r="BKT68" s="15"/>
      <c r="BKU68" s="15"/>
      <c r="BKV68" s="15"/>
      <c r="BKW68" s="15"/>
      <c r="BKX68" s="15"/>
      <c r="BKY68" s="15"/>
      <c r="BKZ68" s="15"/>
      <c r="BLA68" s="15"/>
      <c r="BLB68" s="15"/>
      <c r="BLC68" s="15"/>
      <c r="BLD68" s="15"/>
      <c r="BLE68" s="15"/>
      <c r="BLF68" s="15"/>
      <c r="BLG68" s="15"/>
      <c r="BLH68" s="15"/>
      <c r="BLI68" s="15"/>
      <c r="BLJ68" s="15"/>
      <c r="BLK68" s="15"/>
      <c r="BLL68" s="15"/>
      <c r="BLM68" s="15"/>
      <c r="BLN68" s="15"/>
      <c r="BLO68" s="15"/>
      <c r="BLP68" s="15"/>
      <c r="BLQ68" s="15"/>
      <c r="BLR68" s="15"/>
      <c r="BLS68" s="15"/>
      <c r="BLT68" s="15"/>
      <c r="BLU68" s="15"/>
      <c r="BLV68" s="15"/>
      <c r="BLW68" s="15"/>
      <c r="BLX68" s="15"/>
      <c r="BLY68" s="15"/>
      <c r="BLZ68" s="15"/>
      <c r="BMA68" s="15"/>
      <c r="BMB68" s="15"/>
      <c r="BMC68" s="15"/>
      <c r="BMD68" s="15"/>
      <c r="BME68" s="15"/>
      <c r="BMF68" s="15"/>
      <c r="BMG68" s="15"/>
      <c r="BMH68" s="15"/>
      <c r="BMI68" s="15"/>
      <c r="BMJ68" s="15"/>
      <c r="BMK68" s="15"/>
      <c r="BML68" s="15"/>
      <c r="BMM68" s="15"/>
      <c r="BMN68" s="15"/>
      <c r="BMO68" s="15"/>
      <c r="BMP68" s="15"/>
      <c r="BMQ68" s="15"/>
      <c r="BMR68" s="15"/>
      <c r="BMS68" s="15"/>
      <c r="BMT68" s="15"/>
      <c r="BMU68" s="15"/>
      <c r="BMV68" s="15"/>
      <c r="BMW68" s="15"/>
      <c r="BMX68" s="15"/>
      <c r="BMY68" s="15"/>
      <c r="BMZ68" s="15"/>
      <c r="BNA68" s="15"/>
      <c r="BNB68" s="15"/>
      <c r="BNC68" s="15"/>
      <c r="BND68" s="15"/>
      <c r="BNE68" s="15"/>
      <c r="BNF68" s="15"/>
      <c r="BNG68" s="15"/>
      <c r="BNH68" s="15"/>
      <c r="BNI68" s="15"/>
      <c r="BNJ68" s="15"/>
      <c r="BNK68" s="15"/>
      <c r="BNL68" s="15"/>
      <c r="BNM68" s="15"/>
      <c r="BNN68" s="15"/>
      <c r="BNO68" s="15"/>
      <c r="BNP68" s="15"/>
      <c r="BNQ68" s="15"/>
      <c r="BNR68" s="15"/>
      <c r="BNS68" s="15"/>
      <c r="BNT68" s="15"/>
      <c r="BNU68" s="15"/>
      <c r="BNV68" s="15"/>
      <c r="BNW68" s="15"/>
      <c r="BNX68" s="15"/>
      <c r="BNY68" s="15"/>
      <c r="BNZ68" s="15"/>
      <c r="BOA68" s="15"/>
      <c r="BOB68" s="15"/>
      <c r="BOC68" s="15"/>
      <c r="BOD68" s="15"/>
      <c r="BOE68" s="15"/>
      <c r="BOF68" s="15"/>
      <c r="BOG68" s="15"/>
      <c r="BOH68" s="15"/>
      <c r="BOI68" s="15"/>
      <c r="BOJ68" s="15"/>
      <c r="BOK68" s="15"/>
      <c r="BOL68" s="15"/>
      <c r="BOM68" s="15"/>
      <c r="BON68" s="15"/>
      <c r="BOO68" s="15"/>
      <c r="BOP68" s="15"/>
      <c r="BOQ68" s="15"/>
      <c r="BOR68" s="15"/>
      <c r="BOS68" s="15"/>
      <c r="BOT68" s="15"/>
      <c r="BOU68" s="15"/>
      <c r="BOV68" s="15"/>
      <c r="BOW68" s="15"/>
      <c r="BOX68" s="15"/>
      <c r="BOY68" s="15"/>
      <c r="BOZ68" s="15"/>
      <c r="BPA68" s="15"/>
      <c r="BPB68" s="15"/>
      <c r="BPC68" s="15"/>
      <c r="BPD68" s="15"/>
      <c r="BPE68" s="15"/>
      <c r="BPF68" s="15"/>
      <c r="BPG68" s="15"/>
      <c r="BPH68" s="15"/>
      <c r="BPI68" s="15"/>
      <c r="BPJ68" s="15"/>
      <c r="BPK68" s="15"/>
      <c r="BPL68" s="15"/>
      <c r="BPM68" s="15"/>
      <c r="BPN68" s="15"/>
      <c r="BPO68" s="15"/>
      <c r="BPP68" s="15"/>
      <c r="BPQ68" s="15"/>
      <c r="BPR68" s="15"/>
      <c r="BPS68" s="15"/>
      <c r="BPT68" s="15"/>
      <c r="BPU68" s="15"/>
      <c r="BPV68" s="15"/>
      <c r="BPW68" s="15"/>
      <c r="BPX68" s="15"/>
      <c r="BPY68" s="15"/>
      <c r="BPZ68" s="15"/>
      <c r="BQA68" s="15"/>
      <c r="BQB68" s="15"/>
      <c r="BQC68" s="15"/>
      <c r="BQD68" s="15"/>
      <c r="BQE68" s="15"/>
      <c r="BQF68" s="15"/>
      <c r="BQG68" s="15"/>
      <c r="BQH68" s="15"/>
      <c r="BQI68" s="15"/>
      <c r="BQJ68" s="15"/>
      <c r="BQK68" s="15"/>
      <c r="BQL68" s="15"/>
      <c r="BQM68" s="15"/>
      <c r="BQN68" s="15"/>
      <c r="BQO68" s="15"/>
      <c r="BQP68" s="15"/>
      <c r="BQQ68" s="15"/>
      <c r="BQR68" s="15"/>
      <c r="BQS68" s="15"/>
      <c r="BQT68" s="15"/>
      <c r="BQU68" s="15"/>
      <c r="BQV68" s="15"/>
      <c r="BQW68" s="15"/>
      <c r="BQX68" s="15"/>
      <c r="BQY68" s="15"/>
      <c r="BQZ68" s="15"/>
      <c r="BRA68" s="15"/>
      <c r="BRB68" s="15"/>
      <c r="BRC68" s="15"/>
      <c r="BRD68" s="15"/>
      <c r="BRE68" s="15"/>
      <c r="BRF68" s="15"/>
      <c r="BRG68" s="15"/>
      <c r="BRH68" s="15"/>
      <c r="BRI68" s="15"/>
      <c r="BRJ68" s="15"/>
      <c r="BRK68" s="15"/>
      <c r="BRL68" s="15"/>
      <c r="BRM68" s="15"/>
      <c r="BRN68" s="15"/>
      <c r="BRO68" s="15"/>
      <c r="BRP68" s="15"/>
      <c r="BRQ68" s="15"/>
      <c r="BRR68" s="15"/>
      <c r="BRS68" s="15"/>
      <c r="BRT68" s="15"/>
      <c r="BRU68" s="15"/>
      <c r="BRV68" s="15"/>
      <c r="BRW68" s="15"/>
      <c r="BRX68" s="15"/>
      <c r="BRY68" s="15"/>
      <c r="BRZ68" s="15"/>
      <c r="BSA68" s="15"/>
      <c r="BSB68" s="15"/>
      <c r="BSC68" s="15"/>
      <c r="BSD68" s="15"/>
      <c r="BSE68" s="15"/>
      <c r="BSF68" s="15"/>
      <c r="BSG68" s="15"/>
      <c r="BSH68" s="15"/>
      <c r="BSI68" s="15"/>
      <c r="BSJ68" s="15"/>
      <c r="BSK68" s="15"/>
      <c r="BSL68" s="15"/>
      <c r="BSM68" s="15"/>
      <c r="BSN68" s="15"/>
      <c r="BSO68" s="15"/>
      <c r="BSP68" s="15"/>
      <c r="BSQ68" s="15"/>
      <c r="BSR68" s="15"/>
      <c r="BSS68" s="15"/>
      <c r="BST68" s="15"/>
      <c r="BSU68" s="15"/>
      <c r="BSV68" s="15"/>
      <c r="BSW68" s="15"/>
      <c r="BSX68" s="15"/>
      <c r="BSY68" s="15"/>
      <c r="BSZ68" s="15"/>
      <c r="BTA68" s="15"/>
      <c r="BTB68" s="15"/>
      <c r="BTC68" s="15"/>
      <c r="BTD68" s="15"/>
      <c r="BTE68" s="15"/>
      <c r="BTF68" s="15"/>
      <c r="BTG68" s="15"/>
      <c r="BTH68" s="15"/>
      <c r="BTI68" s="15"/>
      <c r="BTJ68" s="15"/>
      <c r="BTK68" s="15"/>
      <c r="BTL68" s="15"/>
      <c r="BTM68" s="15"/>
      <c r="BTN68" s="15"/>
      <c r="BTO68" s="15"/>
      <c r="BTP68" s="15"/>
      <c r="BTQ68" s="15"/>
      <c r="BTR68" s="15"/>
      <c r="BTS68" s="15"/>
      <c r="BTT68" s="15"/>
      <c r="BTU68" s="15"/>
      <c r="BTV68" s="15"/>
      <c r="BTW68" s="15"/>
      <c r="BTX68" s="15"/>
      <c r="BTY68" s="15"/>
      <c r="BTZ68" s="15"/>
      <c r="BUA68" s="15"/>
      <c r="BUB68" s="15"/>
      <c r="BUC68" s="15"/>
      <c r="BUD68" s="15"/>
      <c r="BUE68" s="15"/>
      <c r="BUF68" s="15"/>
      <c r="BUG68" s="15"/>
      <c r="BUH68" s="15"/>
      <c r="BUI68" s="15"/>
      <c r="BUJ68" s="15"/>
      <c r="BUK68" s="15"/>
      <c r="BUL68" s="15"/>
      <c r="BUM68" s="15"/>
      <c r="BUN68" s="15"/>
      <c r="BUO68" s="15"/>
      <c r="BUP68" s="15"/>
      <c r="BUQ68" s="15"/>
      <c r="BUR68" s="15"/>
      <c r="BUS68" s="15"/>
      <c r="BUT68" s="15"/>
      <c r="BUU68" s="15"/>
      <c r="BUV68" s="15"/>
      <c r="BUW68" s="15"/>
      <c r="BUX68" s="15"/>
      <c r="BUY68" s="15"/>
      <c r="BUZ68" s="15"/>
      <c r="BVA68" s="15"/>
      <c r="BVB68" s="15"/>
      <c r="BVC68" s="15"/>
      <c r="BVD68" s="15"/>
      <c r="BVE68" s="15"/>
      <c r="BVF68" s="15"/>
      <c r="BVG68" s="15"/>
      <c r="BVH68" s="15"/>
      <c r="BVI68" s="15"/>
      <c r="BVJ68" s="15"/>
      <c r="BVK68" s="15"/>
      <c r="BVL68" s="15"/>
      <c r="BVM68" s="15"/>
      <c r="BVN68" s="15"/>
      <c r="BVO68" s="15"/>
      <c r="BVP68" s="15"/>
      <c r="BVQ68" s="15"/>
      <c r="BVR68" s="15"/>
      <c r="BVS68" s="15"/>
      <c r="BVT68" s="15"/>
      <c r="BVU68" s="15"/>
      <c r="BVV68" s="15"/>
      <c r="BVW68" s="15"/>
      <c r="BVX68" s="15"/>
      <c r="BVY68" s="15"/>
      <c r="BVZ68" s="15"/>
      <c r="BWA68" s="15"/>
      <c r="BWB68" s="15"/>
      <c r="BWC68" s="15"/>
      <c r="BWD68" s="15"/>
      <c r="BWE68" s="15"/>
      <c r="BWF68" s="15"/>
      <c r="BWG68" s="15"/>
      <c r="BWH68" s="15"/>
      <c r="BWI68" s="15"/>
      <c r="BWJ68" s="15"/>
      <c r="BWK68" s="15"/>
      <c r="BWL68" s="15"/>
      <c r="BWM68" s="15"/>
      <c r="BWN68" s="15"/>
      <c r="BWO68" s="15"/>
      <c r="BWP68" s="15"/>
      <c r="BWQ68" s="15"/>
      <c r="BWR68" s="15"/>
      <c r="BWS68" s="15"/>
      <c r="BWT68" s="15"/>
      <c r="BWU68" s="15"/>
      <c r="BWV68" s="15"/>
      <c r="BWW68" s="15"/>
      <c r="BWX68" s="15"/>
      <c r="BWY68" s="15"/>
      <c r="BWZ68" s="15"/>
      <c r="BXA68" s="15"/>
      <c r="BXB68" s="15"/>
      <c r="BXC68" s="15"/>
      <c r="BXD68" s="15"/>
      <c r="BXE68" s="15"/>
      <c r="BXF68" s="15"/>
      <c r="BXG68" s="15"/>
      <c r="BXH68" s="15"/>
      <c r="BXI68" s="15"/>
      <c r="BXJ68" s="15"/>
      <c r="BXK68" s="15"/>
      <c r="BXL68" s="15"/>
      <c r="BXM68" s="15"/>
      <c r="BXN68" s="15"/>
      <c r="BXO68" s="15"/>
      <c r="BXP68" s="15"/>
      <c r="BXQ68" s="15"/>
      <c r="BXR68" s="15"/>
      <c r="BXS68" s="15"/>
      <c r="BXT68" s="15"/>
      <c r="BXU68" s="15"/>
      <c r="BXV68" s="15"/>
      <c r="BXW68" s="15"/>
      <c r="BXX68" s="15"/>
      <c r="BXY68" s="15"/>
      <c r="BXZ68" s="15"/>
      <c r="BYA68" s="15"/>
      <c r="BYB68" s="15"/>
      <c r="BYC68" s="15"/>
      <c r="BYD68" s="15"/>
      <c r="BYE68" s="15"/>
      <c r="BYF68" s="15"/>
      <c r="BYG68" s="15"/>
      <c r="BYH68" s="15"/>
      <c r="BYI68" s="15"/>
      <c r="BYJ68" s="15"/>
      <c r="BYK68" s="15"/>
      <c r="BYL68" s="15"/>
      <c r="BYM68" s="15"/>
      <c r="BYN68" s="15"/>
      <c r="BYO68" s="15"/>
      <c r="BYP68" s="15"/>
      <c r="BYQ68" s="15"/>
      <c r="BYR68" s="15"/>
      <c r="BYS68" s="15"/>
      <c r="BYT68" s="15"/>
      <c r="BYU68" s="15"/>
      <c r="BYV68" s="15"/>
      <c r="BYW68" s="15"/>
      <c r="BYX68" s="15"/>
      <c r="BYY68" s="15"/>
      <c r="BYZ68" s="15"/>
      <c r="BZA68" s="15"/>
      <c r="BZB68" s="15"/>
      <c r="BZC68" s="15"/>
      <c r="BZD68" s="15"/>
      <c r="BZE68" s="15"/>
      <c r="BZF68" s="15"/>
      <c r="BZG68" s="15"/>
      <c r="BZH68" s="15"/>
      <c r="BZI68" s="15"/>
      <c r="BZJ68" s="15"/>
      <c r="BZK68" s="15"/>
      <c r="BZL68" s="15"/>
      <c r="BZM68" s="15"/>
      <c r="BZN68" s="15"/>
      <c r="BZO68" s="15"/>
      <c r="BZP68" s="15"/>
      <c r="BZQ68" s="15"/>
      <c r="BZR68" s="15"/>
      <c r="BZS68" s="15"/>
      <c r="BZT68" s="15"/>
      <c r="BZU68" s="15"/>
      <c r="BZV68" s="15"/>
      <c r="BZW68" s="15"/>
      <c r="BZX68" s="15"/>
      <c r="BZY68" s="15"/>
      <c r="BZZ68" s="15"/>
      <c r="CAA68" s="15"/>
      <c r="CAB68" s="15"/>
      <c r="CAC68" s="15"/>
      <c r="CAD68" s="15"/>
      <c r="CAE68" s="15"/>
      <c r="CAF68" s="15"/>
      <c r="CAG68" s="15"/>
      <c r="CAH68" s="15"/>
      <c r="CAI68" s="15"/>
      <c r="CAJ68" s="15"/>
      <c r="CAK68" s="15"/>
      <c r="CAL68" s="15"/>
      <c r="CAM68" s="15"/>
      <c r="CAN68" s="15"/>
      <c r="CAO68" s="15"/>
      <c r="CAP68" s="15"/>
      <c r="CAQ68" s="15"/>
      <c r="CAR68" s="15"/>
      <c r="CAS68" s="15"/>
      <c r="CAT68" s="15"/>
      <c r="CAU68" s="15"/>
      <c r="CAV68" s="15"/>
      <c r="CAW68" s="15"/>
      <c r="CAX68" s="15"/>
      <c r="CAY68" s="15"/>
      <c r="CAZ68" s="15"/>
      <c r="CBA68" s="15"/>
      <c r="CBB68" s="15"/>
      <c r="CBC68" s="15"/>
      <c r="CBD68" s="15"/>
      <c r="CBE68" s="15"/>
      <c r="CBF68" s="15"/>
      <c r="CBG68" s="15"/>
      <c r="CBH68" s="15"/>
      <c r="CBI68" s="15"/>
      <c r="CBJ68" s="15"/>
      <c r="CBK68" s="15"/>
      <c r="CBL68" s="15"/>
      <c r="CBM68" s="15"/>
      <c r="CBN68" s="15"/>
      <c r="CBO68" s="15"/>
      <c r="CBP68" s="15"/>
      <c r="CBQ68" s="15"/>
      <c r="CBR68" s="15"/>
      <c r="CBS68" s="15"/>
      <c r="CBT68" s="15"/>
      <c r="CBU68" s="15"/>
      <c r="CBV68" s="15"/>
      <c r="CBW68" s="15"/>
      <c r="CBX68" s="15"/>
      <c r="CBY68" s="15"/>
      <c r="CBZ68" s="15"/>
      <c r="CCA68" s="15"/>
      <c r="CCB68" s="15"/>
      <c r="CCC68" s="15"/>
      <c r="CCD68" s="15"/>
      <c r="CCE68" s="15"/>
      <c r="CCF68" s="15"/>
      <c r="CCG68" s="15"/>
      <c r="CCH68" s="15"/>
      <c r="CCI68" s="15"/>
      <c r="CCJ68" s="15"/>
      <c r="CCK68" s="15"/>
      <c r="CCL68" s="15"/>
      <c r="CCM68" s="15"/>
      <c r="CCN68" s="15"/>
      <c r="CCO68" s="15"/>
      <c r="CCP68" s="15"/>
      <c r="CCQ68" s="15"/>
      <c r="CCR68" s="15"/>
      <c r="CCS68" s="15"/>
      <c r="CCT68" s="15"/>
      <c r="CCU68" s="15"/>
      <c r="CCV68" s="15"/>
      <c r="CCW68" s="15"/>
      <c r="CCX68" s="15"/>
      <c r="CCY68" s="15"/>
      <c r="CCZ68" s="15"/>
      <c r="CDA68" s="15"/>
      <c r="CDB68" s="15"/>
      <c r="CDC68" s="15"/>
      <c r="CDD68" s="15"/>
      <c r="CDE68" s="15"/>
      <c r="CDF68" s="15"/>
      <c r="CDG68" s="15"/>
      <c r="CDH68" s="15"/>
      <c r="CDI68" s="15"/>
      <c r="CDJ68" s="15"/>
      <c r="CDK68" s="15"/>
      <c r="CDL68" s="15"/>
      <c r="CDM68" s="15"/>
      <c r="CDN68" s="15"/>
      <c r="CDO68" s="15"/>
      <c r="CDP68" s="15"/>
      <c r="CDQ68" s="15"/>
      <c r="CDR68" s="15"/>
      <c r="CDS68" s="15"/>
      <c r="CDT68" s="15"/>
      <c r="CDU68" s="15"/>
      <c r="CDV68" s="15"/>
      <c r="CDW68" s="15"/>
      <c r="CDX68" s="15"/>
      <c r="CDY68" s="15"/>
      <c r="CDZ68" s="15"/>
      <c r="CEA68" s="15"/>
      <c r="CEB68" s="15"/>
      <c r="CEC68" s="15"/>
      <c r="CED68" s="15"/>
      <c r="CEE68" s="15"/>
      <c r="CEF68" s="15"/>
      <c r="CEG68" s="15"/>
      <c r="CEH68" s="15"/>
      <c r="CEI68" s="15"/>
      <c r="CEJ68" s="15"/>
      <c r="CEK68" s="15"/>
      <c r="CEL68" s="15"/>
      <c r="CEM68" s="15"/>
      <c r="CEN68" s="15"/>
      <c r="CEO68" s="15"/>
      <c r="CEP68" s="15"/>
      <c r="CEQ68" s="15"/>
      <c r="CER68" s="15"/>
      <c r="CES68" s="15"/>
      <c r="CET68" s="15"/>
      <c r="CEU68" s="15"/>
      <c r="CEV68" s="15"/>
      <c r="CEW68" s="15"/>
      <c r="CEX68" s="15"/>
      <c r="CEY68" s="15"/>
      <c r="CEZ68" s="15"/>
      <c r="CFA68" s="15"/>
      <c r="CFB68" s="15"/>
      <c r="CFC68" s="15"/>
      <c r="CFD68" s="15"/>
      <c r="CFE68" s="15"/>
      <c r="CFF68" s="15"/>
      <c r="CFG68" s="15"/>
      <c r="CFH68" s="15"/>
      <c r="CFI68" s="15"/>
      <c r="CFJ68" s="15"/>
      <c r="CFK68" s="15"/>
      <c r="CFL68" s="15"/>
      <c r="CFM68" s="15"/>
      <c r="CFN68" s="15"/>
      <c r="CFO68" s="15"/>
      <c r="CFP68" s="15"/>
      <c r="CFQ68" s="15"/>
      <c r="CFR68" s="15"/>
      <c r="CFS68" s="15"/>
      <c r="CFT68" s="15"/>
      <c r="CFU68" s="15"/>
      <c r="CFV68" s="15"/>
      <c r="CFW68" s="15"/>
      <c r="CFX68" s="15"/>
      <c r="CFY68" s="15"/>
      <c r="CFZ68" s="15"/>
      <c r="CGA68" s="15"/>
      <c r="CGB68" s="15"/>
      <c r="CGC68" s="15"/>
      <c r="CGD68" s="15"/>
      <c r="CGE68" s="15"/>
      <c r="CGF68" s="15"/>
      <c r="CGG68" s="15"/>
      <c r="CGH68" s="15"/>
      <c r="CGI68" s="15"/>
      <c r="CGJ68" s="15"/>
      <c r="CGK68" s="15"/>
      <c r="CGL68" s="15"/>
      <c r="CGM68" s="15"/>
      <c r="CGN68" s="15"/>
      <c r="CGO68" s="15"/>
      <c r="CGP68" s="15"/>
      <c r="CGQ68" s="15"/>
      <c r="CGR68" s="15"/>
      <c r="CGS68" s="15"/>
      <c r="CGT68" s="15"/>
      <c r="CGU68" s="15"/>
      <c r="CGV68" s="15"/>
      <c r="CGW68" s="15"/>
      <c r="CGX68" s="15"/>
      <c r="CGY68" s="15"/>
      <c r="CGZ68" s="15"/>
      <c r="CHA68" s="15"/>
      <c r="CHB68" s="15"/>
      <c r="CHC68" s="15"/>
      <c r="CHD68" s="15"/>
      <c r="CHE68" s="15"/>
      <c r="CHF68" s="15"/>
      <c r="CHG68" s="15"/>
      <c r="CHH68" s="15"/>
      <c r="CHI68" s="15"/>
      <c r="CHJ68" s="15"/>
      <c r="CHK68" s="15"/>
      <c r="CHL68" s="15"/>
      <c r="CHM68" s="15"/>
      <c r="CHN68" s="15"/>
      <c r="CHO68" s="15"/>
      <c r="CHP68" s="15"/>
      <c r="CHQ68" s="15"/>
      <c r="CHR68" s="15"/>
      <c r="CHS68" s="15"/>
      <c r="CHT68" s="15"/>
      <c r="CHU68" s="15"/>
      <c r="CHV68" s="15"/>
      <c r="CHW68" s="15"/>
      <c r="CHX68" s="15"/>
      <c r="CHY68" s="15"/>
      <c r="CHZ68" s="15"/>
      <c r="CIA68" s="15"/>
      <c r="CIB68" s="15"/>
      <c r="CIC68" s="15"/>
      <c r="CID68" s="15"/>
      <c r="CIE68" s="15"/>
      <c r="CIF68" s="15"/>
      <c r="CIG68" s="15"/>
      <c r="CIH68" s="15"/>
      <c r="CII68" s="15"/>
      <c r="CIJ68" s="15"/>
      <c r="CIK68" s="15"/>
      <c r="CIL68" s="15"/>
      <c r="CIM68" s="15"/>
      <c r="CIN68" s="15"/>
      <c r="CIO68" s="15"/>
      <c r="CIP68" s="15"/>
      <c r="CIQ68" s="15"/>
      <c r="CIR68" s="15"/>
      <c r="CIS68" s="15"/>
      <c r="CIT68" s="15"/>
      <c r="CIU68" s="15"/>
      <c r="CIV68" s="15"/>
      <c r="CIW68" s="15"/>
      <c r="CIX68" s="15"/>
      <c r="CIY68" s="15"/>
      <c r="CIZ68" s="15"/>
      <c r="CJA68" s="15"/>
      <c r="CJB68" s="15"/>
      <c r="CJC68" s="15"/>
      <c r="CJD68" s="15"/>
      <c r="CJE68" s="15"/>
      <c r="CJF68" s="15"/>
      <c r="CJG68" s="15"/>
      <c r="CJH68" s="15"/>
      <c r="CJI68" s="15"/>
      <c r="CJJ68" s="15"/>
      <c r="CJK68" s="15"/>
      <c r="CJL68" s="15"/>
      <c r="CJM68" s="15"/>
      <c r="CJN68" s="15"/>
      <c r="CJO68" s="15"/>
      <c r="CJP68" s="15"/>
      <c r="CJQ68" s="15"/>
      <c r="CJR68" s="15"/>
      <c r="CJS68" s="15"/>
      <c r="CJT68" s="15"/>
      <c r="CJU68" s="15"/>
      <c r="CJV68" s="15"/>
      <c r="CJW68" s="15"/>
      <c r="CJX68" s="15"/>
      <c r="CJY68" s="15"/>
      <c r="CJZ68" s="15"/>
      <c r="CKA68" s="15"/>
      <c r="CKB68" s="15"/>
      <c r="CKC68" s="15"/>
      <c r="CKD68" s="15"/>
      <c r="CKE68" s="15"/>
      <c r="CKF68" s="15"/>
      <c r="CKG68" s="15"/>
      <c r="CKH68" s="15"/>
      <c r="CKI68" s="15"/>
      <c r="CKJ68" s="15"/>
      <c r="CKK68" s="15"/>
      <c r="CKL68" s="15"/>
      <c r="CKM68" s="15"/>
      <c r="CKN68" s="15"/>
      <c r="CKO68" s="15"/>
      <c r="CKP68" s="15"/>
      <c r="CKQ68" s="15"/>
      <c r="CKR68" s="15"/>
      <c r="CKS68" s="15"/>
      <c r="CKT68" s="15"/>
      <c r="CKU68" s="15"/>
      <c r="CKV68" s="15"/>
      <c r="CKW68" s="15"/>
      <c r="CKX68" s="15"/>
      <c r="CKY68" s="15"/>
      <c r="CKZ68" s="15"/>
      <c r="CLA68" s="15"/>
      <c r="CLB68" s="15"/>
      <c r="CLC68" s="15"/>
      <c r="CLD68" s="15"/>
      <c r="CLE68" s="15"/>
      <c r="CLF68" s="15"/>
      <c r="CLG68" s="15"/>
      <c r="CLH68" s="15"/>
      <c r="CLI68" s="15"/>
      <c r="CLJ68" s="15"/>
      <c r="CLK68" s="15"/>
      <c r="CLL68" s="15"/>
      <c r="CLM68" s="15"/>
      <c r="CLN68" s="15"/>
      <c r="CLO68" s="15"/>
      <c r="CLP68" s="15"/>
      <c r="CLQ68" s="15"/>
      <c r="CLR68" s="15"/>
      <c r="CLS68" s="15"/>
      <c r="CLT68" s="15"/>
      <c r="CLU68" s="15"/>
      <c r="CLV68" s="15"/>
      <c r="CLW68" s="15"/>
      <c r="CLX68" s="15"/>
      <c r="CLY68" s="15"/>
      <c r="CLZ68" s="15"/>
      <c r="CMA68" s="15"/>
      <c r="CMB68" s="15"/>
      <c r="CMC68" s="15"/>
      <c r="CMD68" s="15"/>
      <c r="CME68" s="15"/>
      <c r="CMF68" s="15"/>
      <c r="CMG68" s="15"/>
      <c r="CMH68" s="15"/>
      <c r="CMI68" s="15"/>
      <c r="CMJ68" s="15"/>
      <c r="CMK68" s="15"/>
      <c r="CML68" s="15"/>
      <c r="CMM68" s="15"/>
      <c r="CMN68" s="15"/>
      <c r="CMO68" s="15"/>
      <c r="CMP68" s="15"/>
      <c r="CMQ68" s="15"/>
      <c r="CMR68" s="15"/>
      <c r="CMS68" s="15"/>
      <c r="CMT68" s="15"/>
      <c r="CMU68" s="15"/>
      <c r="CMV68" s="15"/>
      <c r="CMW68" s="15"/>
      <c r="CMX68" s="15"/>
      <c r="CMY68" s="15"/>
      <c r="CMZ68" s="15"/>
      <c r="CNA68" s="15"/>
      <c r="CNB68" s="15"/>
      <c r="CNC68" s="15"/>
      <c r="CND68" s="15"/>
      <c r="CNE68" s="15"/>
      <c r="CNF68" s="15"/>
      <c r="CNG68" s="15"/>
      <c r="CNH68" s="15"/>
      <c r="CNI68" s="15"/>
      <c r="CNJ68" s="15"/>
      <c r="CNK68" s="15"/>
      <c r="CNL68" s="15"/>
      <c r="CNM68" s="15"/>
      <c r="CNN68" s="15"/>
      <c r="CNO68" s="15"/>
      <c r="CNP68" s="15"/>
      <c r="CNQ68" s="15"/>
      <c r="CNR68" s="15"/>
      <c r="CNS68" s="15"/>
      <c r="CNT68" s="15"/>
      <c r="CNU68" s="15"/>
      <c r="CNV68" s="15"/>
      <c r="CNW68" s="15"/>
      <c r="CNX68" s="15"/>
      <c r="CNY68" s="15"/>
      <c r="CNZ68" s="15"/>
      <c r="COA68" s="15"/>
      <c r="COB68" s="15"/>
      <c r="COC68" s="15"/>
      <c r="COD68" s="15"/>
      <c r="COE68" s="15"/>
      <c r="COF68" s="15"/>
      <c r="COG68" s="15"/>
      <c r="COH68" s="15"/>
      <c r="COI68" s="15"/>
      <c r="COJ68" s="15"/>
      <c r="COK68" s="15"/>
      <c r="COL68" s="15"/>
      <c r="COM68" s="15"/>
      <c r="CON68" s="15"/>
      <c r="COO68" s="15"/>
      <c r="COP68" s="15"/>
      <c r="COQ68" s="15"/>
      <c r="COR68" s="15"/>
      <c r="COS68" s="15"/>
      <c r="COT68" s="15"/>
      <c r="COU68" s="15"/>
      <c r="COV68" s="15"/>
      <c r="COW68" s="15"/>
      <c r="COX68" s="15"/>
      <c r="COY68" s="15"/>
      <c r="COZ68" s="15"/>
      <c r="CPA68" s="15"/>
      <c r="CPB68" s="15"/>
      <c r="CPC68" s="15"/>
      <c r="CPD68" s="15"/>
      <c r="CPE68" s="15"/>
      <c r="CPF68" s="15"/>
      <c r="CPG68" s="15"/>
      <c r="CPH68" s="15"/>
      <c r="CPI68" s="15"/>
      <c r="CPJ68" s="15"/>
      <c r="CPK68" s="15"/>
      <c r="CPL68" s="15"/>
      <c r="CPM68" s="15"/>
      <c r="CPN68" s="15"/>
      <c r="CPO68" s="15"/>
      <c r="CPP68" s="15"/>
      <c r="CPQ68" s="15"/>
      <c r="CPR68" s="15"/>
      <c r="CPS68" s="15"/>
      <c r="CPT68" s="15"/>
      <c r="CPU68" s="15"/>
      <c r="CPV68" s="15"/>
      <c r="CPW68" s="15"/>
      <c r="CPX68" s="15"/>
      <c r="CPY68" s="15"/>
      <c r="CPZ68" s="15"/>
      <c r="CQA68" s="15"/>
      <c r="CQB68" s="15"/>
      <c r="CQC68" s="15"/>
      <c r="CQD68" s="15"/>
      <c r="CQE68" s="15"/>
      <c r="CQF68" s="15"/>
      <c r="CQG68" s="15"/>
      <c r="CQH68" s="15"/>
      <c r="CQI68" s="15"/>
      <c r="CQJ68" s="15"/>
      <c r="CQK68" s="15"/>
      <c r="CQL68" s="15"/>
      <c r="CQM68" s="15"/>
      <c r="CQN68" s="15"/>
      <c r="CQO68" s="15"/>
      <c r="CQP68" s="15"/>
      <c r="CQQ68" s="15"/>
      <c r="CQR68" s="15"/>
      <c r="CQS68" s="15"/>
      <c r="CQT68" s="15"/>
      <c r="CQU68" s="15"/>
      <c r="CQV68" s="15"/>
      <c r="CQW68" s="15"/>
      <c r="CQX68" s="15"/>
      <c r="CQY68" s="15"/>
      <c r="CQZ68" s="15"/>
      <c r="CRA68" s="15"/>
      <c r="CRB68" s="15"/>
      <c r="CRC68" s="15"/>
      <c r="CRD68" s="15"/>
      <c r="CRE68" s="15"/>
      <c r="CRF68" s="15"/>
      <c r="CRG68" s="15"/>
      <c r="CRH68" s="15"/>
      <c r="CRI68" s="15"/>
      <c r="CRJ68" s="15"/>
      <c r="CRK68" s="15"/>
      <c r="CRL68" s="15"/>
      <c r="CRM68" s="15"/>
      <c r="CRN68" s="15"/>
      <c r="CRO68" s="15"/>
      <c r="CRP68" s="15"/>
      <c r="CRQ68" s="15"/>
      <c r="CRR68" s="15"/>
      <c r="CRS68" s="15"/>
      <c r="CRT68" s="15"/>
      <c r="CRU68" s="15"/>
      <c r="CRV68" s="15"/>
      <c r="CRW68" s="15"/>
      <c r="CRX68" s="15"/>
      <c r="CRY68" s="15"/>
      <c r="CRZ68" s="15"/>
      <c r="CSA68" s="15"/>
      <c r="CSB68" s="15"/>
      <c r="CSC68" s="15"/>
      <c r="CSD68" s="15"/>
      <c r="CSE68" s="15"/>
      <c r="CSF68" s="15"/>
      <c r="CSG68" s="15"/>
      <c r="CSH68" s="15"/>
      <c r="CSI68" s="15"/>
      <c r="CSJ68" s="15"/>
      <c r="CSK68" s="15"/>
      <c r="CSL68" s="15"/>
      <c r="CSM68" s="15"/>
      <c r="CSN68" s="15"/>
      <c r="CSO68" s="15"/>
      <c r="CSP68" s="15"/>
      <c r="CSQ68" s="15"/>
      <c r="CSR68" s="15"/>
      <c r="CSS68" s="15"/>
      <c r="CST68" s="15"/>
      <c r="CSU68" s="15"/>
      <c r="CSV68" s="15"/>
      <c r="CSW68" s="15"/>
      <c r="CSX68" s="15"/>
      <c r="CSY68" s="15"/>
      <c r="CSZ68" s="15"/>
      <c r="CTA68" s="15"/>
      <c r="CTB68" s="15"/>
      <c r="CTC68" s="15"/>
      <c r="CTD68" s="15"/>
      <c r="CTE68" s="15"/>
      <c r="CTF68" s="15"/>
      <c r="CTG68" s="15"/>
      <c r="CTH68" s="15"/>
      <c r="CTI68" s="15"/>
      <c r="CTJ68" s="15"/>
      <c r="CTK68" s="15"/>
      <c r="CTL68" s="15"/>
      <c r="CTM68" s="15"/>
      <c r="CTN68" s="15"/>
      <c r="CTO68" s="15"/>
      <c r="CTP68" s="15"/>
      <c r="CTQ68" s="15"/>
      <c r="CTR68" s="15"/>
      <c r="CTS68" s="15"/>
      <c r="CTT68" s="15"/>
      <c r="CTU68" s="15"/>
      <c r="CTV68" s="15"/>
      <c r="CTW68" s="15"/>
      <c r="CTX68" s="15"/>
      <c r="CTY68" s="15"/>
      <c r="CTZ68" s="15"/>
      <c r="CUA68" s="15"/>
      <c r="CUB68" s="15"/>
      <c r="CUC68" s="15"/>
      <c r="CUD68" s="15"/>
      <c r="CUE68" s="15"/>
      <c r="CUF68" s="15"/>
      <c r="CUG68" s="15"/>
      <c r="CUH68" s="15"/>
      <c r="CUI68" s="15"/>
      <c r="CUJ68" s="15"/>
      <c r="CUK68" s="15"/>
      <c r="CUL68" s="15"/>
      <c r="CUM68" s="15"/>
      <c r="CUN68" s="15"/>
      <c r="CUO68" s="15"/>
      <c r="CUP68" s="15"/>
      <c r="CUQ68" s="15"/>
      <c r="CUR68" s="15"/>
      <c r="CUS68" s="15"/>
      <c r="CUT68" s="15"/>
      <c r="CUU68" s="15"/>
      <c r="CUV68" s="15"/>
      <c r="CUW68" s="15"/>
      <c r="CUX68" s="15"/>
      <c r="CUY68" s="15"/>
      <c r="CUZ68" s="15"/>
      <c r="CVA68" s="15"/>
      <c r="CVB68" s="15"/>
      <c r="CVC68" s="15"/>
      <c r="CVD68" s="15"/>
      <c r="CVE68" s="15"/>
      <c r="CVF68" s="15"/>
      <c r="CVG68" s="15"/>
      <c r="CVH68" s="15"/>
      <c r="CVI68" s="15"/>
      <c r="CVJ68" s="15"/>
      <c r="CVK68" s="15"/>
      <c r="CVL68" s="15"/>
      <c r="CVM68" s="15"/>
      <c r="CVN68" s="15"/>
      <c r="CVO68" s="15"/>
      <c r="CVP68" s="15"/>
      <c r="CVQ68" s="15"/>
      <c r="CVR68" s="15"/>
      <c r="CVS68" s="15"/>
      <c r="CVT68" s="15"/>
      <c r="CVU68" s="15"/>
      <c r="CVV68" s="15"/>
      <c r="CVW68" s="15"/>
      <c r="CVX68" s="15"/>
      <c r="CVY68" s="15"/>
      <c r="CVZ68" s="15"/>
      <c r="CWA68" s="15"/>
      <c r="CWB68" s="15"/>
      <c r="CWC68" s="15"/>
      <c r="CWD68" s="15"/>
      <c r="CWE68" s="15"/>
      <c r="CWF68" s="15"/>
      <c r="CWG68" s="15"/>
      <c r="CWH68" s="15"/>
      <c r="CWI68" s="15"/>
      <c r="CWJ68" s="15"/>
      <c r="CWK68" s="15"/>
      <c r="CWL68" s="15"/>
      <c r="CWM68" s="15"/>
      <c r="CWN68" s="15"/>
      <c r="CWO68" s="15"/>
      <c r="CWP68" s="15"/>
      <c r="CWQ68" s="15"/>
      <c r="CWR68" s="15"/>
      <c r="CWS68" s="15"/>
      <c r="CWT68" s="15"/>
      <c r="CWU68" s="15"/>
      <c r="CWV68" s="15"/>
      <c r="CWW68" s="15"/>
      <c r="CWX68" s="15"/>
      <c r="CWY68" s="15"/>
      <c r="CWZ68" s="15"/>
      <c r="CXA68" s="15"/>
      <c r="CXB68" s="15"/>
      <c r="CXC68" s="15"/>
      <c r="CXD68" s="15"/>
      <c r="CXE68" s="15"/>
      <c r="CXF68" s="15"/>
      <c r="CXG68" s="15"/>
      <c r="CXH68" s="15"/>
      <c r="CXI68" s="15"/>
      <c r="CXJ68" s="15"/>
      <c r="CXK68" s="15"/>
      <c r="CXL68" s="15"/>
      <c r="CXM68" s="15"/>
      <c r="CXN68" s="15"/>
      <c r="CXO68" s="15"/>
      <c r="CXP68" s="15"/>
      <c r="CXQ68" s="15"/>
      <c r="CXR68" s="15"/>
      <c r="CXS68" s="15"/>
      <c r="CXT68" s="15"/>
      <c r="CXU68" s="15"/>
      <c r="CXV68" s="15"/>
      <c r="CXW68" s="15"/>
      <c r="CXX68" s="15"/>
      <c r="CXY68" s="15"/>
      <c r="CXZ68" s="15"/>
      <c r="CYA68" s="15"/>
      <c r="CYB68" s="15"/>
      <c r="CYC68" s="15"/>
      <c r="CYD68" s="15"/>
      <c r="CYE68" s="15"/>
      <c r="CYF68" s="15"/>
      <c r="CYG68" s="15"/>
      <c r="CYH68" s="15"/>
      <c r="CYI68" s="15"/>
      <c r="CYJ68" s="15"/>
      <c r="CYK68" s="15"/>
      <c r="CYL68" s="15"/>
      <c r="CYM68" s="15"/>
      <c r="CYN68" s="15"/>
      <c r="CYO68" s="15"/>
      <c r="CYP68" s="15"/>
      <c r="CYQ68" s="15"/>
      <c r="CYR68" s="15"/>
      <c r="CYS68" s="15"/>
      <c r="CYT68" s="15"/>
      <c r="CYU68" s="15"/>
      <c r="CYV68" s="15"/>
      <c r="CYW68" s="15"/>
      <c r="CYX68" s="15"/>
      <c r="CYY68" s="15"/>
      <c r="CYZ68" s="15"/>
      <c r="CZA68" s="15"/>
      <c r="CZB68" s="15"/>
      <c r="CZC68" s="15"/>
      <c r="CZD68" s="15"/>
      <c r="CZE68" s="15"/>
      <c r="CZF68" s="15"/>
      <c r="CZG68" s="15"/>
      <c r="CZH68" s="15"/>
      <c r="CZI68" s="15"/>
      <c r="CZJ68" s="15"/>
      <c r="CZK68" s="15"/>
      <c r="CZL68" s="15"/>
      <c r="CZM68" s="15"/>
      <c r="CZN68" s="15"/>
      <c r="CZO68" s="15"/>
      <c r="CZP68" s="15"/>
      <c r="CZQ68" s="15"/>
      <c r="CZR68" s="15"/>
      <c r="CZS68" s="15"/>
      <c r="CZT68" s="15"/>
      <c r="CZU68" s="15"/>
      <c r="CZV68" s="15"/>
      <c r="CZW68" s="15"/>
      <c r="CZX68" s="15"/>
      <c r="CZY68" s="15"/>
      <c r="CZZ68" s="15"/>
      <c r="DAA68" s="15"/>
      <c r="DAB68" s="15"/>
      <c r="DAC68" s="15"/>
      <c r="DAD68" s="15"/>
      <c r="DAE68" s="15"/>
      <c r="DAF68" s="15"/>
      <c r="DAG68" s="15"/>
      <c r="DAH68" s="15"/>
      <c r="DAI68" s="15"/>
      <c r="DAJ68" s="15"/>
      <c r="DAK68" s="15"/>
      <c r="DAL68" s="15"/>
      <c r="DAM68" s="15"/>
      <c r="DAN68" s="15"/>
      <c r="DAO68" s="15"/>
      <c r="DAP68" s="15"/>
      <c r="DAQ68" s="15"/>
      <c r="DAR68" s="15"/>
      <c r="DAS68" s="15"/>
      <c r="DAT68" s="15"/>
      <c r="DAU68" s="15"/>
      <c r="DAV68" s="15"/>
      <c r="DAW68" s="15"/>
      <c r="DAX68" s="15"/>
      <c r="DAY68" s="15"/>
      <c r="DAZ68" s="15"/>
      <c r="DBA68" s="15"/>
      <c r="DBB68" s="15"/>
      <c r="DBC68" s="15"/>
      <c r="DBD68" s="15"/>
      <c r="DBE68" s="15"/>
      <c r="DBF68" s="15"/>
      <c r="DBG68" s="15"/>
      <c r="DBH68" s="15"/>
      <c r="DBI68" s="15"/>
      <c r="DBJ68" s="15"/>
      <c r="DBK68" s="15"/>
      <c r="DBL68" s="15"/>
      <c r="DBM68" s="15"/>
      <c r="DBN68" s="15"/>
      <c r="DBO68" s="15"/>
      <c r="DBP68" s="15"/>
      <c r="DBQ68" s="15"/>
      <c r="DBR68" s="15"/>
      <c r="DBS68" s="15"/>
      <c r="DBT68" s="15"/>
      <c r="DBU68" s="15"/>
      <c r="DBV68" s="15"/>
      <c r="DBW68" s="15"/>
      <c r="DBX68" s="15"/>
      <c r="DBY68" s="15"/>
      <c r="DBZ68" s="15"/>
      <c r="DCA68" s="15"/>
      <c r="DCB68" s="15"/>
      <c r="DCC68" s="15"/>
      <c r="DCD68" s="15"/>
      <c r="DCE68" s="15"/>
      <c r="DCF68" s="15"/>
      <c r="DCG68" s="15"/>
      <c r="DCH68" s="15"/>
      <c r="DCI68" s="15"/>
      <c r="DCJ68" s="15"/>
      <c r="DCK68" s="15"/>
      <c r="DCL68" s="15"/>
      <c r="DCM68" s="15"/>
      <c r="DCN68" s="15"/>
      <c r="DCO68" s="15"/>
      <c r="DCP68" s="15"/>
      <c r="DCQ68" s="15"/>
      <c r="DCR68" s="15"/>
      <c r="DCS68" s="15"/>
      <c r="DCT68" s="15"/>
      <c r="DCU68" s="15"/>
      <c r="DCV68" s="15"/>
      <c r="DCW68" s="15"/>
      <c r="DCX68" s="15"/>
      <c r="DCY68" s="15"/>
      <c r="DCZ68" s="15"/>
      <c r="DDA68" s="15"/>
      <c r="DDB68" s="15"/>
      <c r="DDC68" s="15"/>
      <c r="DDD68" s="15"/>
      <c r="DDE68" s="15"/>
      <c r="DDF68" s="15"/>
      <c r="DDG68" s="15"/>
      <c r="DDH68" s="15"/>
      <c r="DDI68" s="15"/>
      <c r="DDJ68" s="15"/>
      <c r="DDK68" s="15"/>
      <c r="DDL68" s="15"/>
      <c r="DDM68" s="15"/>
      <c r="DDN68" s="15"/>
      <c r="DDO68" s="15"/>
      <c r="DDP68" s="15"/>
      <c r="DDQ68" s="15"/>
      <c r="DDR68" s="15"/>
      <c r="DDS68" s="15"/>
      <c r="DDT68" s="15"/>
      <c r="DDU68" s="15"/>
      <c r="DDV68" s="15"/>
      <c r="DDW68" s="15"/>
      <c r="DDX68" s="15"/>
      <c r="DDY68" s="15"/>
      <c r="DDZ68" s="15"/>
      <c r="DEA68" s="15"/>
      <c r="DEB68" s="15"/>
      <c r="DEC68" s="15"/>
      <c r="DED68" s="15"/>
      <c r="DEE68" s="15"/>
      <c r="DEF68" s="15"/>
      <c r="DEG68" s="15"/>
      <c r="DEH68" s="15"/>
      <c r="DEI68" s="15"/>
      <c r="DEJ68" s="15"/>
      <c r="DEK68" s="15"/>
      <c r="DEL68" s="15"/>
      <c r="DEM68" s="15"/>
      <c r="DEN68" s="15"/>
      <c r="DEO68" s="15"/>
      <c r="DEP68" s="15"/>
      <c r="DEQ68" s="15"/>
      <c r="DER68" s="15"/>
      <c r="DES68" s="15"/>
      <c r="DET68" s="15"/>
      <c r="DEU68" s="15"/>
      <c r="DEV68" s="15"/>
      <c r="DEW68" s="15"/>
      <c r="DEX68" s="15"/>
      <c r="DEY68" s="15"/>
      <c r="DEZ68" s="15"/>
      <c r="DFA68" s="15"/>
      <c r="DFB68" s="15"/>
      <c r="DFC68" s="15"/>
      <c r="DFD68" s="15"/>
      <c r="DFE68" s="15"/>
      <c r="DFF68" s="15"/>
      <c r="DFG68" s="15"/>
      <c r="DFH68" s="15"/>
      <c r="DFI68" s="15"/>
      <c r="DFJ68" s="15"/>
      <c r="DFK68" s="15"/>
      <c r="DFL68" s="15"/>
      <c r="DFM68" s="15"/>
      <c r="DFN68" s="15"/>
      <c r="DFO68" s="15"/>
      <c r="DFP68" s="15"/>
      <c r="DFQ68" s="15"/>
      <c r="DFR68" s="15"/>
      <c r="DFS68" s="15"/>
      <c r="DFT68" s="15"/>
      <c r="DFU68" s="15"/>
      <c r="DFV68" s="15"/>
      <c r="DFW68" s="15"/>
      <c r="DFX68" s="15"/>
      <c r="DFY68" s="15"/>
      <c r="DFZ68" s="15"/>
      <c r="DGA68" s="15"/>
      <c r="DGB68" s="15"/>
      <c r="DGC68" s="15"/>
      <c r="DGD68" s="15"/>
      <c r="DGE68" s="15"/>
      <c r="DGF68" s="15"/>
      <c r="DGG68" s="15"/>
      <c r="DGH68" s="15"/>
      <c r="DGI68" s="15"/>
      <c r="DGJ68" s="15"/>
      <c r="DGK68" s="15"/>
      <c r="DGL68" s="15"/>
      <c r="DGM68" s="15"/>
      <c r="DGN68" s="15"/>
      <c r="DGO68" s="15"/>
      <c r="DGP68" s="15"/>
      <c r="DGQ68" s="15"/>
      <c r="DGR68" s="15"/>
      <c r="DGS68" s="15"/>
      <c r="DGT68" s="15"/>
      <c r="DGU68" s="15"/>
      <c r="DGV68" s="15"/>
      <c r="DGW68" s="15"/>
      <c r="DGX68" s="15"/>
      <c r="DGY68" s="15"/>
      <c r="DGZ68" s="15"/>
      <c r="DHA68" s="15"/>
      <c r="DHB68" s="15"/>
      <c r="DHC68" s="15"/>
      <c r="DHD68" s="15"/>
      <c r="DHE68" s="15"/>
      <c r="DHF68" s="15"/>
      <c r="DHG68" s="15"/>
      <c r="DHH68" s="15"/>
      <c r="DHI68" s="15"/>
      <c r="DHJ68" s="15"/>
      <c r="DHK68" s="15"/>
      <c r="DHL68" s="15"/>
      <c r="DHM68" s="15"/>
      <c r="DHN68" s="15"/>
      <c r="DHO68" s="15"/>
      <c r="DHP68" s="15"/>
      <c r="DHQ68" s="15"/>
      <c r="DHR68" s="15"/>
      <c r="DHS68" s="15"/>
      <c r="DHT68" s="15"/>
      <c r="DHU68" s="15"/>
      <c r="DHV68" s="15"/>
      <c r="DHW68" s="15"/>
      <c r="DHX68" s="15"/>
      <c r="DHY68" s="15"/>
      <c r="DHZ68" s="15"/>
      <c r="DIA68" s="15"/>
      <c r="DIB68" s="15"/>
      <c r="DIC68" s="15"/>
      <c r="DID68" s="15"/>
      <c r="DIE68" s="15"/>
      <c r="DIF68" s="15"/>
      <c r="DIG68" s="15"/>
      <c r="DIH68" s="15"/>
      <c r="DII68" s="15"/>
      <c r="DIJ68" s="15"/>
      <c r="DIK68" s="15"/>
      <c r="DIL68" s="15"/>
      <c r="DIM68" s="15"/>
      <c r="DIN68" s="15"/>
      <c r="DIO68" s="15"/>
      <c r="DIP68" s="15"/>
      <c r="DIQ68" s="15"/>
      <c r="DIR68" s="15"/>
      <c r="DIS68" s="15"/>
      <c r="DIT68" s="15"/>
      <c r="DIU68" s="15"/>
      <c r="DIV68" s="15"/>
      <c r="DIW68" s="15"/>
      <c r="DIX68" s="15"/>
      <c r="DIY68" s="15"/>
      <c r="DIZ68" s="15"/>
      <c r="DJA68" s="15"/>
      <c r="DJB68" s="15"/>
      <c r="DJC68" s="15"/>
      <c r="DJD68" s="15"/>
      <c r="DJE68" s="15"/>
      <c r="DJF68" s="15"/>
      <c r="DJG68" s="15"/>
      <c r="DJH68" s="15"/>
      <c r="DJI68" s="15"/>
      <c r="DJJ68" s="15"/>
      <c r="DJK68" s="15"/>
      <c r="DJL68" s="15"/>
      <c r="DJM68" s="15"/>
      <c r="DJN68" s="15"/>
      <c r="DJO68" s="15"/>
      <c r="DJP68" s="15"/>
      <c r="DJQ68" s="15"/>
      <c r="DJR68" s="15"/>
      <c r="DJS68" s="15"/>
      <c r="DJT68" s="15"/>
      <c r="DJU68" s="15"/>
      <c r="DJV68" s="15"/>
      <c r="DJW68" s="15"/>
      <c r="DJX68" s="15"/>
      <c r="DJY68" s="15"/>
      <c r="DJZ68" s="15"/>
      <c r="DKA68" s="15"/>
      <c r="DKB68" s="15"/>
      <c r="DKC68" s="15"/>
      <c r="DKD68" s="15"/>
      <c r="DKE68" s="15"/>
      <c r="DKF68" s="15"/>
      <c r="DKG68" s="15"/>
      <c r="DKH68" s="15"/>
      <c r="DKI68" s="15"/>
      <c r="DKJ68" s="15"/>
      <c r="DKK68" s="15"/>
      <c r="DKL68" s="15"/>
      <c r="DKM68" s="15"/>
      <c r="DKN68" s="15"/>
      <c r="DKO68" s="15"/>
      <c r="DKP68" s="15"/>
      <c r="DKQ68" s="15"/>
      <c r="DKR68" s="15"/>
      <c r="DKS68" s="15"/>
      <c r="DKT68" s="15"/>
      <c r="DKU68" s="15"/>
      <c r="DKV68" s="15"/>
      <c r="DKW68" s="15"/>
      <c r="DKX68" s="15"/>
      <c r="DKY68" s="15"/>
      <c r="DKZ68" s="15"/>
      <c r="DLA68" s="15"/>
      <c r="DLB68" s="15"/>
      <c r="DLC68" s="15"/>
      <c r="DLD68" s="15"/>
      <c r="DLE68" s="15"/>
      <c r="DLF68" s="15"/>
      <c r="DLG68" s="15"/>
      <c r="DLH68" s="15"/>
      <c r="DLI68" s="15"/>
      <c r="DLJ68" s="15"/>
      <c r="DLK68" s="15"/>
      <c r="DLL68" s="15"/>
      <c r="DLM68" s="15"/>
      <c r="DLN68" s="15"/>
      <c r="DLO68" s="15"/>
      <c r="DLP68" s="15"/>
      <c r="DLQ68" s="15"/>
      <c r="DLR68" s="15"/>
      <c r="DLS68" s="15"/>
      <c r="DLT68" s="15"/>
      <c r="DLU68" s="15"/>
      <c r="DLV68" s="15"/>
      <c r="DLW68" s="15"/>
      <c r="DLX68" s="15"/>
      <c r="DLY68" s="15"/>
      <c r="DLZ68" s="15"/>
      <c r="DMA68" s="15"/>
      <c r="DMB68" s="15"/>
      <c r="DMC68" s="15"/>
      <c r="DMD68" s="15"/>
      <c r="DME68" s="15"/>
      <c r="DMF68" s="15"/>
      <c r="DMG68" s="15"/>
      <c r="DMH68" s="15"/>
      <c r="DMI68" s="15"/>
      <c r="DMJ68" s="15"/>
      <c r="DMK68" s="15"/>
      <c r="DML68" s="15"/>
      <c r="DMM68" s="15"/>
      <c r="DMN68" s="15"/>
      <c r="DMO68" s="15"/>
      <c r="DMP68" s="15"/>
      <c r="DMQ68" s="15"/>
      <c r="DMR68" s="15"/>
      <c r="DMS68" s="15"/>
      <c r="DMT68" s="15"/>
      <c r="DMU68" s="15"/>
      <c r="DMV68" s="15"/>
      <c r="DMW68" s="15"/>
      <c r="DMX68" s="15"/>
      <c r="DMY68" s="15"/>
      <c r="DMZ68" s="15"/>
      <c r="DNA68" s="15"/>
      <c r="DNB68" s="15"/>
      <c r="DNC68" s="15"/>
      <c r="DND68" s="15"/>
      <c r="DNE68" s="15"/>
      <c r="DNF68" s="15"/>
      <c r="DNG68" s="15"/>
      <c r="DNH68" s="15"/>
      <c r="DNI68" s="15"/>
      <c r="DNJ68" s="15"/>
      <c r="DNK68" s="15"/>
      <c r="DNL68" s="15"/>
      <c r="DNM68" s="15"/>
      <c r="DNN68" s="15"/>
      <c r="DNO68" s="15"/>
      <c r="DNP68" s="15"/>
      <c r="DNQ68" s="15"/>
      <c r="DNR68" s="15"/>
      <c r="DNS68" s="15"/>
      <c r="DNT68" s="15"/>
      <c r="DNU68" s="15"/>
      <c r="DNV68" s="15"/>
      <c r="DNW68" s="15"/>
      <c r="DNX68" s="15"/>
      <c r="DNY68" s="15"/>
      <c r="DNZ68" s="15"/>
      <c r="DOA68" s="15"/>
      <c r="DOB68" s="15"/>
      <c r="DOC68" s="15"/>
      <c r="DOD68" s="15"/>
      <c r="DOE68" s="15"/>
      <c r="DOF68" s="15"/>
      <c r="DOG68" s="15"/>
      <c r="DOH68" s="15"/>
      <c r="DOI68" s="15"/>
      <c r="DOJ68" s="15"/>
      <c r="DOK68" s="15"/>
      <c r="DOL68" s="15"/>
      <c r="DOM68" s="15"/>
      <c r="DON68" s="15"/>
      <c r="DOO68" s="15"/>
      <c r="DOP68" s="15"/>
      <c r="DOQ68" s="15"/>
      <c r="DOR68" s="15"/>
      <c r="DOS68" s="15"/>
      <c r="DOT68" s="15"/>
      <c r="DOU68" s="15"/>
      <c r="DOV68" s="15"/>
      <c r="DOW68" s="15"/>
      <c r="DOX68" s="15"/>
      <c r="DOY68" s="15"/>
      <c r="DOZ68" s="15"/>
      <c r="DPA68" s="15"/>
      <c r="DPB68" s="15"/>
      <c r="DPC68" s="15"/>
      <c r="DPD68" s="15"/>
      <c r="DPE68" s="15"/>
      <c r="DPF68" s="15"/>
      <c r="DPG68" s="15"/>
      <c r="DPH68" s="15"/>
      <c r="DPI68" s="15"/>
      <c r="DPJ68" s="15"/>
      <c r="DPK68" s="15"/>
      <c r="DPL68" s="15"/>
      <c r="DPM68" s="15"/>
      <c r="DPN68" s="15"/>
      <c r="DPO68" s="15"/>
      <c r="DPP68" s="15"/>
      <c r="DPQ68" s="15"/>
      <c r="DPR68" s="15"/>
      <c r="DPS68" s="15"/>
      <c r="DPT68" s="15"/>
      <c r="DPU68" s="15"/>
      <c r="DPV68" s="15"/>
      <c r="DPW68" s="15"/>
      <c r="DPX68" s="15"/>
      <c r="DPY68" s="15"/>
      <c r="DPZ68" s="15"/>
      <c r="DQA68" s="15"/>
      <c r="DQB68" s="15"/>
      <c r="DQC68" s="15"/>
      <c r="DQD68" s="15"/>
      <c r="DQE68" s="15"/>
      <c r="DQF68" s="15"/>
      <c r="DQG68" s="15"/>
      <c r="DQH68" s="15"/>
      <c r="DQI68" s="15"/>
      <c r="DQJ68" s="15"/>
      <c r="DQK68" s="15"/>
      <c r="DQL68" s="15"/>
      <c r="DQM68" s="15"/>
      <c r="DQN68" s="15"/>
      <c r="DQO68" s="15"/>
      <c r="DQP68" s="15"/>
      <c r="DQQ68" s="15"/>
      <c r="DQR68" s="15"/>
      <c r="DQS68" s="15"/>
      <c r="DQT68" s="15"/>
      <c r="DQU68" s="15"/>
      <c r="DQV68" s="15"/>
      <c r="DQW68" s="15"/>
      <c r="DQX68" s="15"/>
      <c r="DQY68" s="15"/>
      <c r="DQZ68" s="15"/>
      <c r="DRA68" s="15"/>
      <c r="DRB68" s="15"/>
      <c r="DRC68" s="15"/>
      <c r="DRD68" s="15"/>
      <c r="DRE68" s="15"/>
      <c r="DRF68" s="15"/>
      <c r="DRG68" s="15"/>
      <c r="DRH68" s="15"/>
      <c r="DRI68" s="15"/>
      <c r="DRJ68" s="15"/>
      <c r="DRK68" s="15"/>
      <c r="DRL68" s="15"/>
      <c r="DRM68" s="15"/>
      <c r="DRN68" s="15"/>
      <c r="DRO68" s="15"/>
      <c r="DRP68" s="15"/>
      <c r="DRQ68" s="15"/>
      <c r="DRR68" s="15"/>
      <c r="DRS68" s="15"/>
      <c r="DRT68" s="15"/>
      <c r="DRU68" s="15"/>
      <c r="DRV68" s="15"/>
      <c r="DRW68" s="15"/>
      <c r="DRX68" s="15"/>
      <c r="DRY68" s="15"/>
      <c r="DRZ68" s="15"/>
      <c r="DSA68" s="15"/>
      <c r="DSB68" s="15"/>
      <c r="DSC68" s="15"/>
      <c r="DSD68" s="15"/>
      <c r="DSE68" s="15"/>
      <c r="DSF68" s="15"/>
      <c r="DSG68" s="15"/>
      <c r="DSH68" s="15"/>
      <c r="DSI68" s="15"/>
      <c r="DSJ68" s="15"/>
      <c r="DSK68" s="15"/>
      <c r="DSL68" s="15"/>
      <c r="DSM68" s="15"/>
      <c r="DSN68" s="15"/>
      <c r="DSO68" s="15"/>
      <c r="DSP68" s="15"/>
      <c r="DSQ68" s="15"/>
      <c r="DSR68" s="15"/>
      <c r="DSS68" s="15"/>
      <c r="DST68" s="15"/>
      <c r="DSU68" s="15"/>
      <c r="DSV68" s="15"/>
      <c r="DSW68" s="15"/>
      <c r="DSX68" s="15"/>
      <c r="DSY68" s="15"/>
      <c r="DSZ68" s="15"/>
      <c r="DTA68" s="15"/>
      <c r="DTB68" s="15"/>
      <c r="DTC68" s="15"/>
      <c r="DTD68" s="15"/>
      <c r="DTE68" s="15"/>
      <c r="DTF68" s="15"/>
      <c r="DTG68" s="15"/>
      <c r="DTH68" s="15"/>
      <c r="DTI68" s="15"/>
      <c r="DTJ68" s="15"/>
      <c r="DTK68" s="15"/>
      <c r="DTL68" s="15"/>
      <c r="DTM68" s="15"/>
      <c r="DTN68" s="15"/>
      <c r="DTO68" s="15"/>
      <c r="DTP68" s="15"/>
      <c r="DTQ68" s="15"/>
      <c r="DTR68" s="15"/>
      <c r="DTS68" s="15"/>
      <c r="DTT68" s="15"/>
      <c r="DTU68" s="15"/>
      <c r="DTV68" s="15"/>
      <c r="DTW68" s="15"/>
      <c r="DTX68" s="15"/>
      <c r="DTY68" s="15"/>
      <c r="DTZ68" s="15"/>
      <c r="DUA68" s="15"/>
      <c r="DUB68" s="15"/>
      <c r="DUC68" s="15"/>
      <c r="DUD68" s="15"/>
      <c r="DUE68" s="15"/>
      <c r="DUF68" s="15"/>
      <c r="DUG68" s="15"/>
      <c r="DUH68" s="15"/>
      <c r="DUI68" s="15"/>
      <c r="DUJ68" s="15"/>
      <c r="DUK68" s="15"/>
      <c r="DUL68" s="15"/>
      <c r="DUM68" s="15"/>
      <c r="DUN68" s="15"/>
      <c r="DUO68" s="15"/>
      <c r="DUP68" s="15"/>
      <c r="DUQ68" s="15"/>
      <c r="DUR68" s="15"/>
      <c r="DUS68" s="15"/>
      <c r="DUT68" s="15"/>
      <c r="DUU68" s="15"/>
      <c r="DUV68" s="15"/>
      <c r="DUW68" s="15"/>
      <c r="DUX68" s="15"/>
      <c r="DUY68" s="15"/>
      <c r="DUZ68" s="15"/>
      <c r="DVA68" s="15"/>
      <c r="DVB68" s="15"/>
      <c r="DVC68" s="15"/>
      <c r="DVD68" s="15"/>
      <c r="DVE68" s="15"/>
      <c r="DVF68" s="15"/>
      <c r="DVG68" s="15"/>
      <c r="DVH68" s="15"/>
      <c r="DVI68" s="15"/>
      <c r="DVJ68" s="15"/>
      <c r="DVK68" s="15"/>
      <c r="DVL68" s="15"/>
      <c r="DVM68" s="15"/>
      <c r="DVN68" s="15"/>
      <c r="DVO68" s="15"/>
      <c r="DVP68" s="15"/>
      <c r="DVQ68" s="15"/>
      <c r="DVR68" s="15"/>
      <c r="DVS68" s="15"/>
      <c r="DVT68" s="15"/>
      <c r="DVU68" s="15"/>
      <c r="DVV68" s="15"/>
      <c r="DVW68" s="15"/>
      <c r="DVX68" s="15"/>
      <c r="DVY68" s="15"/>
      <c r="DVZ68" s="15"/>
      <c r="DWA68" s="15"/>
      <c r="DWB68" s="15"/>
      <c r="DWC68" s="15"/>
      <c r="DWD68" s="15"/>
      <c r="DWE68" s="15"/>
      <c r="DWF68" s="15"/>
      <c r="DWG68" s="15"/>
      <c r="DWH68" s="15"/>
      <c r="DWI68" s="15"/>
      <c r="DWJ68" s="15"/>
      <c r="DWK68" s="15"/>
      <c r="DWL68" s="15"/>
      <c r="DWM68" s="15"/>
      <c r="DWN68" s="15"/>
      <c r="DWO68" s="15"/>
      <c r="DWP68" s="15"/>
      <c r="DWQ68" s="15"/>
      <c r="DWR68" s="15"/>
      <c r="DWS68" s="15"/>
      <c r="DWT68" s="15"/>
      <c r="DWU68" s="15"/>
      <c r="DWV68" s="15"/>
      <c r="DWW68" s="15"/>
      <c r="DWX68" s="15"/>
      <c r="DWY68" s="15"/>
      <c r="DWZ68" s="15"/>
      <c r="DXA68" s="15"/>
      <c r="DXB68" s="15"/>
      <c r="DXC68" s="15"/>
      <c r="DXD68" s="15"/>
      <c r="DXE68" s="15"/>
      <c r="DXF68" s="15"/>
      <c r="DXG68" s="15"/>
      <c r="DXH68" s="15"/>
      <c r="DXI68" s="15"/>
      <c r="DXJ68" s="15"/>
      <c r="DXK68" s="15"/>
      <c r="DXL68" s="15"/>
      <c r="DXM68" s="15"/>
      <c r="DXN68" s="15"/>
      <c r="DXO68" s="15"/>
      <c r="DXP68" s="15"/>
      <c r="DXQ68" s="15"/>
      <c r="DXR68" s="15"/>
      <c r="DXS68" s="15"/>
      <c r="DXT68" s="15"/>
      <c r="DXU68" s="15"/>
      <c r="DXV68" s="15"/>
      <c r="DXW68" s="15"/>
      <c r="DXX68" s="15"/>
      <c r="DXY68" s="15"/>
      <c r="DXZ68" s="15"/>
      <c r="DYA68" s="15"/>
      <c r="DYB68" s="15"/>
      <c r="DYC68" s="15"/>
      <c r="DYD68" s="15"/>
      <c r="DYE68" s="15"/>
      <c r="DYF68" s="15"/>
      <c r="DYG68" s="15"/>
      <c r="DYH68" s="15"/>
      <c r="DYI68" s="15"/>
      <c r="DYJ68" s="15"/>
      <c r="DYK68" s="15"/>
      <c r="DYL68" s="15"/>
      <c r="DYM68" s="15"/>
      <c r="DYN68" s="15"/>
      <c r="DYO68" s="15"/>
      <c r="DYP68" s="15"/>
      <c r="DYQ68" s="15"/>
      <c r="DYR68" s="15"/>
      <c r="DYS68" s="15"/>
      <c r="DYT68" s="15"/>
      <c r="DYU68" s="15"/>
      <c r="DYV68" s="15"/>
      <c r="DYW68" s="15"/>
      <c r="DYX68" s="15"/>
      <c r="DYY68" s="15"/>
      <c r="DYZ68" s="15"/>
      <c r="DZA68" s="15"/>
      <c r="DZB68" s="15"/>
      <c r="DZC68" s="15"/>
      <c r="DZD68" s="15"/>
      <c r="DZE68" s="15"/>
      <c r="DZF68" s="15"/>
      <c r="DZG68" s="15"/>
      <c r="DZH68" s="15"/>
      <c r="DZI68" s="15"/>
      <c r="DZJ68" s="15"/>
      <c r="DZK68" s="15"/>
      <c r="DZL68" s="15"/>
      <c r="DZM68" s="15"/>
      <c r="DZN68" s="15"/>
      <c r="DZO68" s="15"/>
      <c r="DZP68" s="15"/>
      <c r="DZQ68" s="15"/>
      <c r="DZR68" s="15"/>
      <c r="DZS68" s="15"/>
      <c r="DZT68" s="15"/>
      <c r="DZU68" s="15"/>
      <c r="DZV68" s="15"/>
      <c r="DZW68" s="15"/>
      <c r="DZX68" s="15"/>
      <c r="DZY68" s="15"/>
      <c r="DZZ68" s="15"/>
      <c r="EAA68" s="15"/>
      <c r="EAB68" s="15"/>
      <c r="EAC68" s="15"/>
      <c r="EAD68" s="15"/>
      <c r="EAE68" s="15"/>
      <c r="EAF68" s="15"/>
      <c r="EAG68" s="15"/>
      <c r="EAH68" s="15"/>
      <c r="EAI68" s="15"/>
      <c r="EAJ68" s="15"/>
      <c r="EAK68" s="15"/>
      <c r="EAL68" s="15"/>
      <c r="EAM68" s="15"/>
      <c r="EAN68" s="15"/>
      <c r="EAO68" s="15"/>
      <c r="EAP68" s="15"/>
      <c r="EAQ68" s="15"/>
      <c r="EAR68" s="15"/>
      <c r="EAS68" s="15"/>
      <c r="EAT68" s="15"/>
      <c r="EAU68" s="15"/>
      <c r="EAV68" s="15"/>
      <c r="EAW68" s="15"/>
      <c r="EAX68" s="15"/>
      <c r="EAY68" s="15"/>
      <c r="EAZ68" s="15"/>
      <c r="EBA68" s="15"/>
      <c r="EBB68" s="15"/>
      <c r="EBC68" s="15"/>
      <c r="EBD68" s="15"/>
      <c r="EBE68" s="15"/>
      <c r="EBF68" s="15"/>
      <c r="EBG68" s="15"/>
      <c r="EBH68" s="15"/>
      <c r="EBI68" s="15"/>
      <c r="EBJ68" s="15"/>
      <c r="EBK68" s="15"/>
      <c r="EBL68" s="15"/>
      <c r="EBM68" s="15"/>
      <c r="EBN68" s="15"/>
      <c r="EBO68" s="15"/>
      <c r="EBP68" s="15"/>
      <c r="EBQ68" s="15"/>
      <c r="EBR68" s="15"/>
      <c r="EBS68" s="15"/>
      <c r="EBT68" s="15"/>
      <c r="EBU68" s="15"/>
      <c r="EBV68" s="15"/>
      <c r="EBW68" s="15"/>
      <c r="EBX68" s="15"/>
      <c r="EBY68" s="15"/>
      <c r="EBZ68" s="15"/>
      <c r="ECA68" s="15"/>
      <c r="ECB68" s="15"/>
      <c r="ECC68" s="15"/>
      <c r="ECD68" s="15"/>
      <c r="ECE68" s="15"/>
      <c r="ECF68" s="15"/>
      <c r="ECG68" s="15"/>
      <c r="ECH68" s="15"/>
      <c r="ECI68" s="15"/>
      <c r="ECJ68" s="15"/>
      <c r="ECK68" s="15"/>
      <c r="ECL68" s="15"/>
      <c r="ECM68" s="15"/>
      <c r="ECN68" s="15"/>
      <c r="ECO68" s="15"/>
      <c r="ECP68" s="15"/>
      <c r="ECQ68" s="15"/>
      <c r="ECR68" s="15"/>
      <c r="ECS68" s="15"/>
      <c r="ECT68" s="15"/>
      <c r="ECU68" s="15"/>
      <c r="ECV68" s="15"/>
      <c r="ECW68" s="15"/>
      <c r="ECX68" s="15"/>
      <c r="ECY68" s="15"/>
      <c r="ECZ68" s="15"/>
      <c r="EDA68" s="15"/>
      <c r="EDB68" s="15"/>
      <c r="EDC68" s="15"/>
      <c r="EDD68" s="15"/>
      <c r="EDE68" s="15"/>
      <c r="EDF68" s="15"/>
      <c r="EDG68" s="15"/>
      <c r="EDH68" s="15"/>
      <c r="EDI68" s="15"/>
      <c r="EDJ68" s="15"/>
      <c r="EDK68" s="15"/>
      <c r="EDL68" s="15"/>
      <c r="EDM68" s="15"/>
      <c r="EDN68" s="15"/>
      <c r="EDO68" s="15"/>
      <c r="EDP68" s="15"/>
      <c r="EDQ68" s="15"/>
      <c r="EDR68" s="15"/>
      <c r="EDS68" s="15"/>
      <c r="EDT68" s="15"/>
      <c r="EDU68" s="15"/>
      <c r="EDV68" s="15"/>
      <c r="EDW68" s="15"/>
      <c r="EDX68" s="15"/>
      <c r="EDY68" s="15"/>
      <c r="EDZ68" s="15"/>
      <c r="EEA68" s="15"/>
      <c r="EEB68" s="15"/>
      <c r="EEC68" s="15"/>
      <c r="EED68" s="15"/>
      <c r="EEE68" s="15"/>
      <c r="EEF68" s="15"/>
      <c r="EEG68" s="15"/>
      <c r="EEH68" s="15"/>
      <c r="EEI68" s="15"/>
      <c r="EEJ68" s="15"/>
      <c r="EEK68" s="15"/>
      <c r="EEL68" s="15"/>
      <c r="EEM68" s="15"/>
      <c r="EEN68" s="15"/>
      <c r="EEO68" s="15"/>
      <c r="EEP68" s="15"/>
      <c r="EEQ68" s="15"/>
      <c r="EER68" s="15"/>
      <c r="EES68" s="15"/>
      <c r="EET68" s="15"/>
      <c r="EEU68" s="15"/>
      <c r="EEV68" s="15"/>
      <c r="EEW68" s="15"/>
      <c r="EEX68" s="15"/>
      <c r="EEY68" s="15"/>
      <c r="EEZ68" s="15"/>
      <c r="EFA68" s="15"/>
      <c r="EFB68" s="15"/>
      <c r="EFC68" s="15"/>
      <c r="EFD68" s="15"/>
      <c r="EFE68" s="15"/>
      <c r="EFF68" s="15"/>
      <c r="EFG68" s="15"/>
      <c r="EFH68" s="15"/>
      <c r="EFI68" s="15"/>
      <c r="EFJ68" s="15"/>
      <c r="EFK68" s="15"/>
      <c r="EFL68" s="15"/>
      <c r="EFM68" s="15"/>
      <c r="EFN68" s="15"/>
      <c r="EFO68" s="15"/>
      <c r="EFP68" s="15"/>
      <c r="EFQ68" s="15"/>
      <c r="EFR68" s="15"/>
      <c r="EFS68" s="15"/>
      <c r="EFT68" s="15"/>
      <c r="EFU68" s="15"/>
      <c r="EFV68" s="15"/>
      <c r="EFW68" s="15"/>
      <c r="EFX68" s="15"/>
      <c r="EFY68" s="15"/>
      <c r="EFZ68" s="15"/>
      <c r="EGA68" s="15"/>
      <c r="EGB68" s="15"/>
      <c r="EGC68" s="15"/>
      <c r="EGD68" s="15"/>
      <c r="EGE68" s="15"/>
      <c r="EGF68" s="15"/>
      <c r="EGG68" s="15"/>
      <c r="EGH68" s="15"/>
      <c r="EGI68" s="15"/>
      <c r="EGJ68" s="15"/>
      <c r="EGK68" s="15"/>
      <c r="EGL68" s="15"/>
      <c r="EGM68" s="15"/>
      <c r="EGN68" s="15"/>
      <c r="EGO68" s="15"/>
      <c r="EGP68" s="15"/>
      <c r="EGQ68" s="15"/>
      <c r="EGR68" s="15"/>
      <c r="EGS68" s="15"/>
      <c r="EGT68" s="15"/>
      <c r="EGU68" s="15"/>
      <c r="EGV68" s="15"/>
      <c r="EGW68" s="15"/>
      <c r="EGX68" s="15"/>
      <c r="EGY68" s="15"/>
      <c r="EGZ68" s="15"/>
      <c r="EHA68" s="15"/>
      <c r="EHB68" s="15"/>
      <c r="EHC68" s="15"/>
      <c r="EHD68" s="15"/>
      <c r="EHE68" s="15"/>
      <c r="EHF68" s="15"/>
      <c r="EHG68" s="15"/>
      <c r="EHH68" s="15"/>
      <c r="EHI68" s="15"/>
      <c r="EHJ68" s="15"/>
      <c r="EHK68" s="15"/>
      <c r="EHL68" s="15"/>
      <c r="EHM68" s="15"/>
      <c r="EHN68" s="15"/>
      <c r="EHO68" s="15"/>
      <c r="EHP68" s="15"/>
      <c r="EHQ68" s="15"/>
      <c r="EHR68" s="15"/>
      <c r="EHS68" s="15"/>
      <c r="EHT68" s="15"/>
      <c r="EHU68" s="15"/>
      <c r="EHV68" s="15"/>
      <c r="EHW68" s="15"/>
      <c r="EHX68" s="15"/>
      <c r="EHY68" s="15"/>
      <c r="EHZ68" s="15"/>
      <c r="EIA68" s="15"/>
      <c r="EIB68" s="15"/>
      <c r="EIC68" s="15"/>
      <c r="EID68" s="15"/>
      <c r="EIE68" s="15"/>
      <c r="EIF68" s="15"/>
      <c r="EIG68" s="15"/>
      <c r="EIH68" s="15"/>
      <c r="EII68" s="15"/>
      <c r="EIJ68" s="15"/>
      <c r="EIK68" s="15"/>
      <c r="EIL68" s="15"/>
      <c r="EIM68" s="15"/>
      <c r="EIN68" s="15"/>
      <c r="EIO68" s="15"/>
      <c r="EIP68" s="15"/>
      <c r="EIQ68" s="15"/>
      <c r="EIR68" s="15"/>
      <c r="EIS68" s="15"/>
      <c r="EIT68" s="15"/>
      <c r="EIU68" s="15"/>
      <c r="EIV68" s="15"/>
      <c r="EIW68" s="15"/>
      <c r="EIX68" s="15"/>
      <c r="EIY68" s="15"/>
      <c r="EIZ68" s="15"/>
      <c r="EJA68" s="15"/>
      <c r="EJB68" s="15"/>
      <c r="EJC68" s="15"/>
      <c r="EJD68" s="15"/>
      <c r="EJE68" s="15"/>
      <c r="EJF68" s="15"/>
      <c r="EJG68" s="15"/>
      <c r="EJH68" s="15"/>
      <c r="EJI68" s="15"/>
      <c r="EJJ68" s="15"/>
      <c r="EJK68" s="15"/>
      <c r="EJL68" s="15"/>
      <c r="EJM68" s="15"/>
      <c r="EJN68" s="15"/>
      <c r="EJO68" s="15"/>
      <c r="EJP68" s="15"/>
      <c r="EJQ68" s="15"/>
      <c r="EJR68" s="15"/>
      <c r="EJS68" s="15"/>
      <c r="EJT68" s="15"/>
      <c r="EJU68" s="15"/>
      <c r="EJV68" s="15"/>
      <c r="EJW68" s="15"/>
      <c r="EJX68" s="15"/>
      <c r="EJY68" s="15"/>
      <c r="EJZ68" s="15"/>
      <c r="EKA68" s="15"/>
      <c r="EKB68" s="15"/>
      <c r="EKC68" s="15"/>
      <c r="EKD68" s="15"/>
      <c r="EKE68" s="15"/>
      <c r="EKF68" s="15"/>
      <c r="EKG68" s="15"/>
      <c r="EKH68" s="15"/>
      <c r="EKI68" s="15"/>
      <c r="EKJ68" s="15"/>
      <c r="EKK68" s="15"/>
      <c r="EKL68" s="15"/>
      <c r="EKM68" s="15"/>
      <c r="EKN68" s="15"/>
      <c r="EKO68" s="15"/>
      <c r="EKP68" s="15"/>
      <c r="EKQ68" s="15"/>
      <c r="EKR68" s="15"/>
      <c r="EKS68" s="15"/>
      <c r="EKT68" s="15"/>
      <c r="EKU68" s="15"/>
      <c r="EKV68" s="15"/>
      <c r="EKW68" s="15"/>
      <c r="EKX68" s="15"/>
      <c r="EKY68" s="15"/>
      <c r="EKZ68" s="15"/>
      <c r="ELA68" s="15"/>
      <c r="ELB68" s="15"/>
      <c r="ELC68" s="15"/>
      <c r="ELD68" s="15"/>
      <c r="ELE68" s="15"/>
      <c r="ELF68" s="15"/>
      <c r="ELG68" s="15"/>
      <c r="ELH68" s="15"/>
      <c r="ELI68" s="15"/>
      <c r="ELJ68" s="15"/>
      <c r="ELK68" s="15"/>
      <c r="ELL68" s="15"/>
      <c r="ELM68" s="15"/>
      <c r="ELN68" s="15"/>
      <c r="ELO68" s="15"/>
      <c r="ELP68" s="15"/>
      <c r="ELQ68" s="15"/>
      <c r="ELR68" s="15"/>
      <c r="ELS68" s="15"/>
      <c r="ELT68" s="15"/>
      <c r="ELU68" s="15"/>
      <c r="ELV68" s="15"/>
      <c r="ELW68" s="15"/>
      <c r="ELX68" s="15"/>
      <c r="ELY68" s="15"/>
      <c r="ELZ68" s="15"/>
      <c r="EMA68" s="15"/>
      <c r="EMB68" s="15"/>
      <c r="EMC68" s="15"/>
      <c r="EMD68" s="15"/>
      <c r="EME68" s="15"/>
      <c r="EMF68" s="15"/>
      <c r="EMG68" s="15"/>
      <c r="EMH68" s="15"/>
      <c r="EMI68" s="15"/>
      <c r="EMJ68" s="15"/>
      <c r="EMK68" s="15"/>
      <c r="EML68" s="15"/>
      <c r="EMM68" s="15"/>
      <c r="EMN68" s="15"/>
      <c r="EMO68" s="15"/>
      <c r="EMP68" s="15"/>
      <c r="EMQ68" s="15"/>
      <c r="EMR68" s="15"/>
      <c r="EMS68" s="15"/>
      <c r="EMT68" s="15"/>
      <c r="EMU68" s="15"/>
      <c r="EMV68" s="15"/>
      <c r="EMW68" s="15"/>
      <c r="EMX68" s="15"/>
      <c r="EMY68" s="15"/>
      <c r="EMZ68" s="15"/>
      <c r="ENA68" s="15"/>
      <c r="ENB68" s="15"/>
      <c r="ENC68" s="15"/>
      <c r="END68" s="15"/>
      <c r="ENE68" s="15"/>
      <c r="ENF68" s="15"/>
      <c r="ENG68" s="15"/>
      <c r="ENH68" s="15"/>
      <c r="ENI68" s="15"/>
      <c r="ENJ68" s="15"/>
      <c r="ENK68" s="15"/>
      <c r="ENL68" s="15"/>
      <c r="ENM68" s="15"/>
      <c r="ENN68" s="15"/>
      <c r="ENO68" s="15"/>
      <c r="ENP68" s="15"/>
      <c r="ENQ68" s="15"/>
      <c r="ENR68" s="15"/>
      <c r="ENS68" s="15"/>
      <c r="ENT68" s="15"/>
      <c r="ENU68" s="15"/>
      <c r="ENV68" s="15"/>
      <c r="ENW68" s="15"/>
      <c r="ENX68" s="15"/>
      <c r="ENY68" s="15"/>
      <c r="ENZ68" s="15"/>
      <c r="EOA68" s="15"/>
      <c r="EOB68" s="15"/>
      <c r="EOC68" s="15"/>
      <c r="EOD68" s="15"/>
      <c r="EOE68" s="15"/>
      <c r="EOF68" s="15"/>
      <c r="EOG68" s="15"/>
      <c r="EOH68" s="15"/>
      <c r="EOI68" s="15"/>
      <c r="EOJ68" s="15"/>
      <c r="EOK68" s="15"/>
      <c r="EOL68" s="15"/>
      <c r="EOM68" s="15"/>
      <c r="EON68" s="15"/>
      <c r="EOO68" s="15"/>
      <c r="EOP68" s="15"/>
      <c r="EOQ68" s="15"/>
      <c r="EOR68" s="15"/>
      <c r="EOS68" s="15"/>
      <c r="EOT68" s="15"/>
      <c r="EOU68" s="15"/>
      <c r="EOV68" s="15"/>
      <c r="EOW68" s="15"/>
      <c r="EOX68" s="15"/>
      <c r="EOY68" s="15"/>
      <c r="EOZ68" s="15"/>
      <c r="EPA68" s="15"/>
      <c r="EPB68" s="15"/>
      <c r="EPC68" s="15"/>
      <c r="EPD68" s="15"/>
      <c r="EPE68" s="15"/>
      <c r="EPF68" s="15"/>
      <c r="EPG68" s="15"/>
      <c r="EPH68" s="15"/>
      <c r="EPI68" s="15"/>
      <c r="EPJ68" s="15"/>
      <c r="EPK68" s="15"/>
      <c r="EPL68" s="15"/>
      <c r="EPM68" s="15"/>
      <c r="EPN68" s="15"/>
      <c r="EPO68" s="15"/>
      <c r="EPP68" s="15"/>
      <c r="EPQ68" s="15"/>
      <c r="EPR68" s="15"/>
      <c r="EPS68" s="15"/>
      <c r="EPT68" s="15"/>
      <c r="EPU68" s="15"/>
      <c r="EPV68" s="15"/>
      <c r="EPW68" s="15"/>
      <c r="EPX68" s="15"/>
      <c r="EPY68" s="15"/>
      <c r="EPZ68" s="15"/>
      <c r="EQA68" s="15"/>
      <c r="EQB68" s="15"/>
      <c r="EQC68" s="15"/>
      <c r="EQD68" s="15"/>
      <c r="EQE68" s="15"/>
      <c r="EQF68" s="15"/>
      <c r="EQG68" s="15"/>
      <c r="EQH68" s="15"/>
      <c r="EQI68" s="15"/>
      <c r="EQJ68" s="15"/>
      <c r="EQK68" s="15"/>
      <c r="EQL68" s="15"/>
      <c r="EQM68" s="15"/>
      <c r="EQN68" s="15"/>
      <c r="EQO68" s="15"/>
      <c r="EQP68" s="15"/>
      <c r="EQQ68" s="15"/>
      <c r="EQR68" s="15"/>
      <c r="EQS68" s="15"/>
      <c r="EQT68" s="15"/>
      <c r="EQU68" s="15"/>
      <c r="EQV68" s="15"/>
      <c r="EQW68" s="15"/>
      <c r="EQX68" s="15"/>
      <c r="EQY68" s="15"/>
      <c r="EQZ68" s="15"/>
      <c r="ERA68" s="15"/>
      <c r="ERB68" s="15"/>
      <c r="ERC68" s="15"/>
      <c r="ERD68" s="15"/>
      <c r="ERE68" s="15"/>
      <c r="ERF68" s="15"/>
      <c r="ERG68" s="15"/>
      <c r="ERH68" s="15"/>
      <c r="ERI68" s="15"/>
      <c r="ERJ68" s="15"/>
      <c r="ERK68" s="15"/>
      <c r="ERL68" s="15"/>
      <c r="ERM68" s="15"/>
      <c r="ERN68" s="15"/>
      <c r="ERO68" s="15"/>
      <c r="ERP68" s="15"/>
      <c r="ERQ68" s="15"/>
      <c r="ERR68" s="15"/>
      <c r="ERS68" s="15"/>
      <c r="ERT68" s="15"/>
      <c r="ERU68" s="15"/>
      <c r="ERV68" s="15"/>
      <c r="ERW68" s="15"/>
      <c r="ERX68" s="15"/>
      <c r="ERY68" s="15"/>
      <c r="ERZ68" s="15"/>
      <c r="ESA68" s="15"/>
      <c r="ESB68" s="15"/>
      <c r="ESC68" s="15"/>
      <c r="ESD68" s="15"/>
      <c r="ESE68" s="15"/>
      <c r="ESF68" s="15"/>
      <c r="ESG68" s="15"/>
      <c r="ESH68" s="15"/>
      <c r="ESI68" s="15"/>
      <c r="ESJ68" s="15"/>
      <c r="ESK68" s="15"/>
      <c r="ESL68" s="15"/>
      <c r="ESM68" s="15"/>
      <c r="ESN68" s="15"/>
      <c r="ESO68" s="15"/>
      <c r="ESP68" s="15"/>
      <c r="ESQ68" s="15"/>
      <c r="ESR68" s="15"/>
      <c r="ESS68" s="15"/>
      <c r="EST68" s="15"/>
      <c r="ESU68" s="15"/>
      <c r="ESV68" s="15"/>
      <c r="ESW68" s="15"/>
      <c r="ESX68" s="15"/>
      <c r="ESY68" s="15"/>
      <c r="ESZ68" s="15"/>
      <c r="ETA68" s="15"/>
      <c r="ETB68" s="15"/>
      <c r="ETC68" s="15"/>
      <c r="ETD68" s="15"/>
      <c r="ETE68" s="15"/>
      <c r="ETF68" s="15"/>
      <c r="ETG68" s="15"/>
      <c r="ETH68" s="15"/>
      <c r="ETI68" s="15"/>
      <c r="ETJ68" s="15"/>
      <c r="ETK68" s="15"/>
      <c r="ETL68" s="15"/>
      <c r="ETM68" s="15"/>
      <c r="ETN68" s="15"/>
      <c r="ETO68" s="15"/>
      <c r="ETP68" s="15"/>
      <c r="ETQ68" s="15"/>
      <c r="ETR68" s="15"/>
      <c r="ETS68" s="15"/>
      <c r="ETT68" s="15"/>
      <c r="ETU68" s="15"/>
      <c r="ETV68" s="15"/>
      <c r="ETW68" s="15"/>
      <c r="ETX68" s="15"/>
      <c r="ETY68" s="15"/>
      <c r="ETZ68" s="15"/>
      <c r="EUA68" s="15"/>
      <c r="EUB68" s="15"/>
      <c r="EUC68" s="15"/>
      <c r="EUD68" s="15"/>
      <c r="EUE68" s="15"/>
      <c r="EUF68" s="15"/>
      <c r="EUG68" s="15"/>
      <c r="EUH68" s="15"/>
      <c r="EUI68" s="15"/>
      <c r="EUJ68" s="15"/>
      <c r="EUK68" s="15"/>
      <c r="EUL68" s="15"/>
      <c r="EUM68" s="15"/>
      <c r="EUN68" s="15"/>
      <c r="EUO68" s="15"/>
      <c r="EUP68" s="15"/>
      <c r="EUQ68" s="15"/>
      <c r="EUR68" s="15"/>
      <c r="EUS68" s="15"/>
      <c r="EUT68" s="15"/>
      <c r="EUU68" s="15"/>
      <c r="EUV68" s="15"/>
      <c r="EUW68" s="15"/>
      <c r="EUX68" s="15"/>
      <c r="EUY68" s="15"/>
      <c r="EUZ68" s="15"/>
      <c r="EVA68" s="15"/>
      <c r="EVB68" s="15"/>
      <c r="EVC68" s="15"/>
      <c r="EVD68" s="15"/>
      <c r="EVE68" s="15"/>
      <c r="EVF68" s="15"/>
      <c r="EVG68" s="15"/>
      <c r="EVH68" s="15"/>
      <c r="EVI68" s="15"/>
      <c r="EVJ68" s="15"/>
      <c r="EVK68" s="15"/>
      <c r="EVL68" s="15"/>
      <c r="EVM68" s="15"/>
      <c r="EVN68" s="15"/>
      <c r="EVO68" s="15"/>
      <c r="EVP68" s="15"/>
      <c r="EVQ68" s="15"/>
      <c r="EVR68" s="15"/>
      <c r="EVS68" s="15"/>
      <c r="EVT68" s="15"/>
      <c r="EVU68" s="15"/>
      <c r="EVV68" s="15"/>
      <c r="EVW68" s="15"/>
      <c r="EVX68" s="15"/>
      <c r="EVY68" s="15"/>
      <c r="EVZ68" s="15"/>
      <c r="EWA68" s="15"/>
      <c r="EWB68" s="15"/>
      <c r="EWC68" s="15"/>
      <c r="EWD68" s="15"/>
      <c r="EWE68" s="15"/>
      <c r="EWF68" s="15"/>
      <c r="EWG68" s="15"/>
      <c r="EWH68" s="15"/>
      <c r="EWI68" s="15"/>
      <c r="EWJ68" s="15"/>
      <c r="EWK68" s="15"/>
      <c r="EWL68" s="15"/>
      <c r="EWM68" s="15"/>
      <c r="EWN68" s="15"/>
      <c r="EWO68" s="15"/>
      <c r="EWP68" s="15"/>
      <c r="EWQ68" s="15"/>
      <c r="EWR68" s="15"/>
      <c r="EWS68" s="15"/>
      <c r="EWT68" s="15"/>
      <c r="EWU68" s="15"/>
      <c r="EWV68" s="15"/>
      <c r="EWW68" s="15"/>
      <c r="EWX68" s="15"/>
      <c r="EWY68" s="15"/>
      <c r="EWZ68" s="15"/>
      <c r="EXA68" s="15"/>
      <c r="EXB68" s="15"/>
      <c r="EXC68" s="15"/>
      <c r="EXD68" s="15"/>
      <c r="EXE68" s="15"/>
      <c r="EXF68" s="15"/>
      <c r="EXG68" s="15"/>
      <c r="EXH68" s="15"/>
      <c r="EXI68" s="15"/>
      <c r="EXJ68" s="15"/>
      <c r="EXK68" s="15"/>
      <c r="EXL68" s="15"/>
      <c r="EXM68" s="15"/>
      <c r="EXN68" s="15"/>
      <c r="EXO68" s="15"/>
      <c r="EXP68" s="15"/>
      <c r="EXQ68" s="15"/>
      <c r="EXR68" s="15"/>
      <c r="EXS68" s="15"/>
      <c r="EXT68" s="15"/>
      <c r="EXU68" s="15"/>
      <c r="EXV68" s="15"/>
      <c r="EXW68" s="15"/>
      <c r="EXX68" s="15"/>
      <c r="EXY68" s="15"/>
      <c r="EXZ68" s="15"/>
      <c r="EYA68" s="15"/>
      <c r="EYB68" s="15"/>
      <c r="EYC68" s="15"/>
      <c r="EYD68" s="15"/>
      <c r="EYE68" s="15"/>
      <c r="EYF68" s="15"/>
      <c r="EYG68" s="15"/>
      <c r="EYH68" s="15"/>
      <c r="EYI68" s="15"/>
      <c r="EYJ68" s="15"/>
      <c r="EYK68" s="15"/>
      <c r="EYL68" s="15"/>
      <c r="EYM68" s="15"/>
      <c r="EYN68" s="15"/>
      <c r="EYO68" s="15"/>
      <c r="EYP68" s="15"/>
      <c r="EYQ68" s="15"/>
      <c r="EYR68" s="15"/>
      <c r="EYS68" s="15"/>
      <c r="EYT68" s="15"/>
      <c r="EYU68" s="15"/>
      <c r="EYV68" s="15"/>
      <c r="EYW68" s="15"/>
      <c r="EYX68" s="15"/>
      <c r="EYY68" s="15"/>
      <c r="EYZ68" s="15"/>
      <c r="EZA68" s="15"/>
      <c r="EZB68" s="15"/>
      <c r="EZC68" s="15"/>
      <c r="EZD68" s="15"/>
      <c r="EZE68" s="15"/>
      <c r="EZF68" s="15"/>
      <c r="EZG68" s="15"/>
      <c r="EZH68" s="15"/>
      <c r="EZI68" s="15"/>
      <c r="EZJ68" s="15"/>
      <c r="EZK68" s="15"/>
      <c r="EZL68" s="15"/>
      <c r="EZM68" s="15"/>
      <c r="EZN68" s="15"/>
      <c r="EZO68" s="15"/>
      <c r="EZP68" s="15"/>
      <c r="EZQ68" s="15"/>
      <c r="EZR68" s="15"/>
      <c r="EZS68" s="15"/>
      <c r="EZT68" s="15"/>
      <c r="EZU68" s="15"/>
      <c r="EZV68" s="15"/>
      <c r="EZW68" s="15"/>
      <c r="EZX68" s="15"/>
      <c r="EZY68" s="15"/>
      <c r="EZZ68" s="15"/>
      <c r="FAA68" s="15"/>
      <c r="FAB68" s="15"/>
      <c r="FAC68" s="15"/>
      <c r="FAD68" s="15"/>
      <c r="FAE68" s="15"/>
      <c r="FAF68" s="15"/>
      <c r="FAG68" s="15"/>
      <c r="FAH68" s="15"/>
      <c r="FAI68" s="15"/>
      <c r="FAJ68" s="15"/>
      <c r="FAK68" s="15"/>
      <c r="FAL68" s="15"/>
      <c r="FAM68" s="15"/>
      <c r="FAN68" s="15"/>
      <c r="FAO68" s="15"/>
      <c r="FAP68" s="15"/>
      <c r="FAQ68" s="15"/>
      <c r="FAR68" s="15"/>
      <c r="FAS68" s="15"/>
      <c r="FAT68" s="15"/>
      <c r="FAU68" s="15"/>
      <c r="FAV68" s="15"/>
      <c r="FAW68" s="15"/>
      <c r="FAX68" s="15"/>
      <c r="FAY68" s="15"/>
      <c r="FAZ68" s="15"/>
      <c r="FBA68" s="15"/>
      <c r="FBB68" s="15"/>
      <c r="FBC68" s="15"/>
      <c r="FBD68" s="15"/>
      <c r="FBE68" s="15"/>
      <c r="FBF68" s="15"/>
      <c r="FBG68" s="15"/>
      <c r="FBH68" s="15"/>
      <c r="FBI68" s="15"/>
      <c r="FBJ68" s="15"/>
      <c r="FBK68" s="15"/>
      <c r="FBL68" s="15"/>
      <c r="FBM68" s="15"/>
      <c r="FBN68" s="15"/>
      <c r="FBO68" s="15"/>
      <c r="FBP68" s="15"/>
      <c r="FBQ68" s="15"/>
      <c r="FBR68" s="15"/>
      <c r="FBS68" s="15"/>
      <c r="FBT68" s="15"/>
      <c r="FBU68" s="15"/>
      <c r="FBV68" s="15"/>
      <c r="FBW68" s="15"/>
      <c r="FBX68" s="15"/>
      <c r="FBY68" s="15"/>
      <c r="FBZ68" s="15"/>
      <c r="FCA68" s="15"/>
      <c r="FCB68" s="15"/>
      <c r="FCC68" s="15"/>
      <c r="FCD68" s="15"/>
      <c r="FCE68" s="15"/>
      <c r="FCF68" s="15"/>
      <c r="FCG68" s="15"/>
      <c r="FCH68" s="15"/>
      <c r="FCI68" s="15"/>
      <c r="FCJ68" s="15"/>
      <c r="FCK68" s="15"/>
      <c r="FCL68" s="15"/>
      <c r="FCM68" s="15"/>
      <c r="FCN68" s="15"/>
      <c r="FCO68" s="15"/>
      <c r="FCP68" s="15"/>
      <c r="FCQ68" s="15"/>
      <c r="FCR68" s="15"/>
      <c r="FCS68" s="15"/>
      <c r="FCT68" s="15"/>
      <c r="FCU68" s="15"/>
      <c r="FCV68" s="15"/>
      <c r="FCW68" s="15"/>
      <c r="FCX68" s="15"/>
      <c r="FCY68" s="15"/>
      <c r="FCZ68" s="15"/>
      <c r="FDA68" s="15"/>
      <c r="FDB68" s="15"/>
      <c r="FDC68" s="15"/>
      <c r="FDD68" s="15"/>
      <c r="FDE68" s="15"/>
      <c r="FDF68" s="15"/>
      <c r="FDG68" s="15"/>
      <c r="FDH68" s="15"/>
      <c r="FDI68" s="15"/>
      <c r="FDJ68" s="15"/>
      <c r="FDK68" s="15"/>
      <c r="FDL68" s="15"/>
      <c r="FDM68" s="15"/>
      <c r="FDN68" s="15"/>
      <c r="FDO68" s="15"/>
      <c r="FDP68" s="15"/>
      <c r="FDQ68" s="15"/>
      <c r="FDR68" s="15"/>
      <c r="FDS68" s="15"/>
      <c r="FDT68" s="15"/>
      <c r="FDU68" s="15"/>
      <c r="FDV68" s="15"/>
      <c r="FDW68" s="15"/>
      <c r="FDX68" s="15"/>
      <c r="FDY68" s="15"/>
      <c r="FDZ68" s="15"/>
      <c r="FEA68" s="15"/>
      <c r="FEB68" s="15"/>
      <c r="FEC68" s="15"/>
      <c r="FED68" s="15"/>
      <c r="FEE68" s="15"/>
      <c r="FEF68" s="15"/>
      <c r="FEG68" s="15"/>
      <c r="FEH68" s="15"/>
      <c r="FEI68" s="15"/>
      <c r="FEJ68" s="15"/>
      <c r="FEK68" s="15"/>
      <c r="FEL68" s="15"/>
      <c r="FEM68" s="15"/>
      <c r="FEN68" s="15"/>
      <c r="FEO68" s="15"/>
      <c r="FEP68" s="15"/>
      <c r="FEQ68" s="15"/>
      <c r="FER68" s="15"/>
      <c r="FES68" s="15"/>
      <c r="FET68" s="15"/>
      <c r="FEU68" s="15"/>
      <c r="FEV68" s="15"/>
      <c r="FEW68" s="15"/>
      <c r="FEX68" s="15"/>
      <c r="FEY68" s="15"/>
      <c r="FEZ68" s="15"/>
      <c r="FFA68" s="15"/>
      <c r="FFB68" s="15"/>
      <c r="FFC68" s="15"/>
      <c r="FFD68" s="15"/>
      <c r="FFE68" s="15"/>
      <c r="FFF68" s="15"/>
      <c r="FFG68" s="15"/>
      <c r="FFH68" s="15"/>
      <c r="FFI68" s="15"/>
      <c r="FFJ68" s="15"/>
      <c r="FFK68" s="15"/>
      <c r="FFL68" s="15"/>
      <c r="FFM68" s="15"/>
      <c r="FFN68" s="15"/>
      <c r="FFO68" s="15"/>
      <c r="FFP68" s="15"/>
      <c r="FFQ68" s="15"/>
      <c r="FFR68" s="15"/>
      <c r="FFS68" s="15"/>
      <c r="FFT68" s="15"/>
      <c r="FFU68" s="15"/>
      <c r="FFV68" s="15"/>
      <c r="FFW68" s="15"/>
      <c r="FFX68" s="15"/>
      <c r="FFY68" s="15"/>
      <c r="FFZ68" s="15"/>
      <c r="FGA68" s="15"/>
      <c r="FGB68" s="15"/>
      <c r="FGC68" s="15"/>
      <c r="FGD68" s="15"/>
      <c r="FGE68" s="15"/>
      <c r="FGF68" s="15"/>
      <c r="FGG68" s="15"/>
      <c r="FGH68" s="15"/>
      <c r="FGI68" s="15"/>
      <c r="FGJ68" s="15"/>
      <c r="FGK68" s="15"/>
      <c r="FGL68" s="15"/>
      <c r="FGM68" s="15"/>
      <c r="FGN68" s="15"/>
      <c r="FGO68" s="15"/>
      <c r="FGP68" s="15"/>
      <c r="FGQ68" s="15"/>
      <c r="FGR68" s="15"/>
      <c r="FGS68" s="15"/>
      <c r="FGT68" s="15"/>
      <c r="FGU68" s="15"/>
      <c r="FGV68" s="15"/>
      <c r="FGW68" s="15"/>
      <c r="FGX68" s="15"/>
      <c r="FGY68" s="15"/>
      <c r="FGZ68" s="15"/>
      <c r="FHA68" s="15"/>
      <c r="FHB68" s="15"/>
      <c r="FHC68" s="15"/>
      <c r="FHD68" s="15"/>
      <c r="FHE68" s="15"/>
      <c r="FHF68" s="15"/>
      <c r="FHG68" s="15"/>
      <c r="FHH68" s="15"/>
      <c r="FHI68" s="15"/>
      <c r="FHJ68" s="15"/>
      <c r="FHK68" s="15"/>
      <c r="FHL68" s="15"/>
      <c r="FHM68" s="15"/>
      <c r="FHN68" s="15"/>
      <c r="FHO68" s="15"/>
      <c r="FHP68" s="15"/>
      <c r="FHQ68" s="15"/>
      <c r="FHR68" s="15"/>
      <c r="FHS68" s="15"/>
      <c r="FHT68" s="15"/>
      <c r="FHU68" s="15"/>
      <c r="FHV68" s="15"/>
      <c r="FHW68" s="15"/>
      <c r="FHX68" s="15"/>
      <c r="FHY68" s="15"/>
      <c r="FHZ68" s="15"/>
      <c r="FIA68" s="15"/>
      <c r="FIB68" s="15"/>
      <c r="FIC68" s="15"/>
      <c r="FID68" s="15"/>
      <c r="FIE68" s="15"/>
      <c r="FIF68" s="15"/>
      <c r="FIG68" s="15"/>
      <c r="FIH68" s="15"/>
      <c r="FII68" s="15"/>
      <c r="FIJ68" s="15"/>
      <c r="FIK68" s="15"/>
      <c r="FIL68" s="15"/>
      <c r="FIM68" s="15"/>
      <c r="FIN68" s="15"/>
      <c r="FIO68" s="15"/>
      <c r="FIP68" s="15"/>
      <c r="FIQ68" s="15"/>
      <c r="FIR68" s="15"/>
      <c r="FIS68" s="15"/>
      <c r="FIT68" s="15"/>
      <c r="FIU68" s="15"/>
      <c r="FIV68" s="15"/>
      <c r="FIW68" s="15"/>
      <c r="FIX68" s="15"/>
      <c r="FIY68" s="15"/>
      <c r="FIZ68" s="15"/>
      <c r="FJA68" s="15"/>
      <c r="FJB68" s="15"/>
      <c r="FJC68" s="15"/>
      <c r="FJD68" s="15"/>
      <c r="FJE68" s="15"/>
      <c r="FJF68" s="15"/>
      <c r="FJG68" s="15"/>
      <c r="FJH68" s="15"/>
      <c r="FJI68" s="15"/>
      <c r="FJJ68" s="15"/>
      <c r="FJK68" s="15"/>
      <c r="FJL68" s="15"/>
      <c r="FJM68" s="15"/>
      <c r="FJN68" s="15"/>
      <c r="FJO68" s="15"/>
      <c r="FJP68" s="15"/>
      <c r="FJQ68" s="15"/>
      <c r="FJR68" s="15"/>
      <c r="FJS68" s="15"/>
      <c r="FJT68" s="15"/>
      <c r="FJU68" s="15"/>
      <c r="FJV68" s="15"/>
      <c r="FJW68" s="15"/>
      <c r="FJX68" s="15"/>
      <c r="FJY68" s="15"/>
      <c r="FJZ68" s="15"/>
      <c r="FKA68" s="15"/>
      <c r="FKB68" s="15"/>
      <c r="FKC68" s="15"/>
      <c r="FKD68" s="15"/>
      <c r="FKE68" s="15"/>
      <c r="FKF68" s="15"/>
      <c r="FKG68" s="15"/>
      <c r="FKH68" s="15"/>
      <c r="FKI68" s="15"/>
      <c r="FKJ68" s="15"/>
      <c r="FKK68" s="15"/>
      <c r="FKL68" s="15"/>
      <c r="FKM68" s="15"/>
      <c r="FKN68" s="15"/>
      <c r="FKO68" s="15"/>
      <c r="FKP68" s="15"/>
      <c r="FKQ68" s="15"/>
      <c r="FKR68" s="15"/>
      <c r="FKS68" s="15"/>
      <c r="FKT68" s="15"/>
      <c r="FKU68" s="15"/>
      <c r="FKV68" s="15"/>
      <c r="FKW68" s="15"/>
      <c r="FKX68" s="15"/>
      <c r="FKY68" s="15"/>
      <c r="FKZ68" s="15"/>
      <c r="FLA68" s="15"/>
      <c r="FLB68" s="15"/>
      <c r="FLC68" s="15"/>
      <c r="FLD68" s="15"/>
      <c r="FLE68" s="15"/>
      <c r="FLF68" s="15"/>
      <c r="FLG68" s="15"/>
      <c r="FLH68" s="15"/>
      <c r="FLI68" s="15"/>
      <c r="FLJ68" s="15"/>
      <c r="FLK68" s="15"/>
      <c r="FLL68" s="15"/>
      <c r="FLM68" s="15"/>
      <c r="FLN68" s="15"/>
      <c r="FLO68" s="15"/>
      <c r="FLP68" s="15"/>
      <c r="FLQ68" s="15"/>
      <c r="FLR68" s="15"/>
      <c r="FLS68" s="15"/>
      <c r="FLT68" s="15"/>
      <c r="FLU68" s="15"/>
      <c r="FLV68" s="15"/>
      <c r="FLW68" s="15"/>
      <c r="FLX68" s="15"/>
      <c r="FLY68" s="15"/>
      <c r="FLZ68" s="15"/>
      <c r="FMA68" s="15"/>
      <c r="FMB68" s="15"/>
      <c r="FMC68" s="15"/>
      <c r="FMD68" s="15"/>
      <c r="FME68" s="15"/>
      <c r="FMF68" s="15"/>
      <c r="FMG68" s="15"/>
      <c r="FMH68" s="15"/>
      <c r="FMI68" s="15"/>
      <c r="FMJ68" s="15"/>
      <c r="FMK68" s="15"/>
      <c r="FML68" s="15"/>
      <c r="FMM68" s="15"/>
      <c r="FMN68" s="15"/>
      <c r="FMO68" s="15"/>
      <c r="FMP68" s="15"/>
      <c r="FMQ68" s="15"/>
      <c r="FMR68" s="15"/>
      <c r="FMS68" s="15"/>
      <c r="FMT68" s="15"/>
      <c r="FMU68" s="15"/>
      <c r="FMV68" s="15"/>
      <c r="FMW68" s="15"/>
      <c r="FMX68" s="15"/>
      <c r="FMY68" s="15"/>
      <c r="FMZ68" s="15"/>
      <c r="FNA68" s="15"/>
      <c r="FNB68" s="15"/>
      <c r="FNC68" s="15"/>
      <c r="FND68" s="15"/>
      <c r="FNE68" s="15"/>
      <c r="FNF68" s="15"/>
      <c r="FNG68" s="15"/>
      <c r="FNH68" s="15"/>
      <c r="FNI68" s="15"/>
      <c r="FNJ68" s="15"/>
      <c r="FNK68" s="15"/>
      <c r="FNL68" s="15"/>
      <c r="FNM68" s="15"/>
      <c r="FNN68" s="15"/>
      <c r="FNO68" s="15"/>
      <c r="FNP68" s="15"/>
      <c r="FNQ68" s="15"/>
      <c r="FNR68" s="15"/>
      <c r="FNS68" s="15"/>
      <c r="FNT68" s="15"/>
      <c r="FNU68" s="15"/>
      <c r="FNV68" s="15"/>
      <c r="FNW68" s="15"/>
      <c r="FNX68" s="15"/>
      <c r="FNY68" s="15"/>
      <c r="FNZ68" s="15"/>
      <c r="FOA68" s="15"/>
      <c r="FOB68" s="15"/>
      <c r="FOC68" s="15"/>
      <c r="FOD68" s="15"/>
      <c r="FOE68" s="15"/>
      <c r="FOF68" s="15"/>
      <c r="FOG68" s="15"/>
      <c r="FOH68" s="15"/>
      <c r="FOI68" s="15"/>
      <c r="FOJ68" s="15"/>
      <c r="FOK68" s="15"/>
      <c r="FOL68" s="15"/>
      <c r="FOM68" s="15"/>
      <c r="FON68" s="15"/>
      <c r="FOO68" s="15"/>
      <c r="FOP68" s="15"/>
      <c r="FOQ68" s="15"/>
      <c r="FOR68" s="15"/>
      <c r="FOS68" s="15"/>
      <c r="FOT68" s="15"/>
      <c r="FOU68" s="15"/>
      <c r="FOV68" s="15"/>
      <c r="FOW68" s="15"/>
      <c r="FOX68" s="15"/>
      <c r="FOY68" s="15"/>
      <c r="FOZ68" s="15"/>
      <c r="FPA68" s="15"/>
      <c r="FPB68" s="15"/>
      <c r="FPC68" s="15"/>
      <c r="FPD68" s="15"/>
      <c r="FPE68" s="15"/>
      <c r="FPF68" s="15"/>
      <c r="FPG68" s="15"/>
      <c r="FPH68" s="15"/>
      <c r="FPI68" s="15"/>
      <c r="FPJ68" s="15"/>
      <c r="FPK68" s="15"/>
      <c r="FPL68" s="15"/>
      <c r="FPM68" s="15"/>
      <c r="FPN68" s="15"/>
      <c r="FPO68" s="15"/>
      <c r="FPP68" s="15"/>
      <c r="FPQ68" s="15"/>
      <c r="FPR68" s="15"/>
      <c r="FPS68" s="15"/>
      <c r="FPT68" s="15"/>
      <c r="FPU68" s="15"/>
      <c r="FPV68" s="15"/>
      <c r="FPW68" s="15"/>
      <c r="FPX68" s="15"/>
      <c r="FPY68" s="15"/>
      <c r="FPZ68" s="15"/>
      <c r="FQA68" s="15"/>
      <c r="FQB68" s="15"/>
      <c r="FQC68" s="15"/>
      <c r="FQD68" s="15"/>
      <c r="FQE68" s="15"/>
      <c r="FQF68" s="15"/>
      <c r="FQG68" s="15"/>
      <c r="FQH68" s="15"/>
      <c r="FQI68" s="15"/>
      <c r="FQJ68" s="15"/>
      <c r="FQK68" s="15"/>
      <c r="FQL68" s="15"/>
      <c r="FQM68" s="15"/>
      <c r="FQN68" s="15"/>
      <c r="FQO68" s="15"/>
      <c r="FQP68" s="15"/>
      <c r="FQQ68" s="15"/>
      <c r="FQR68" s="15"/>
      <c r="FQS68" s="15"/>
      <c r="FQT68" s="15"/>
      <c r="FQU68" s="15"/>
      <c r="FQV68" s="15"/>
      <c r="FQW68" s="15"/>
      <c r="FQX68" s="15"/>
      <c r="FQY68" s="15"/>
      <c r="FQZ68" s="15"/>
      <c r="FRA68" s="15"/>
      <c r="FRB68" s="15"/>
      <c r="FRC68" s="15"/>
      <c r="FRD68" s="15"/>
      <c r="FRE68" s="15"/>
      <c r="FRF68" s="15"/>
      <c r="FRG68" s="15"/>
      <c r="FRH68" s="15"/>
      <c r="FRI68" s="15"/>
      <c r="FRJ68" s="15"/>
      <c r="FRK68" s="15"/>
      <c r="FRL68" s="15"/>
      <c r="FRM68" s="15"/>
      <c r="FRN68" s="15"/>
      <c r="FRO68" s="15"/>
      <c r="FRP68" s="15"/>
      <c r="FRQ68" s="15"/>
      <c r="FRR68" s="15"/>
      <c r="FRS68" s="15"/>
      <c r="FRT68" s="15"/>
      <c r="FRU68" s="15"/>
      <c r="FRV68" s="15"/>
      <c r="FRW68" s="15"/>
      <c r="FRX68" s="15"/>
      <c r="FRY68" s="15"/>
      <c r="FRZ68" s="15"/>
      <c r="FSA68" s="15"/>
      <c r="FSB68" s="15"/>
      <c r="FSC68" s="15"/>
      <c r="FSD68" s="15"/>
      <c r="FSE68" s="15"/>
      <c r="FSF68" s="15"/>
      <c r="FSG68" s="15"/>
      <c r="FSH68" s="15"/>
      <c r="FSI68" s="15"/>
      <c r="FSJ68" s="15"/>
      <c r="FSK68" s="15"/>
      <c r="FSL68" s="15"/>
      <c r="FSM68" s="15"/>
      <c r="FSN68" s="15"/>
      <c r="FSO68" s="15"/>
      <c r="FSP68" s="15"/>
      <c r="FSQ68" s="15"/>
      <c r="FSR68" s="15"/>
      <c r="FSS68" s="15"/>
      <c r="FST68" s="15"/>
      <c r="FSU68" s="15"/>
      <c r="FSV68" s="15"/>
      <c r="FSW68" s="15"/>
      <c r="FSX68" s="15"/>
      <c r="FSY68" s="15"/>
      <c r="FSZ68" s="15"/>
      <c r="FTA68" s="15"/>
      <c r="FTB68" s="15"/>
      <c r="FTC68" s="15"/>
      <c r="FTD68" s="15"/>
      <c r="FTE68" s="15"/>
      <c r="FTF68" s="15"/>
      <c r="FTG68" s="15"/>
      <c r="FTH68" s="15"/>
      <c r="FTI68" s="15"/>
      <c r="FTJ68" s="15"/>
      <c r="FTK68" s="15"/>
      <c r="FTL68" s="15"/>
      <c r="FTM68" s="15"/>
      <c r="FTN68" s="15"/>
      <c r="FTO68" s="15"/>
      <c r="FTP68" s="15"/>
      <c r="FTQ68" s="15"/>
      <c r="FTR68" s="15"/>
      <c r="FTS68" s="15"/>
      <c r="FTT68" s="15"/>
      <c r="FTU68" s="15"/>
      <c r="FTV68" s="15"/>
      <c r="FTW68" s="15"/>
      <c r="FTX68" s="15"/>
      <c r="FTY68" s="15"/>
      <c r="FTZ68" s="15"/>
      <c r="FUA68" s="15"/>
      <c r="FUB68" s="15"/>
      <c r="FUC68" s="15"/>
      <c r="FUD68" s="15"/>
      <c r="FUE68" s="15"/>
      <c r="FUF68" s="15"/>
      <c r="FUG68" s="15"/>
      <c r="FUH68" s="15"/>
      <c r="FUI68" s="15"/>
      <c r="FUJ68" s="15"/>
      <c r="FUK68" s="15"/>
      <c r="FUL68" s="15"/>
      <c r="FUM68" s="15"/>
      <c r="FUN68" s="15"/>
      <c r="FUO68" s="15"/>
      <c r="FUP68" s="15"/>
      <c r="FUQ68" s="15"/>
      <c r="FUR68" s="15"/>
      <c r="FUS68" s="15"/>
      <c r="FUT68" s="15"/>
      <c r="FUU68" s="15"/>
      <c r="FUV68" s="15"/>
      <c r="FUW68" s="15"/>
      <c r="FUX68" s="15"/>
      <c r="FUY68" s="15"/>
      <c r="FUZ68" s="15"/>
      <c r="FVA68" s="15"/>
      <c r="FVB68" s="15"/>
      <c r="FVC68" s="15"/>
      <c r="FVD68" s="15"/>
      <c r="FVE68" s="15"/>
      <c r="FVF68" s="15"/>
      <c r="FVG68" s="15"/>
      <c r="FVH68" s="15"/>
      <c r="FVI68" s="15"/>
      <c r="FVJ68" s="15"/>
      <c r="FVK68" s="15"/>
      <c r="FVL68" s="15"/>
      <c r="FVM68" s="15"/>
      <c r="FVN68" s="15"/>
      <c r="FVO68" s="15"/>
      <c r="FVP68" s="15"/>
      <c r="FVQ68" s="15"/>
      <c r="FVR68" s="15"/>
      <c r="FVS68" s="15"/>
      <c r="FVT68" s="15"/>
      <c r="FVU68" s="15"/>
      <c r="FVV68" s="15"/>
      <c r="FVW68" s="15"/>
      <c r="FVX68" s="15"/>
      <c r="FVY68" s="15"/>
      <c r="FVZ68" s="15"/>
      <c r="FWA68" s="15"/>
      <c r="FWB68" s="15"/>
      <c r="FWC68" s="15"/>
      <c r="FWD68" s="15"/>
      <c r="FWE68" s="15"/>
      <c r="FWF68" s="15"/>
      <c r="FWG68" s="15"/>
      <c r="FWH68" s="15"/>
      <c r="FWI68" s="15"/>
      <c r="FWJ68" s="15"/>
      <c r="FWK68" s="15"/>
      <c r="FWL68" s="15"/>
      <c r="FWM68" s="15"/>
      <c r="FWN68" s="15"/>
      <c r="FWO68" s="15"/>
      <c r="FWP68" s="15"/>
      <c r="FWQ68" s="15"/>
      <c r="FWR68" s="15"/>
      <c r="FWS68" s="15"/>
      <c r="FWT68" s="15"/>
      <c r="FWU68" s="15"/>
      <c r="FWV68" s="15"/>
      <c r="FWW68" s="15"/>
      <c r="FWX68" s="15"/>
      <c r="FWY68" s="15"/>
      <c r="FWZ68" s="15"/>
      <c r="FXA68" s="15"/>
      <c r="FXB68" s="15"/>
      <c r="FXC68" s="15"/>
      <c r="FXD68" s="15"/>
      <c r="FXE68" s="15"/>
      <c r="FXF68" s="15"/>
      <c r="FXG68" s="15"/>
      <c r="FXH68" s="15"/>
      <c r="FXI68" s="15"/>
      <c r="FXJ68" s="15"/>
      <c r="FXK68" s="15"/>
      <c r="FXL68" s="15"/>
      <c r="FXM68" s="15"/>
      <c r="FXN68" s="15"/>
      <c r="FXO68" s="15"/>
      <c r="FXP68" s="15"/>
      <c r="FXQ68" s="15"/>
      <c r="FXR68" s="15"/>
      <c r="FXS68" s="15"/>
      <c r="FXT68" s="15"/>
      <c r="FXU68" s="15"/>
      <c r="FXV68" s="15"/>
      <c r="FXW68" s="15"/>
      <c r="FXX68" s="15"/>
      <c r="FXY68" s="15"/>
      <c r="FXZ68" s="15"/>
      <c r="FYA68" s="15"/>
      <c r="FYB68" s="15"/>
      <c r="FYC68" s="15"/>
      <c r="FYD68" s="15"/>
      <c r="FYE68" s="15"/>
      <c r="FYF68" s="15"/>
      <c r="FYG68" s="15"/>
      <c r="FYH68" s="15"/>
      <c r="FYI68" s="15"/>
      <c r="FYJ68" s="15"/>
      <c r="FYK68" s="15"/>
      <c r="FYL68" s="15"/>
      <c r="FYM68" s="15"/>
      <c r="FYN68" s="15"/>
      <c r="FYO68" s="15"/>
      <c r="FYP68" s="15"/>
      <c r="FYQ68" s="15"/>
      <c r="FYR68" s="15"/>
      <c r="FYS68" s="15"/>
      <c r="FYT68" s="15"/>
      <c r="FYU68" s="15"/>
      <c r="FYV68" s="15"/>
      <c r="FYW68" s="15"/>
      <c r="FYX68" s="15"/>
      <c r="FYY68" s="15"/>
      <c r="FYZ68" s="15"/>
      <c r="FZA68" s="15"/>
      <c r="FZB68" s="15"/>
      <c r="FZC68" s="15"/>
      <c r="FZD68" s="15"/>
      <c r="FZE68" s="15"/>
      <c r="FZF68" s="15"/>
      <c r="FZG68" s="15"/>
      <c r="FZH68" s="15"/>
      <c r="FZI68" s="15"/>
      <c r="FZJ68" s="15"/>
      <c r="FZK68" s="15"/>
      <c r="FZL68" s="15"/>
      <c r="FZM68" s="15"/>
      <c r="FZN68" s="15"/>
      <c r="FZO68" s="15"/>
      <c r="FZP68" s="15"/>
      <c r="FZQ68" s="15"/>
      <c r="FZR68" s="15"/>
      <c r="FZS68" s="15"/>
      <c r="FZT68" s="15"/>
      <c r="FZU68" s="15"/>
      <c r="FZV68" s="15"/>
      <c r="FZW68" s="15"/>
      <c r="FZX68" s="15"/>
      <c r="FZY68" s="15"/>
      <c r="FZZ68" s="15"/>
      <c r="GAA68" s="15"/>
      <c r="GAB68" s="15"/>
      <c r="GAC68" s="15"/>
      <c r="GAD68" s="15"/>
      <c r="GAE68" s="15"/>
      <c r="GAF68" s="15"/>
      <c r="GAG68" s="15"/>
      <c r="GAH68" s="15"/>
      <c r="GAI68" s="15"/>
      <c r="GAJ68" s="15"/>
      <c r="GAK68" s="15"/>
      <c r="GAL68" s="15"/>
      <c r="GAM68" s="15"/>
      <c r="GAN68" s="15"/>
      <c r="GAO68" s="15"/>
      <c r="GAP68" s="15"/>
      <c r="GAQ68" s="15"/>
      <c r="GAR68" s="15"/>
      <c r="GAS68" s="15"/>
      <c r="GAT68" s="15"/>
      <c r="GAU68" s="15"/>
      <c r="GAV68" s="15"/>
      <c r="GAW68" s="15"/>
      <c r="GAX68" s="15"/>
      <c r="GAY68" s="15"/>
      <c r="GAZ68" s="15"/>
      <c r="GBA68" s="15"/>
      <c r="GBB68" s="15"/>
      <c r="GBC68" s="15"/>
      <c r="GBD68" s="15"/>
      <c r="GBE68" s="15"/>
      <c r="GBF68" s="15"/>
      <c r="GBG68" s="15"/>
      <c r="GBH68" s="15"/>
      <c r="GBI68" s="15"/>
      <c r="GBJ68" s="15"/>
      <c r="GBK68" s="15"/>
      <c r="GBL68" s="15"/>
      <c r="GBM68" s="15"/>
      <c r="GBN68" s="15"/>
      <c r="GBO68" s="15"/>
      <c r="GBP68" s="15"/>
      <c r="GBQ68" s="15"/>
      <c r="GBR68" s="15"/>
      <c r="GBS68" s="15"/>
      <c r="GBT68" s="15"/>
      <c r="GBU68" s="15"/>
      <c r="GBV68" s="15"/>
      <c r="GBW68" s="15"/>
      <c r="GBX68" s="15"/>
      <c r="GBY68" s="15"/>
      <c r="GBZ68" s="15"/>
      <c r="GCA68" s="15"/>
      <c r="GCB68" s="15"/>
      <c r="GCC68" s="15"/>
      <c r="GCD68" s="15"/>
      <c r="GCE68" s="15"/>
      <c r="GCF68" s="15"/>
      <c r="GCG68" s="15"/>
      <c r="GCH68" s="15"/>
      <c r="GCI68" s="15"/>
      <c r="GCJ68" s="15"/>
      <c r="GCK68" s="15"/>
      <c r="GCL68" s="15"/>
      <c r="GCM68" s="15"/>
      <c r="GCN68" s="15"/>
      <c r="GCO68" s="15"/>
      <c r="GCP68" s="15"/>
      <c r="GCQ68" s="15"/>
      <c r="GCR68" s="15"/>
      <c r="GCS68" s="15"/>
      <c r="GCT68" s="15"/>
      <c r="GCU68" s="15"/>
      <c r="GCV68" s="15"/>
      <c r="GCW68" s="15"/>
      <c r="GCX68" s="15"/>
      <c r="GCY68" s="15"/>
      <c r="GCZ68" s="15"/>
      <c r="GDA68" s="15"/>
      <c r="GDB68" s="15"/>
      <c r="GDC68" s="15"/>
      <c r="GDD68" s="15"/>
      <c r="GDE68" s="15"/>
      <c r="GDF68" s="15"/>
      <c r="GDG68" s="15"/>
      <c r="GDH68" s="15"/>
      <c r="GDI68" s="15"/>
      <c r="GDJ68" s="15"/>
      <c r="GDK68" s="15"/>
      <c r="GDL68" s="15"/>
      <c r="GDM68" s="15"/>
      <c r="GDN68" s="15"/>
      <c r="GDO68" s="15"/>
      <c r="GDP68" s="15"/>
      <c r="GDQ68" s="15"/>
      <c r="GDR68" s="15"/>
      <c r="GDS68" s="15"/>
      <c r="GDT68" s="15"/>
      <c r="GDU68" s="15"/>
      <c r="GDV68" s="15"/>
      <c r="GDW68" s="15"/>
      <c r="GDX68" s="15"/>
      <c r="GDY68" s="15"/>
      <c r="GDZ68" s="15"/>
      <c r="GEA68" s="15"/>
      <c r="GEB68" s="15"/>
      <c r="GEC68" s="15"/>
      <c r="GED68" s="15"/>
      <c r="GEE68" s="15"/>
      <c r="GEF68" s="15"/>
      <c r="GEG68" s="15"/>
      <c r="GEH68" s="15"/>
      <c r="GEI68" s="15"/>
      <c r="GEJ68" s="15"/>
      <c r="GEK68" s="15"/>
      <c r="GEL68" s="15"/>
      <c r="GEM68" s="15"/>
      <c r="GEN68" s="15"/>
      <c r="GEO68" s="15"/>
      <c r="GEP68" s="15"/>
      <c r="GEQ68" s="15"/>
      <c r="GER68" s="15"/>
      <c r="GES68" s="15"/>
      <c r="GET68" s="15"/>
      <c r="GEU68" s="15"/>
      <c r="GEV68" s="15"/>
      <c r="GEW68" s="15"/>
      <c r="GEX68" s="15"/>
      <c r="GEY68" s="15"/>
      <c r="GEZ68" s="15"/>
      <c r="GFA68" s="15"/>
      <c r="GFB68" s="15"/>
      <c r="GFC68" s="15"/>
      <c r="GFD68" s="15"/>
      <c r="GFE68" s="15"/>
      <c r="GFF68" s="15"/>
      <c r="GFG68" s="15"/>
      <c r="GFH68" s="15"/>
      <c r="GFI68" s="15"/>
      <c r="GFJ68" s="15"/>
      <c r="GFK68" s="15"/>
      <c r="GFL68" s="15"/>
      <c r="GFM68" s="15"/>
      <c r="GFN68" s="15"/>
      <c r="GFO68" s="15"/>
      <c r="GFP68" s="15"/>
      <c r="GFQ68" s="15"/>
      <c r="GFR68" s="15"/>
      <c r="GFS68" s="15"/>
      <c r="GFT68" s="15"/>
      <c r="GFU68" s="15"/>
      <c r="GFV68" s="15"/>
      <c r="GFW68" s="15"/>
      <c r="GFX68" s="15"/>
      <c r="GFY68" s="15"/>
      <c r="GFZ68" s="15"/>
      <c r="GGA68" s="15"/>
      <c r="GGB68" s="15"/>
      <c r="GGC68" s="15"/>
      <c r="GGD68" s="15"/>
      <c r="GGE68" s="15"/>
      <c r="GGF68" s="15"/>
      <c r="GGG68" s="15"/>
      <c r="GGH68" s="15"/>
      <c r="GGI68" s="15"/>
      <c r="GGJ68" s="15"/>
      <c r="GGK68" s="15"/>
      <c r="GGL68" s="15"/>
      <c r="GGM68" s="15"/>
      <c r="GGN68" s="15"/>
      <c r="GGO68" s="15"/>
      <c r="GGP68" s="15"/>
      <c r="GGQ68" s="15"/>
      <c r="GGR68" s="15"/>
      <c r="GGS68" s="15"/>
      <c r="GGT68" s="15"/>
      <c r="GGU68" s="15"/>
      <c r="GGV68" s="15"/>
      <c r="GGW68" s="15"/>
      <c r="GGX68" s="15"/>
      <c r="GGY68" s="15"/>
      <c r="GGZ68" s="15"/>
      <c r="GHA68" s="15"/>
      <c r="GHB68" s="15"/>
      <c r="GHC68" s="15"/>
      <c r="GHD68" s="15"/>
      <c r="GHE68" s="15"/>
      <c r="GHF68" s="15"/>
      <c r="GHG68" s="15"/>
      <c r="GHH68" s="15"/>
      <c r="GHI68" s="15"/>
      <c r="GHJ68" s="15"/>
      <c r="GHK68" s="15"/>
      <c r="GHL68" s="15"/>
      <c r="GHM68" s="15"/>
      <c r="GHN68" s="15"/>
      <c r="GHO68" s="15"/>
      <c r="GHP68" s="15"/>
      <c r="GHQ68" s="15"/>
      <c r="GHR68" s="15"/>
      <c r="GHS68" s="15"/>
      <c r="GHT68" s="15"/>
      <c r="GHU68" s="15"/>
      <c r="GHV68" s="15"/>
      <c r="GHW68" s="15"/>
      <c r="GHX68" s="15"/>
      <c r="GHY68" s="15"/>
      <c r="GHZ68" s="15"/>
      <c r="GIA68" s="15"/>
      <c r="GIB68" s="15"/>
      <c r="GIC68" s="15"/>
      <c r="GID68" s="15"/>
      <c r="GIE68" s="15"/>
      <c r="GIF68" s="15"/>
      <c r="GIG68" s="15"/>
      <c r="GIH68" s="15"/>
      <c r="GII68" s="15"/>
      <c r="GIJ68" s="15"/>
      <c r="GIK68" s="15"/>
      <c r="GIL68" s="15"/>
      <c r="GIM68" s="15"/>
      <c r="GIN68" s="15"/>
      <c r="GIO68" s="15"/>
      <c r="GIP68" s="15"/>
      <c r="GIQ68" s="15"/>
      <c r="GIR68" s="15"/>
      <c r="GIS68" s="15"/>
      <c r="GIT68" s="15"/>
      <c r="GIU68" s="15"/>
      <c r="GIV68" s="15"/>
      <c r="GIW68" s="15"/>
      <c r="GIX68" s="15"/>
      <c r="GIY68" s="15"/>
      <c r="GIZ68" s="15"/>
      <c r="GJA68" s="15"/>
      <c r="GJB68" s="15"/>
      <c r="GJC68" s="15"/>
      <c r="GJD68" s="15"/>
      <c r="GJE68" s="15"/>
      <c r="GJF68" s="15"/>
      <c r="GJG68" s="15"/>
      <c r="GJH68" s="15"/>
      <c r="GJI68" s="15"/>
      <c r="GJJ68" s="15"/>
      <c r="GJK68" s="15"/>
      <c r="GJL68" s="15"/>
      <c r="GJM68" s="15"/>
      <c r="GJN68" s="15"/>
      <c r="GJO68" s="15"/>
      <c r="GJP68" s="15"/>
      <c r="GJQ68" s="15"/>
      <c r="GJR68" s="15"/>
      <c r="GJS68" s="15"/>
      <c r="GJT68" s="15"/>
      <c r="GJU68" s="15"/>
      <c r="GJV68" s="15"/>
      <c r="GJW68" s="15"/>
      <c r="GJX68" s="15"/>
      <c r="GJY68" s="15"/>
      <c r="GJZ68" s="15"/>
      <c r="GKA68" s="15"/>
      <c r="GKB68" s="15"/>
      <c r="GKC68" s="15"/>
      <c r="GKD68" s="15"/>
      <c r="GKE68" s="15"/>
      <c r="GKF68" s="15"/>
      <c r="GKG68" s="15"/>
      <c r="GKH68" s="15"/>
      <c r="GKI68" s="15"/>
      <c r="GKJ68" s="15"/>
      <c r="GKK68" s="15"/>
      <c r="GKL68" s="15"/>
      <c r="GKM68" s="15"/>
      <c r="GKN68" s="15"/>
      <c r="GKO68" s="15"/>
      <c r="GKP68" s="15"/>
      <c r="GKQ68" s="15"/>
      <c r="GKR68" s="15"/>
      <c r="GKS68" s="15"/>
      <c r="GKT68" s="15"/>
      <c r="GKU68" s="15"/>
      <c r="GKV68" s="15"/>
      <c r="GKW68" s="15"/>
      <c r="GKX68" s="15"/>
      <c r="GKY68" s="15"/>
      <c r="GKZ68" s="15"/>
      <c r="GLA68" s="15"/>
      <c r="GLB68" s="15"/>
      <c r="GLC68" s="15"/>
      <c r="GLD68" s="15"/>
      <c r="GLE68" s="15"/>
      <c r="GLF68" s="15"/>
      <c r="GLG68" s="15"/>
      <c r="GLH68" s="15"/>
      <c r="GLI68" s="15"/>
      <c r="GLJ68" s="15"/>
      <c r="GLK68" s="15"/>
      <c r="GLL68" s="15"/>
      <c r="GLM68" s="15"/>
      <c r="GLN68" s="15"/>
      <c r="GLO68" s="15"/>
      <c r="GLP68" s="15"/>
      <c r="GLQ68" s="15"/>
      <c r="GLR68" s="15"/>
      <c r="GLS68" s="15"/>
      <c r="GLT68" s="15"/>
      <c r="GLU68" s="15"/>
      <c r="GLV68" s="15"/>
      <c r="GLW68" s="15"/>
      <c r="GLX68" s="15"/>
      <c r="GLY68" s="15"/>
      <c r="GLZ68" s="15"/>
      <c r="GMA68" s="15"/>
      <c r="GMB68" s="15"/>
      <c r="GMC68" s="15"/>
      <c r="GMD68" s="15"/>
      <c r="GME68" s="15"/>
      <c r="GMF68" s="15"/>
      <c r="GMG68" s="15"/>
      <c r="GMH68" s="15"/>
      <c r="GMI68" s="15"/>
      <c r="GMJ68" s="15"/>
      <c r="GMK68" s="15"/>
      <c r="GML68" s="15"/>
      <c r="GMM68" s="15"/>
      <c r="GMN68" s="15"/>
      <c r="GMO68" s="15"/>
      <c r="GMP68" s="15"/>
      <c r="GMQ68" s="15"/>
      <c r="GMR68" s="15"/>
      <c r="GMS68" s="15"/>
      <c r="GMT68" s="15"/>
      <c r="GMU68" s="15"/>
      <c r="GMV68" s="15"/>
      <c r="GMW68" s="15"/>
      <c r="GMX68" s="15"/>
      <c r="GMY68" s="15"/>
      <c r="GMZ68" s="15"/>
      <c r="GNA68" s="15"/>
      <c r="GNB68" s="15"/>
      <c r="GNC68" s="15"/>
      <c r="GND68" s="15"/>
      <c r="GNE68" s="15"/>
      <c r="GNF68" s="15"/>
      <c r="GNG68" s="15"/>
      <c r="GNH68" s="15"/>
      <c r="GNI68" s="15"/>
      <c r="GNJ68" s="15"/>
      <c r="GNK68" s="15"/>
      <c r="GNL68" s="15"/>
      <c r="GNM68" s="15"/>
      <c r="GNN68" s="15"/>
      <c r="GNO68" s="15"/>
      <c r="GNP68" s="15"/>
      <c r="GNQ68" s="15"/>
      <c r="GNR68" s="15"/>
      <c r="GNS68" s="15"/>
      <c r="GNT68" s="15"/>
      <c r="GNU68" s="15"/>
      <c r="GNV68" s="15"/>
      <c r="GNW68" s="15"/>
      <c r="GNX68" s="15"/>
      <c r="GNY68" s="15"/>
      <c r="GNZ68" s="15"/>
      <c r="GOA68" s="15"/>
      <c r="GOB68" s="15"/>
      <c r="GOC68" s="15"/>
      <c r="GOD68" s="15"/>
      <c r="GOE68" s="15"/>
      <c r="GOF68" s="15"/>
      <c r="GOG68" s="15"/>
      <c r="GOH68" s="15"/>
      <c r="GOI68" s="15"/>
      <c r="GOJ68" s="15"/>
      <c r="GOK68" s="15"/>
      <c r="GOL68" s="15"/>
      <c r="GOM68" s="15"/>
      <c r="GON68" s="15"/>
      <c r="GOO68" s="15"/>
      <c r="GOP68" s="15"/>
      <c r="GOQ68" s="15"/>
      <c r="GOR68" s="15"/>
      <c r="GOS68" s="15"/>
      <c r="GOT68" s="15"/>
      <c r="GOU68" s="15"/>
      <c r="GOV68" s="15"/>
      <c r="GOW68" s="15"/>
      <c r="GOX68" s="15"/>
      <c r="GOY68" s="15"/>
      <c r="GOZ68" s="15"/>
      <c r="GPA68" s="15"/>
      <c r="GPB68" s="15"/>
      <c r="GPC68" s="15"/>
      <c r="GPD68" s="15"/>
      <c r="GPE68" s="15"/>
      <c r="GPF68" s="15"/>
      <c r="GPG68" s="15"/>
      <c r="GPH68" s="15"/>
      <c r="GPI68" s="15"/>
      <c r="GPJ68" s="15"/>
      <c r="GPK68" s="15"/>
      <c r="GPL68" s="15"/>
      <c r="GPM68" s="15"/>
      <c r="GPN68" s="15"/>
      <c r="GPO68" s="15"/>
      <c r="GPP68" s="15"/>
      <c r="GPQ68" s="15"/>
      <c r="GPR68" s="15"/>
      <c r="GPS68" s="15"/>
      <c r="GPT68" s="15"/>
      <c r="GPU68" s="15"/>
      <c r="GPV68" s="15"/>
      <c r="GPW68" s="15"/>
      <c r="GPX68" s="15"/>
      <c r="GPY68" s="15"/>
      <c r="GPZ68" s="15"/>
      <c r="GQA68" s="15"/>
      <c r="GQB68" s="15"/>
      <c r="GQC68" s="15"/>
      <c r="GQD68" s="15"/>
      <c r="GQE68" s="15"/>
      <c r="GQF68" s="15"/>
      <c r="GQG68" s="15"/>
      <c r="GQH68" s="15"/>
      <c r="GQI68" s="15"/>
      <c r="GQJ68" s="15"/>
      <c r="GQK68" s="15"/>
      <c r="GQL68" s="15"/>
      <c r="GQM68" s="15"/>
      <c r="GQN68" s="15"/>
      <c r="GQO68" s="15"/>
      <c r="GQP68" s="15"/>
      <c r="GQQ68" s="15"/>
      <c r="GQR68" s="15"/>
      <c r="GQS68" s="15"/>
      <c r="GQT68" s="15"/>
      <c r="GQU68" s="15"/>
      <c r="GQV68" s="15"/>
      <c r="GQW68" s="15"/>
      <c r="GQX68" s="15"/>
      <c r="GQY68" s="15"/>
      <c r="GQZ68" s="15"/>
      <c r="GRA68" s="15"/>
      <c r="GRB68" s="15"/>
      <c r="GRC68" s="15"/>
      <c r="GRD68" s="15"/>
      <c r="GRE68" s="15"/>
      <c r="GRF68" s="15"/>
      <c r="GRG68" s="15"/>
      <c r="GRH68" s="15"/>
      <c r="GRI68" s="15"/>
      <c r="GRJ68" s="15"/>
      <c r="GRK68" s="15"/>
      <c r="GRL68" s="15"/>
      <c r="GRM68" s="15"/>
      <c r="GRN68" s="15"/>
      <c r="GRO68" s="15"/>
      <c r="GRP68" s="15"/>
      <c r="GRQ68" s="15"/>
      <c r="GRR68" s="15"/>
      <c r="GRS68" s="15"/>
      <c r="GRT68" s="15"/>
      <c r="GRU68" s="15"/>
      <c r="GRV68" s="15"/>
      <c r="GRW68" s="15"/>
      <c r="GRX68" s="15"/>
      <c r="GRY68" s="15"/>
      <c r="GRZ68" s="15"/>
      <c r="GSA68" s="15"/>
      <c r="GSB68" s="15"/>
      <c r="GSC68" s="15"/>
      <c r="GSD68" s="15"/>
      <c r="GSE68" s="15"/>
      <c r="GSF68" s="15"/>
      <c r="GSG68" s="15"/>
      <c r="GSH68" s="15"/>
      <c r="GSI68" s="15"/>
      <c r="GSJ68" s="15"/>
      <c r="GSK68" s="15"/>
      <c r="GSL68" s="15"/>
      <c r="GSM68" s="15"/>
      <c r="GSN68" s="15"/>
      <c r="GSO68" s="15"/>
      <c r="GSP68" s="15"/>
      <c r="GSQ68" s="15"/>
      <c r="GSR68" s="15"/>
      <c r="GSS68" s="15"/>
      <c r="GST68" s="15"/>
      <c r="GSU68" s="15"/>
      <c r="GSV68" s="15"/>
      <c r="GSW68" s="15"/>
      <c r="GSX68" s="15"/>
      <c r="GSY68" s="15"/>
      <c r="GSZ68" s="15"/>
      <c r="GTA68" s="15"/>
      <c r="GTB68" s="15"/>
      <c r="GTC68" s="15"/>
      <c r="GTD68" s="15"/>
      <c r="GTE68" s="15"/>
      <c r="GTF68" s="15"/>
      <c r="GTG68" s="15"/>
      <c r="GTH68" s="15"/>
      <c r="GTI68" s="15"/>
      <c r="GTJ68" s="15"/>
      <c r="GTK68" s="15"/>
      <c r="GTL68" s="15"/>
      <c r="GTM68" s="15"/>
      <c r="GTN68" s="15"/>
      <c r="GTO68" s="15"/>
      <c r="GTP68" s="15"/>
      <c r="GTQ68" s="15"/>
      <c r="GTR68" s="15"/>
      <c r="GTS68" s="15"/>
      <c r="GTT68" s="15"/>
      <c r="GTU68" s="15"/>
      <c r="GTV68" s="15"/>
      <c r="GTW68" s="15"/>
      <c r="GTX68" s="15"/>
      <c r="GTY68" s="15"/>
      <c r="GTZ68" s="15"/>
      <c r="GUA68" s="15"/>
      <c r="GUB68" s="15"/>
      <c r="GUC68" s="15"/>
      <c r="GUD68" s="15"/>
      <c r="GUE68" s="15"/>
      <c r="GUF68" s="15"/>
      <c r="GUG68" s="15"/>
      <c r="GUH68" s="15"/>
      <c r="GUI68" s="15"/>
      <c r="GUJ68" s="15"/>
      <c r="GUK68" s="15"/>
      <c r="GUL68" s="15"/>
      <c r="GUM68" s="15"/>
      <c r="GUN68" s="15"/>
      <c r="GUO68" s="15"/>
      <c r="GUP68" s="15"/>
      <c r="GUQ68" s="15"/>
      <c r="GUR68" s="15"/>
      <c r="GUS68" s="15"/>
      <c r="GUT68" s="15"/>
      <c r="GUU68" s="15"/>
      <c r="GUV68" s="15"/>
      <c r="GUW68" s="15"/>
      <c r="GUX68" s="15"/>
      <c r="GUY68" s="15"/>
      <c r="GUZ68" s="15"/>
      <c r="GVA68" s="15"/>
      <c r="GVB68" s="15"/>
      <c r="GVC68" s="15"/>
      <c r="GVD68" s="15"/>
      <c r="GVE68" s="15"/>
      <c r="GVF68" s="15"/>
      <c r="GVG68" s="15"/>
      <c r="GVH68" s="15"/>
      <c r="GVI68" s="15"/>
      <c r="GVJ68" s="15"/>
      <c r="GVK68" s="15"/>
      <c r="GVL68" s="15"/>
      <c r="GVM68" s="15"/>
      <c r="GVN68" s="15"/>
      <c r="GVO68" s="15"/>
      <c r="GVP68" s="15"/>
      <c r="GVQ68" s="15"/>
      <c r="GVR68" s="15"/>
      <c r="GVS68" s="15"/>
      <c r="GVT68" s="15"/>
      <c r="GVU68" s="15"/>
      <c r="GVV68" s="15"/>
      <c r="GVW68" s="15"/>
      <c r="GVX68" s="15"/>
      <c r="GVY68" s="15"/>
      <c r="GVZ68" s="15"/>
      <c r="GWA68" s="15"/>
      <c r="GWB68" s="15"/>
      <c r="GWC68" s="15"/>
      <c r="GWD68" s="15"/>
      <c r="GWE68" s="15"/>
      <c r="GWF68" s="15"/>
      <c r="GWG68" s="15"/>
      <c r="GWH68" s="15"/>
      <c r="GWI68" s="15"/>
      <c r="GWJ68" s="15"/>
      <c r="GWK68" s="15"/>
      <c r="GWL68" s="15"/>
      <c r="GWM68" s="15"/>
      <c r="GWN68" s="15"/>
      <c r="GWO68" s="15"/>
      <c r="GWP68" s="15"/>
      <c r="GWQ68" s="15"/>
      <c r="GWR68" s="15"/>
      <c r="GWS68" s="15"/>
      <c r="GWT68" s="15"/>
      <c r="GWU68" s="15"/>
      <c r="GWV68" s="15"/>
      <c r="GWW68" s="15"/>
      <c r="GWX68" s="15"/>
      <c r="GWY68" s="15"/>
      <c r="GWZ68" s="15"/>
      <c r="GXA68" s="15"/>
      <c r="GXB68" s="15"/>
      <c r="GXC68" s="15"/>
      <c r="GXD68" s="15"/>
      <c r="GXE68" s="15"/>
      <c r="GXF68" s="15"/>
      <c r="GXG68" s="15"/>
      <c r="GXH68" s="15"/>
      <c r="GXI68" s="15"/>
      <c r="GXJ68" s="15"/>
      <c r="GXK68" s="15"/>
      <c r="GXL68" s="15"/>
      <c r="GXM68" s="15"/>
      <c r="GXN68" s="15"/>
      <c r="GXO68" s="15"/>
      <c r="GXP68" s="15"/>
      <c r="GXQ68" s="15"/>
      <c r="GXR68" s="15"/>
      <c r="GXS68" s="15"/>
      <c r="GXT68" s="15"/>
      <c r="GXU68" s="15"/>
      <c r="GXV68" s="15"/>
      <c r="GXW68" s="15"/>
      <c r="GXX68" s="15"/>
      <c r="GXY68" s="15"/>
      <c r="GXZ68" s="15"/>
      <c r="GYA68" s="15"/>
      <c r="GYB68" s="15"/>
      <c r="GYC68" s="15"/>
      <c r="GYD68" s="15"/>
      <c r="GYE68" s="15"/>
      <c r="GYF68" s="15"/>
      <c r="GYG68" s="15"/>
      <c r="GYH68" s="15"/>
      <c r="GYI68" s="15"/>
      <c r="GYJ68" s="15"/>
      <c r="GYK68" s="15"/>
      <c r="GYL68" s="15"/>
      <c r="GYM68" s="15"/>
      <c r="GYN68" s="15"/>
      <c r="GYO68" s="15"/>
      <c r="GYP68" s="15"/>
      <c r="GYQ68" s="15"/>
      <c r="GYR68" s="15"/>
      <c r="GYS68" s="15"/>
      <c r="GYT68" s="15"/>
      <c r="GYU68" s="15"/>
      <c r="GYV68" s="15"/>
      <c r="GYW68" s="15"/>
      <c r="GYX68" s="15"/>
      <c r="GYY68" s="15"/>
      <c r="GYZ68" s="15"/>
      <c r="GZA68" s="15"/>
      <c r="GZB68" s="15"/>
      <c r="GZC68" s="15"/>
      <c r="GZD68" s="15"/>
      <c r="GZE68" s="15"/>
      <c r="GZF68" s="15"/>
      <c r="GZG68" s="15"/>
      <c r="GZH68" s="15"/>
      <c r="GZI68" s="15"/>
      <c r="GZJ68" s="15"/>
      <c r="GZK68" s="15"/>
      <c r="GZL68" s="15"/>
      <c r="GZM68" s="15"/>
      <c r="GZN68" s="15"/>
      <c r="GZO68" s="15"/>
      <c r="GZP68" s="15"/>
      <c r="GZQ68" s="15"/>
      <c r="GZR68" s="15"/>
      <c r="GZS68" s="15"/>
      <c r="GZT68" s="15"/>
      <c r="GZU68" s="15"/>
      <c r="GZV68" s="15"/>
      <c r="GZW68" s="15"/>
      <c r="GZX68" s="15"/>
      <c r="GZY68" s="15"/>
      <c r="GZZ68" s="15"/>
      <c r="HAA68" s="15"/>
      <c r="HAB68" s="15"/>
      <c r="HAC68" s="15"/>
      <c r="HAD68" s="15"/>
      <c r="HAE68" s="15"/>
      <c r="HAF68" s="15"/>
      <c r="HAG68" s="15"/>
      <c r="HAH68" s="15"/>
      <c r="HAI68" s="15"/>
      <c r="HAJ68" s="15"/>
      <c r="HAK68" s="15"/>
      <c r="HAL68" s="15"/>
      <c r="HAM68" s="15"/>
      <c r="HAN68" s="15"/>
      <c r="HAO68" s="15"/>
      <c r="HAP68" s="15"/>
      <c r="HAQ68" s="15"/>
      <c r="HAR68" s="15"/>
      <c r="HAS68" s="15"/>
      <c r="HAT68" s="15"/>
      <c r="HAU68" s="15"/>
      <c r="HAV68" s="15"/>
      <c r="HAW68" s="15"/>
      <c r="HAX68" s="15"/>
      <c r="HAY68" s="15"/>
      <c r="HAZ68" s="15"/>
      <c r="HBA68" s="15"/>
      <c r="HBB68" s="15"/>
      <c r="HBC68" s="15"/>
      <c r="HBD68" s="15"/>
      <c r="HBE68" s="15"/>
      <c r="HBF68" s="15"/>
      <c r="HBG68" s="15"/>
      <c r="HBH68" s="15"/>
      <c r="HBI68" s="15"/>
      <c r="HBJ68" s="15"/>
      <c r="HBK68" s="15"/>
      <c r="HBL68" s="15"/>
      <c r="HBM68" s="15"/>
      <c r="HBN68" s="15"/>
      <c r="HBO68" s="15"/>
      <c r="HBP68" s="15"/>
      <c r="HBQ68" s="15"/>
      <c r="HBR68" s="15"/>
      <c r="HBS68" s="15"/>
      <c r="HBT68" s="15"/>
      <c r="HBU68" s="15"/>
      <c r="HBV68" s="15"/>
      <c r="HBW68" s="15"/>
      <c r="HBX68" s="15"/>
      <c r="HBY68" s="15"/>
      <c r="HBZ68" s="15"/>
      <c r="HCA68" s="15"/>
      <c r="HCB68" s="15"/>
      <c r="HCC68" s="15"/>
      <c r="HCD68" s="15"/>
      <c r="HCE68" s="15"/>
      <c r="HCF68" s="15"/>
      <c r="HCG68" s="15"/>
      <c r="HCH68" s="15"/>
      <c r="HCI68" s="15"/>
      <c r="HCJ68" s="15"/>
      <c r="HCK68" s="15"/>
      <c r="HCL68" s="15"/>
      <c r="HCM68" s="15"/>
      <c r="HCN68" s="15"/>
      <c r="HCO68" s="15"/>
      <c r="HCP68" s="15"/>
      <c r="HCQ68" s="15"/>
      <c r="HCR68" s="15"/>
      <c r="HCS68" s="15"/>
      <c r="HCT68" s="15"/>
      <c r="HCU68" s="15"/>
      <c r="HCV68" s="15"/>
      <c r="HCW68" s="15"/>
      <c r="HCX68" s="15"/>
      <c r="HCY68" s="15"/>
      <c r="HCZ68" s="15"/>
      <c r="HDA68" s="15"/>
      <c r="HDB68" s="15"/>
      <c r="HDC68" s="15"/>
      <c r="HDD68" s="15"/>
      <c r="HDE68" s="15"/>
      <c r="HDF68" s="15"/>
      <c r="HDG68" s="15"/>
      <c r="HDH68" s="15"/>
      <c r="HDI68" s="15"/>
      <c r="HDJ68" s="15"/>
      <c r="HDK68" s="15"/>
      <c r="HDL68" s="15"/>
      <c r="HDM68" s="15"/>
      <c r="HDN68" s="15"/>
      <c r="HDO68" s="15"/>
      <c r="HDP68" s="15"/>
      <c r="HDQ68" s="15"/>
      <c r="HDR68" s="15"/>
      <c r="HDS68" s="15"/>
      <c r="HDT68" s="15"/>
      <c r="HDU68" s="15"/>
      <c r="HDV68" s="15"/>
      <c r="HDW68" s="15"/>
      <c r="HDX68" s="15"/>
      <c r="HDY68" s="15"/>
      <c r="HDZ68" s="15"/>
      <c r="HEA68" s="15"/>
      <c r="HEB68" s="15"/>
      <c r="HEC68" s="15"/>
      <c r="HED68" s="15"/>
      <c r="HEE68" s="15"/>
      <c r="HEF68" s="15"/>
      <c r="HEG68" s="15"/>
      <c r="HEH68" s="15"/>
      <c r="HEI68" s="15"/>
      <c r="HEJ68" s="15"/>
      <c r="HEK68" s="15"/>
      <c r="HEL68" s="15"/>
      <c r="HEM68" s="15"/>
      <c r="HEN68" s="15"/>
      <c r="HEO68" s="15"/>
      <c r="HEP68" s="15"/>
      <c r="HEQ68" s="15"/>
      <c r="HER68" s="15"/>
      <c r="HES68" s="15"/>
      <c r="HET68" s="15"/>
      <c r="HEU68" s="15"/>
      <c r="HEV68" s="15"/>
      <c r="HEW68" s="15"/>
      <c r="HEX68" s="15"/>
      <c r="HEY68" s="15"/>
      <c r="HEZ68" s="15"/>
      <c r="HFA68" s="15"/>
      <c r="HFB68" s="15"/>
      <c r="HFC68" s="15"/>
      <c r="HFD68" s="15"/>
      <c r="HFE68" s="15"/>
      <c r="HFF68" s="15"/>
      <c r="HFG68" s="15"/>
      <c r="HFH68" s="15"/>
      <c r="HFI68" s="15"/>
      <c r="HFJ68" s="15"/>
      <c r="HFK68" s="15"/>
      <c r="HFL68" s="15"/>
      <c r="HFM68" s="15"/>
      <c r="HFN68" s="15"/>
      <c r="HFO68" s="15"/>
      <c r="HFP68" s="15"/>
      <c r="HFQ68" s="15"/>
      <c r="HFR68" s="15"/>
      <c r="HFS68" s="15"/>
      <c r="HFT68" s="15"/>
      <c r="HFU68" s="15"/>
      <c r="HFV68" s="15"/>
      <c r="HFW68" s="15"/>
      <c r="HFX68" s="15"/>
      <c r="HFY68" s="15"/>
      <c r="HFZ68" s="15"/>
      <c r="HGA68" s="15"/>
      <c r="HGB68" s="15"/>
      <c r="HGC68" s="15"/>
      <c r="HGD68" s="15"/>
      <c r="HGE68" s="15"/>
      <c r="HGF68" s="15"/>
      <c r="HGG68" s="15"/>
      <c r="HGH68" s="15"/>
      <c r="HGI68" s="15"/>
      <c r="HGJ68" s="15"/>
      <c r="HGK68" s="15"/>
      <c r="HGL68" s="15"/>
      <c r="HGM68" s="15"/>
      <c r="HGN68" s="15"/>
      <c r="HGO68" s="15"/>
      <c r="HGP68" s="15"/>
      <c r="HGQ68" s="15"/>
      <c r="HGR68" s="15"/>
      <c r="HGS68" s="15"/>
      <c r="HGT68" s="15"/>
      <c r="HGU68" s="15"/>
      <c r="HGV68" s="15"/>
      <c r="HGW68" s="15"/>
      <c r="HGX68" s="15"/>
      <c r="HGY68" s="15"/>
      <c r="HGZ68" s="15"/>
      <c r="HHA68" s="15"/>
      <c r="HHB68" s="15"/>
      <c r="HHC68" s="15"/>
      <c r="HHD68" s="15"/>
      <c r="HHE68" s="15"/>
      <c r="HHF68" s="15"/>
      <c r="HHG68" s="15"/>
      <c r="HHH68" s="15"/>
      <c r="HHI68" s="15"/>
      <c r="HHJ68" s="15"/>
      <c r="HHK68" s="15"/>
      <c r="HHL68" s="15"/>
      <c r="HHM68" s="15"/>
      <c r="HHN68" s="15"/>
      <c r="HHO68" s="15"/>
      <c r="HHP68" s="15"/>
      <c r="HHQ68" s="15"/>
      <c r="HHR68" s="15"/>
      <c r="HHS68" s="15"/>
      <c r="HHT68" s="15"/>
      <c r="HHU68" s="15"/>
      <c r="HHV68" s="15"/>
      <c r="HHW68" s="15"/>
      <c r="HHX68" s="15"/>
      <c r="HHY68" s="15"/>
      <c r="HHZ68" s="15"/>
      <c r="HIA68" s="15"/>
      <c r="HIB68" s="15"/>
      <c r="HIC68" s="15"/>
      <c r="HID68" s="15"/>
      <c r="HIE68" s="15"/>
      <c r="HIF68" s="15"/>
      <c r="HIG68" s="15"/>
      <c r="HIH68" s="15"/>
      <c r="HII68" s="15"/>
      <c r="HIJ68" s="15"/>
      <c r="HIK68" s="15"/>
      <c r="HIL68" s="15"/>
      <c r="HIM68" s="15"/>
      <c r="HIN68" s="15"/>
      <c r="HIO68" s="15"/>
      <c r="HIP68" s="15"/>
      <c r="HIQ68" s="15"/>
      <c r="HIR68" s="15"/>
      <c r="HIS68" s="15"/>
      <c r="HIT68" s="15"/>
      <c r="HIU68" s="15"/>
      <c r="HIV68" s="15"/>
      <c r="HIW68" s="15"/>
      <c r="HIX68" s="15"/>
      <c r="HIY68" s="15"/>
      <c r="HIZ68" s="15"/>
      <c r="HJA68" s="15"/>
      <c r="HJB68" s="15"/>
      <c r="HJC68" s="15"/>
      <c r="HJD68" s="15"/>
      <c r="HJE68" s="15"/>
      <c r="HJF68" s="15"/>
      <c r="HJG68" s="15"/>
      <c r="HJH68" s="15"/>
      <c r="HJI68" s="15"/>
      <c r="HJJ68" s="15"/>
      <c r="HJK68" s="15"/>
      <c r="HJL68" s="15"/>
      <c r="HJM68" s="15"/>
      <c r="HJN68" s="15"/>
      <c r="HJO68" s="15"/>
      <c r="HJP68" s="15"/>
      <c r="HJQ68" s="15"/>
      <c r="HJR68" s="15"/>
      <c r="HJS68" s="15"/>
      <c r="HJT68" s="15"/>
      <c r="HJU68" s="15"/>
      <c r="HJV68" s="15"/>
      <c r="HJW68" s="15"/>
      <c r="HJX68" s="15"/>
      <c r="HJY68" s="15"/>
      <c r="HJZ68" s="15"/>
      <c r="HKA68" s="15"/>
      <c r="HKB68" s="15"/>
      <c r="HKC68" s="15"/>
      <c r="HKD68" s="15"/>
      <c r="HKE68" s="15"/>
      <c r="HKF68" s="15"/>
      <c r="HKG68" s="15"/>
      <c r="HKH68" s="15"/>
      <c r="HKI68" s="15"/>
      <c r="HKJ68" s="15"/>
      <c r="HKK68" s="15"/>
      <c r="HKL68" s="15"/>
      <c r="HKM68" s="15"/>
      <c r="HKN68" s="15"/>
      <c r="HKO68" s="15"/>
      <c r="HKP68" s="15"/>
      <c r="HKQ68" s="15"/>
      <c r="HKR68" s="15"/>
      <c r="HKS68" s="15"/>
      <c r="HKT68" s="15"/>
      <c r="HKU68" s="15"/>
      <c r="HKV68" s="15"/>
      <c r="HKW68" s="15"/>
      <c r="HKX68" s="15"/>
      <c r="HKY68" s="15"/>
      <c r="HKZ68" s="15"/>
      <c r="HLA68" s="15"/>
      <c r="HLB68" s="15"/>
      <c r="HLC68" s="15"/>
      <c r="HLD68" s="15"/>
      <c r="HLE68" s="15"/>
      <c r="HLF68" s="15"/>
      <c r="HLG68" s="15"/>
      <c r="HLH68" s="15"/>
      <c r="HLI68" s="15"/>
      <c r="HLJ68" s="15"/>
      <c r="HLK68" s="15"/>
      <c r="HLL68" s="15"/>
      <c r="HLM68" s="15"/>
      <c r="HLN68" s="15"/>
      <c r="HLO68" s="15"/>
      <c r="HLP68" s="15"/>
      <c r="HLQ68" s="15"/>
      <c r="HLR68" s="15"/>
      <c r="HLS68" s="15"/>
      <c r="HLT68" s="15"/>
      <c r="HLU68" s="15"/>
      <c r="HLV68" s="15"/>
      <c r="HLW68" s="15"/>
      <c r="HLX68" s="15"/>
      <c r="HLY68" s="15"/>
      <c r="HLZ68" s="15"/>
      <c r="HMA68" s="15"/>
      <c r="HMB68" s="15"/>
      <c r="HMC68" s="15"/>
      <c r="HMD68" s="15"/>
      <c r="HME68" s="15"/>
      <c r="HMF68" s="15"/>
      <c r="HMG68" s="15"/>
      <c r="HMH68" s="15"/>
      <c r="HMI68" s="15"/>
      <c r="HMJ68" s="15"/>
      <c r="HMK68" s="15"/>
      <c r="HML68" s="15"/>
      <c r="HMM68" s="15"/>
      <c r="HMN68" s="15"/>
      <c r="HMO68" s="15"/>
      <c r="HMP68" s="15"/>
      <c r="HMQ68" s="15"/>
      <c r="HMR68" s="15"/>
      <c r="HMS68" s="15"/>
      <c r="HMT68" s="15"/>
      <c r="HMU68" s="15"/>
      <c r="HMV68" s="15"/>
      <c r="HMW68" s="15"/>
      <c r="HMX68" s="15"/>
      <c r="HMY68" s="15"/>
      <c r="HMZ68" s="15"/>
      <c r="HNA68" s="15"/>
      <c r="HNB68" s="15"/>
      <c r="HNC68" s="15"/>
      <c r="HND68" s="15"/>
      <c r="HNE68" s="15"/>
      <c r="HNF68" s="15"/>
      <c r="HNG68" s="15"/>
      <c r="HNH68" s="15"/>
      <c r="HNI68" s="15"/>
      <c r="HNJ68" s="15"/>
      <c r="HNK68" s="15"/>
      <c r="HNL68" s="15"/>
      <c r="HNM68" s="15"/>
      <c r="HNN68" s="15"/>
      <c r="HNO68" s="15"/>
      <c r="HNP68" s="15"/>
      <c r="HNQ68" s="15"/>
      <c r="HNR68" s="15"/>
      <c r="HNS68" s="15"/>
      <c r="HNT68" s="15"/>
      <c r="HNU68" s="15"/>
      <c r="HNV68" s="15"/>
      <c r="HNW68" s="15"/>
      <c r="HNX68" s="15"/>
      <c r="HNY68" s="15"/>
      <c r="HNZ68" s="15"/>
      <c r="HOA68" s="15"/>
      <c r="HOB68" s="15"/>
      <c r="HOC68" s="15"/>
      <c r="HOD68" s="15"/>
      <c r="HOE68" s="15"/>
      <c r="HOF68" s="15"/>
      <c r="HOG68" s="15"/>
      <c r="HOH68" s="15"/>
      <c r="HOI68" s="15"/>
      <c r="HOJ68" s="15"/>
      <c r="HOK68" s="15"/>
      <c r="HOL68" s="15"/>
      <c r="HOM68" s="15"/>
      <c r="HON68" s="15"/>
      <c r="HOO68" s="15"/>
      <c r="HOP68" s="15"/>
      <c r="HOQ68" s="15"/>
      <c r="HOR68" s="15"/>
      <c r="HOS68" s="15"/>
      <c r="HOT68" s="15"/>
      <c r="HOU68" s="15"/>
      <c r="HOV68" s="15"/>
      <c r="HOW68" s="15"/>
      <c r="HOX68" s="15"/>
      <c r="HOY68" s="15"/>
      <c r="HOZ68" s="15"/>
      <c r="HPA68" s="15"/>
      <c r="HPB68" s="15"/>
      <c r="HPC68" s="15"/>
      <c r="HPD68" s="15"/>
      <c r="HPE68" s="15"/>
      <c r="HPF68" s="15"/>
      <c r="HPG68" s="15"/>
      <c r="HPH68" s="15"/>
      <c r="HPI68" s="15"/>
      <c r="HPJ68" s="15"/>
      <c r="HPK68" s="15"/>
      <c r="HPL68" s="15"/>
      <c r="HPM68" s="15"/>
      <c r="HPN68" s="15"/>
      <c r="HPO68" s="15"/>
      <c r="HPP68" s="15"/>
      <c r="HPQ68" s="15"/>
      <c r="HPR68" s="15"/>
      <c r="HPS68" s="15"/>
      <c r="HPT68" s="15"/>
      <c r="HPU68" s="15"/>
      <c r="HPV68" s="15"/>
      <c r="HPW68" s="15"/>
      <c r="HPX68" s="15"/>
      <c r="HPY68" s="15"/>
      <c r="HPZ68" s="15"/>
      <c r="HQA68" s="15"/>
      <c r="HQB68" s="15"/>
      <c r="HQC68" s="15"/>
      <c r="HQD68" s="15"/>
      <c r="HQE68" s="15"/>
      <c r="HQF68" s="15"/>
      <c r="HQG68" s="15"/>
      <c r="HQH68" s="15"/>
      <c r="HQI68" s="15"/>
      <c r="HQJ68" s="15"/>
      <c r="HQK68" s="15"/>
      <c r="HQL68" s="15"/>
      <c r="HQM68" s="15"/>
      <c r="HQN68" s="15"/>
      <c r="HQO68" s="15"/>
      <c r="HQP68" s="15"/>
      <c r="HQQ68" s="15"/>
      <c r="HQR68" s="15"/>
      <c r="HQS68" s="15"/>
      <c r="HQT68" s="15"/>
      <c r="HQU68" s="15"/>
      <c r="HQV68" s="15"/>
      <c r="HQW68" s="15"/>
      <c r="HQX68" s="15"/>
      <c r="HQY68" s="15"/>
      <c r="HQZ68" s="15"/>
      <c r="HRA68" s="15"/>
      <c r="HRB68" s="15"/>
      <c r="HRC68" s="15"/>
      <c r="HRD68" s="15"/>
      <c r="HRE68" s="15"/>
      <c r="HRF68" s="15"/>
      <c r="HRG68" s="15"/>
      <c r="HRH68" s="15"/>
      <c r="HRI68" s="15"/>
      <c r="HRJ68" s="15"/>
      <c r="HRK68" s="15"/>
      <c r="HRL68" s="15"/>
      <c r="HRM68" s="15"/>
      <c r="HRN68" s="15"/>
      <c r="HRO68" s="15"/>
      <c r="HRP68" s="15"/>
      <c r="HRQ68" s="15"/>
      <c r="HRR68" s="15"/>
      <c r="HRS68" s="15"/>
      <c r="HRT68" s="15"/>
      <c r="HRU68" s="15"/>
      <c r="HRV68" s="15"/>
      <c r="HRW68" s="15"/>
      <c r="HRX68" s="15"/>
      <c r="HRY68" s="15"/>
      <c r="HRZ68" s="15"/>
      <c r="HSA68" s="15"/>
      <c r="HSB68" s="15"/>
      <c r="HSC68" s="15"/>
      <c r="HSD68" s="15"/>
      <c r="HSE68" s="15"/>
      <c r="HSF68" s="15"/>
      <c r="HSG68" s="15"/>
      <c r="HSH68" s="15"/>
      <c r="HSI68" s="15"/>
      <c r="HSJ68" s="15"/>
      <c r="HSK68" s="15"/>
      <c r="HSL68" s="15"/>
      <c r="HSM68" s="15"/>
      <c r="HSN68" s="15"/>
      <c r="HSO68" s="15"/>
      <c r="HSP68" s="15"/>
      <c r="HSQ68" s="15"/>
      <c r="HSR68" s="15"/>
      <c r="HSS68" s="15"/>
      <c r="HST68" s="15"/>
      <c r="HSU68" s="15"/>
      <c r="HSV68" s="15"/>
      <c r="HSW68" s="15"/>
      <c r="HSX68" s="15"/>
      <c r="HSY68" s="15"/>
      <c r="HSZ68" s="15"/>
      <c r="HTA68" s="15"/>
      <c r="HTB68" s="15"/>
      <c r="HTC68" s="15"/>
      <c r="HTD68" s="15"/>
      <c r="HTE68" s="15"/>
      <c r="HTF68" s="15"/>
      <c r="HTG68" s="15"/>
      <c r="HTH68" s="15"/>
      <c r="HTI68" s="15"/>
      <c r="HTJ68" s="15"/>
      <c r="HTK68" s="15"/>
      <c r="HTL68" s="15"/>
      <c r="HTM68" s="15"/>
      <c r="HTN68" s="15"/>
      <c r="HTO68" s="15"/>
      <c r="HTP68" s="15"/>
      <c r="HTQ68" s="15"/>
      <c r="HTR68" s="15"/>
      <c r="HTS68" s="15"/>
      <c r="HTT68" s="15"/>
      <c r="HTU68" s="15"/>
      <c r="HTV68" s="15"/>
      <c r="HTW68" s="15"/>
      <c r="HTX68" s="15"/>
      <c r="HTY68" s="15"/>
      <c r="HTZ68" s="15"/>
      <c r="HUA68" s="15"/>
      <c r="HUB68" s="15"/>
      <c r="HUC68" s="15"/>
      <c r="HUD68" s="15"/>
      <c r="HUE68" s="15"/>
      <c r="HUF68" s="15"/>
      <c r="HUG68" s="15"/>
      <c r="HUH68" s="15"/>
      <c r="HUI68" s="15"/>
      <c r="HUJ68" s="15"/>
      <c r="HUK68" s="15"/>
      <c r="HUL68" s="15"/>
      <c r="HUM68" s="15"/>
      <c r="HUN68" s="15"/>
      <c r="HUO68" s="15"/>
      <c r="HUP68" s="15"/>
      <c r="HUQ68" s="15"/>
      <c r="HUR68" s="15"/>
      <c r="HUS68" s="15"/>
      <c r="HUT68" s="15"/>
      <c r="HUU68" s="15"/>
      <c r="HUV68" s="15"/>
      <c r="HUW68" s="15"/>
      <c r="HUX68" s="15"/>
      <c r="HUY68" s="15"/>
      <c r="HUZ68" s="15"/>
      <c r="HVA68" s="15"/>
      <c r="HVB68" s="15"/>
      <c r="HVC68" s="15"/>
      <c r="HVD68" s="15"/>
      <c r="HVE68" s="15"/>
      <c r="HVF68" s="15"/>
      <c r="HVG68" s="15"/>
      <c r="HVH68" s="15"/>
      <c r="HVI68" s="15"/>
      <c r="HVJ68" s="15"/>
      <c r="HVK68" s="15"/>
      <c r="HVL68" s="15"/>
      <c r="HVM68" s="15"/>
      <c r="HVN68" s="15"/>
      <c r="HVO68" s="15"/>
      <c r="HVP68" s="15"/>
      <c r="HVQ68" s="15"/>
      <c r="HVR68" s="15"/>
      <c r="HVS68" s="15"/>
      <c r="HVT68" s="15"/>
      <c r="HVU68" s="15"/>
      <c r="HVV68" s="15"/>
      <c r="HVW68" s="15"/>
      <c r="HVX68" s="15"/>
      <c r="HVY68" s="15"/>
      <c r="HVZ68" s="15"/>
      <c r="HWA68" s="15"/>
      <c r="HWB68" s="15"/>
      <c r="HWC68" s="15"/>
      <c r="HWD68" s="15"/>
      <c r="HWE68" s="15"/>
      <c r="HWF68" s="15"/>
      <c r="HWG68" s="15"/>
      <c r="HWH68" s="15"/>
      <c r="HWI68" s="15"/>
      <c r="HWJ68" s="15"/>
      <c r="HWK68" s="15"/>
      <c r="HWL68" s="15"/>
      <c r="HWM68" s="15"/>
      <c r="HWN68" s="15"/>
      <c r="HWO68" s="15"/>
      <c r="HWP68" s="15"/>
      <c r="HWQ68" s="15"/>
      <c r="HWR68" s="15"/>
      <c r="HWS68" s="15"/>
      <c r="HWT68" s="15"/>
      <c r="HWU68" s="15"/>
      <c r="HWV68" s="15"/>
      <c r="HWW68" s="15"/>
      <c r="HWX68" s="15"/>
      <c r="HWY68" s="15"/>
      <c r="HWZ68" s="15"/>
      <c r="HXA68" s="15"/>
      <c r="HXB68" s="15"/>
      <c r="HXC68" s="15"/>
      <c r="HXD68" s="15"/>
      <c r="HXE68" s="15"/>
      <c r="HXF68" s="15"/>
      <c r="HXG68" s="15"/>
      <c r="HXH68" s="15"/>
      <c r="HXI68" s="15"/>
      <c r="HXJ68" s="15"/>
      <c r="HXK68" s="15"/>
      <c r="HXL68" s="15"/>
      <c r="HXM68" s="15"/>
      <c r="HXN68" s="15"/>
      <c r="HXO68" s="15"/>
      <c r="HXP68" s="15"/>
      <c r="HXQ68" s="15"/>
      <c r="HXR68" s="15"/>
      <c r="HXS68" s="15"/>
      <c r="HXT68" s="15"/>
      <c r="HXU68" s="15"/>
      <c r="HXV68" s="15"/>
      <c r="HXW68" s="15"/>
      <c r="HXX68" s="15"/>
      <c r="HXY68" s="15"/>
      <c r="HXZ68" s="15"/>
      <c r="HYA68" s="15"/>
      <c r="HYB68" s="15"/>
      <c r="HYC68" s="15"/>
      <c r="HYD68" s="15"/>
      <c r="HYE68" s="15"/>
      <c r="HYF68" s="15"/>
      <c r="HYG68" s="15"/>
      <c r="HYH68" s="15"/>
      <c r="HYI68" s="15"/>
      <c r="HYJ68" s="15"/>
      <c r="HYK68" s="15"/>
      <c r="HYL68" s="15"/>
      <c r="HYM68" s="15"/>
      <c r="HYN68" s="15"/>
      <c r="HYO68" s="15"/>
      <c r="HYP68" s="15"/>
      <c r="HYQ68" s="15"/>
      <c r="HYR68" s="15"/>
      <c r="HYS68" s="15"/>
      <c r="HYT68" s="15"/>
      <c r="HYU68" s="15"/>
      <c r="HYV68" s="15"/>
      <c r="HYW68" s="15"/>
      <c r="HYX68" s="15"/>
      <c r="HYY68" s="15"/>
      <c r="HYZ68" s="15"/>
      <c r="HZA68" s="15"/>
      <c r="HZB68" s="15"/>
      <c r="HZC68" s="15"/>
      <c r="HZD68" s="15"/>
      <c r="HZE68" s="15"/>
      <c r="HZF68" s="15"/>
      <c r="HZG68" s="15"/>
      <c r="HZH68" s="15"/>
      <c r="HZI68" s="15"/>
      <c r="HZJ68" s="15"/>
      <c r="HZK68" s="15"/>
      <c r="HZL68" s="15"/>
      <c r="HZM68" s="15"/>
      <c r="HZN68" s="15"/>
      <c r="HZO68" s="15"/>
      <c r="HZP68" s="15"/>
      <c r="HZQ68" s="15"/>
      <c r="HZR68" s="15"/>
      <c r="HZS68" s="15"/>
      <c r="HZT68" s="15"/>
      <c r="HZU68" s="15"/>
      <c r="HZV68" s="15"/>
      <c r="HZW68" s="15"/>
      <c r="HZX68" s="15"/>
      <c r="HZY68" s="15"/>
      <c r="HZZ68" s="15"/>
      <c r="IAA68" s="15"/>
      <c r="IAB68" s="15"/>
      <c r="IAC68" s="15"/>
      <c r="IAD68" s="15"/>
      <c r="IAE68" s="15"/>
      <c r="IAF68" s="15"/>
      <c r="IAG68" s="15"/>
      <c r="IAH68" s="15"/>
      <c r="IAI68" s="15"/>
      <c r="IAJ68" s="15"/>
      <c r="IAK68" s="15"/>
      <c r="IAL68" s="15"/>
      <c r="IAM68" s="15"/>
      <c r="IAN68" s="15"/>
      <c r="IAO68" s="15"/>
      <c r="IAP68" s="15"/>
      <c r="IAQ68" s="15"/>
      <c r="IAR68" s="15"/>
      <c r="IAS68" s="15"/>
      <c r="IAT68" s="15"/>
      <c r="IAU68" s="15"/>
      <c r="IAV68" s="15"/>
      <c r="IAW68" s="15"/>
      <c r="IAX68" s="15"/>
      <c r="IAY68" s="15"/>
      <c r="IAZ68" s="15"/>
      <c r="IBA68" s="15"/>
      <c r="IBB68" s="15"/>
      <c r="IBC68" s="15"/>
      <c r="IBD68" s="15"/>
      <c r="IBE68" s="15"/>
      <c r="IBF68" s="15"/>
      <c r="IBG68" s="15"/>
      <c r="IBH68" s="15"/>
      <c r="IBI68" s="15"/>
      <c r="IBJ68" s="15"/>
      <c r="IBK68" s="15"/>
      <c r="IBL68" s="15"/>
      <c r="IBM68" s="15"/>
      <c r="IBN68" s="15"/>
      <c r="IBO68" s="15"/>
      <c r="IBP68" s="15"/>
      <c r="IBQ68" s="15"/>
      <c r="IBR68" s="15"/>
      <c r="IBS68" s="15"/>
      <c r="IBT68" s="15"/>
      <c r="IBU68" s="15"/>
      <c r="IBV68" s="15"/>
      <c r="IBW68" s="15"/>
      <c r="IBX68" s="15"/>
      <c r="IBY68" s="15"/>
      <c r="IBZ68" s="15"/>
      <c r="ICA68" s="15"/>
      <c r="ICB68" s="15"/>
      <c r="ICC68" s="15"/>
      <c r="ICD68" s="15"/>
      <c r="ICE68" s="15"/>
      <c r="ICF68" s="15"/>
      <c r="ICG68" s="15"/>
      <c r="ICH68" s="15"/>
      <c r="ICI68" s="15"/>
      <c r="ICJ68" s="15"/>
      <c r="ICK68" s="15"/>
      <c r="ICL68" s="15"/>
      <c r="ICM68" s="15"/>
      <c r="ICN68" s="15"/>
      <c r="ICO68" s="15"/>
      <c r="ICP68" s="15"/>
      <c r="ICQ68" s="15"/>
      <c r="ICR68" s="15"/>
      <c r="ICS68" s="15"/>
      <c r="ICT68" s="15"/>
      <c r="ICU68" s="15"/>
      <c r="ICV68" s="15"/>
      <c r="ICW68" s="15"/>
      <c r="ICX68" s="15"/>
      <c r="ICY68" s="15"/>
      <c r="ICZ68" s="15"/>
      <c r="IDA68" s="15"/>
      <c r="IDB68" s="15"/>
      <c r="IDC68" s="15"/>
      <c r="IDD68" s="15"/>
      <c r="IDE68" s="15"/>
      <c r="IDF68" s="15"/>
      <c r="IDG68" s="15"/>
      <c r="IDH68" s="15"/>
      <c r="IDI68" s="15"/>
      <c r="IDJ68" s="15"/>
      <c r="IDK68" s="15"/>
      <c r="IDL68" s="15"/>
      <c r="IDM68" s="15"/>
      <c r="IDN68" s="15"/>
      <c r="IDO68" s="15"/>
      <c r="IDP68" s="15"/>
      <c r="IDQ68" s="15"/>
      <c r="IDR68" s="15"/>
      <c r="IDS68" s="15"/>
      <c r="IDT68" s="15"/>
      <c r="IDU68" s="15"/>
      <c r="IDV68" s="15"/>
      <c r="IDW68" s="15"/>
      <c r="IDX68" s="15"/>
      <c r="IDY68" s="15"/>
      <c r="IDZ68" s="15"/>
      <c r="IEA68" s="15"/>
      <c r="IEB68" s="15"/>
      <c r="IEC68" s="15"/>
      <c r="IED68" s="15"/>
      <c r="IEE68" s="15"/>
      <c r="IEF68" s="15"/>
      <c r="IEG68" s="15"/>
      <c r="IEH68" s="15"/>
      <c r="IEI68" s="15"/>
      <c r="IEJ68" s="15"/>
      <c r="IEK68" s="15"/>
      <c r="IEL68" s="15"/>
      <c r="IEM68" s="15"/>
      <c r="IEN68" s="15"/>
      <c r="IEO68" s="15"/>
      <c r="IEP68" s="15"/>
      <c r="IEQ68" s="15"/>
      <c r="IER68" s="15"/>
      <c r="IES68" s="15"/>
      <c r="IET68" s="15"/>
      <c r="IEU68" s="15"/>
      <c r="IEV68" s="15"/>
      <c r="IEW68" s="15"/>
      <c r="IEX68" s="15"/>
      <c r="IEY68" s="15"/>
      <c r="IEZ68" s="15"/>
      <c r="IFA68" s="15"/>
      <c r="IFB68" s="15"/>
      <c r="IFC68" s="15"/>
      <c r="IFD68" s="15"/>
      <c r="IFE68" s="15"/>
      <c r="IFF68" s="15"/>
      <c r="IFG68" s="15"/>
      <c r="IFH68" s="15"/>
      <c r="IFI68" s="15"/>
      <c r="IFJ68" s="15"/>
      <c r="IFK68" s="15"/>
      <c r="IFL68" s="15"/>
      <c r="IFM68" s="15"/>
      <c r="IFN68" s="15"/>
      <c r="IFO68" s="15"/>
      <c r="IFP68" s="15"/>
      <c r="IFQ68" s="15"/>
      <c r="IFR68" s="15"/>
      <c r="IFS68" s="15"/>
      <c r="IFT68" s="15"/>
      <c r="IFU68" s="15"/>
      <c r="IFV68" s="15"/>
      <c r="IFW68" s="15"/>
      <c r="IFX68" s="15"/>
      <c r="IFY68" s="15"/>
      <c r="IFZ68" s="15"/>
      <c r="IGA68" s="15"/>
      <c r="IGB68" s="15"/>
      <c r="IGC68" s="15"/>
      <c r="IGD68" s="15"/>
      <c r="IGE68" s="15"/>
      <c r="IGF68" s="15"/>
      <c r="IGG68" s="15"/>
      <c r="IGH68" s="15"/>
      <c r="IGI68" s="15"/>
      <c r="IGJ68" s="15"/>
      <c r="IGK68" s="15"/>
      <c r="IGL68" s="15"/>
      <c r="IGM68" s="15"/>
      <c r="IGN68" s="15"/>
      <c r="IGO68" s="15"/>
      <c r="IGP68" s="15"/>
      <c r="IGQ68" s="15"/>
      <c r="IGR68" s="15"/>
      <c r="IGS68" s="15"/>
      <c r="IGT68" s="15"/>
      <c r="IGU68" s="15"/>
      <c r="IGV68" s="15"/>
      <c r="IGW68" s="15"/>
      <c r="IGX68" s="15"/>
      <c r="IGY68" s="15"/>
      <c r="IGZ68" s="15"/>
      <c r="IHA68" s="15"/>
      <c r="IHB68" s="15"/>
      <c r="IHC68" s="15"/>
      <c r="IHD68" s="15"/>
      <c r="IHE68" s="15"/>
      <c r="IHF68" s="15"/>
      <c r="IHG68" s="15"/>
      <c r="IHH68" s="15"/>
      <c r="IHI68" s="15"/>
      <c r="IHJ68" s="15"/>
      <c r="IHK68" s="15"/>
      <c r="IHL68" s="15"/>
      <c r="IHM68" s="15"/>
      <c r="IHN68" s="15"/>
      <c r="IHO68" s="15"/>
      <c r="IHP68" s="15"/>
      <c r="IHQ68" s="15"/>
      <c r="IHR68" s="15"/>
      <c r="IHS68" s="15"/>
      <c r="IHT68" s="15"/>
      <c r="IHU68" s="15"/>
      <c r="IHV68" s="15"/>
      <c r="IHW68" s="15"/>
      <c r="IHX68" s="15"/>
      <c r="IHY68" s="15"/>
      <c r="IHZ68" s="15"/>
      <c r="IIA68" s="15"/>
      <c r="IIB68" s="15"/>
      <c r="IIC68" s="15"/>
      <c r="IID68" s="15"/>
      <c r="IIE68" s="15"/>
      <c r="IIF68" s="15"/>
      <c r="IIG68" s="15"/>
      <c r="IIH68" s="15"/>
      <c r="III68" s="15"/>
      <c r="IIJ68" s="15"/>
      <c r="IIK68" s="15"/>
      <c r="IIL68" s="15"/>
      <c r="IIM68" s="15"/>
      <c r="IIN68" s="15"/>
      <c r="IIO68" s="15"/>
      <c r="IIP68" s="15"/>
      <c r="IIQ68" s="15"/>
      <c r="IIR68" s="15"/>
      <c r="IIS68" s="15"/>
      <c r="IIT68" s="15"/>
      <c r="IIU68" s="15"/>
      <c r="IIV68" s="15"/>
      <c r="IIW68" s="15"/>
      <c r="IIX68" s="15"/>
      <c r="IIY68" s="15"/>
      <c r="IIZ68" s="15"/>
      <c r="IJA68" s="15"/>
      <c r="IJB68" s="15"/>
      <c r="IJC68" s="15"/>
      <c r="IJD68" s="15"/>
      <c r="IJE68" s="15"/>
      <c r="IJF68" s="15"/>
      <c r="IJG68" s="15"/>
      <c r="IJH68" s="15"/>
      <c r="IJI68" s="15"/>
      <c r="IJJ68" s="15"/>
      <c r="IJK68" s="15"/>
      <c r="IJL68" s="15"/>
      <c r="IJM68" s="15"/>
      <c r="IJN68" s="15"/>
      <c r="IJO68" s="15"/>
      <c r="IJP68" s="15"/>
      <c r="IJQ68" s="15"/>
      <c r="IJR68" s="15"/>
      <c r="IJS68" s="15"/>
      <c r="IJT68" s="15"/>
      <c r="IJU68" s="15"/>
      <c r="IJV68" s="15"/>
      <c r="IJW68" s="15"/>
      <c r="IJX68" s="15"/>
      <c r="IJY68" s="15"/>
      <c r="IJZ68" s="15"/>
      <c r="IKA68" s="15"/>
      <c r="IKB68" s="15"/>
      <c r="IKC68" s="15"/>
      <c r="IKD68" s="15"/>
      <c r="IKE68" s="15"/>
      <c r="IKF68" s="15"/>
      <c r="IKG68" s="15"/>
      <c r="IKH68" s="15"/>
      <c r="IKI68" s="15"/>
      <c r="IKJ68" s="15"/>
      <c r="IKK68" s="15"/>
      <c r="IKL68" s="15"/>
      <c r="IKM68" s="15"/>
      <c r="IKN68" s="15"/>
      <c r="IKO68" s="15"/>
      <c r="IKP68" s="15"/>
      <c r="IKQ68" s="15"/>
      <c r="IKR68" s="15"/>
      <c r="IKS68" s="15"/>
      <c r="IKT68" s="15"/>
      <c r="IKU68" s="15"/>
      <c r="IKV68" s="15"/>
      <c r="IKW68" s="15"/>
      <c r="IKX68" s="15"/>
      <c r="IKY68" s="15"/>
      <c r="IKZ68" s="15"/>
      <c r="ILA68" s="15"/>
      <c r="ILB68" s="15"/>
      <c r="ILC68" s="15"/>
      <c r="ILD68" s="15"/>
      <c r="ILE68" s="15"/>
      <c r="ILF68" s="15"/>
      <c r="ILG68" s="15"/>
      <c r="ILH68" s="15"/>
      <c r="ILI68" s="15"/>
      <c r="ILJ68" s="15"/>
      <c r="ILK68" s="15"/>
      <c r="ILL68" s="15"/>
      <c r="ILM68" s="15"/>
      <c r="ILN68" s="15"/>
      <c r="ILO68" s="15"/>
      <c r="ILP68" s="15"/>
      <c r="ILQ68" s="15"/>
      <c r="ILR68" s="15"/>
      <c r="ILS68" s="15"/>
      <c r="ILT68" s="15"/>
      <c r="ILU68" s="15"/>
      <c r="ILV68" s="15"/>
      <c r="ILW68" s="15"/>
      <c r="ILX68" s="15"/>
      <c r="ILY68" s="15"/>
      <c r="ILZ68" s="15"/>
      <c r="IMA68" s="15"/>
      <c r="IMB68" s="15"/>
      <c r="IMC68" s="15"/>
      <c r="IMD68" s="15"/>
      <c r="IME68" s="15"/>
      <c r="IMF68" s="15"/>
      <c r="IMG68" s="15"/>
      <c r="IMH68" s="15"/>
      <c r="IMI68" s="15"/>
      <c r="IMJ68" s="15"/>
      <c r="IMK68" s="15"/>
      <c r="IML68" s="15"/>
      <c r="IMM68" s="15"/>
      <c r="IMN68" s="15"/>
      <c r="IMO68" s="15"/>
      <c r="IMP68" s="15"/>
      <c r="IMQ68" s="15"/>
      <c r="IMR68" s="15"/>
      <c r="IMS68" s="15"/>
      <c r="IMT68" s="15"/>
      <c r="IMU68" s="15"/>
      <c r="IMV68" s="15"/>
      <c r="IMW68" s="15"/>
      <c r="IMX68" s="15"/>
      <c r="IMY68" s="15"/>
      <c r="IMZ68" s="15"/>
      <c r="INA68" s="15"/>
      <c r="INB68" s="15"/>
      <c r="INC68" s="15"/>
      <c r="IND68" s="15"/>
      <c r="INE68" s="15"/>
      <c r="INF68" s="15"/>
      <c r="ING68" s="15"/>
      <c r="INH68" s="15"/>
      <c r="INI68" s="15"/>
      <c r="INJ68" s="15"/>
      <c r="INK68" s="15"/>
      <c r="INL68" s="15"/>
      <c r="INM68" s="15"/>
      <c r="INN68" s="15"/>
      <c r="INO68" s="15"/>
      <c r="INP68" s="15"/>
      <c r="INQ68" s="15"/>
      <c r="INR68" s="15"/>
      <c r="INS68" s="15"/>
      <c r="INT68" s="15"/>
      <c r="INU68" s="15"/>
      <c r="INV68" s="15"/>
      <c r="INW68" s="15"/>
      <c r="INX68" s="15"/>
      <c r="INY68" s="15"/>
      <c r="INZ68" s="15"/>
      <c r="IOA68" s="15"/>
      <c r="IOB68" s="15"/>
      <c r="IOC68" s="15"/>
      <c r="IOD68" s="15"/>
      <c r="IOE68" s="15"/>
      <c r="IOF68" s="15"/>
      <c r="IOG68" s="15"/>
      <c r="IOH68" s="15"/>
      <c r="IOI68" s="15"/>
      <c r="IOJ68" s="15"/>
      <c r="IOK68" s="15"/>
      <c r="IOL68" s="15"/>
      <c r="IOM68" s="15"/>
      <c r="ION68" s="15"/>
      <c r="IOO68" s="15"/>
      <c r="IOP68" s="15"/>
      <c r="IOQ68" s="15"/>
      <c r="IOR68" s="15"/>
      <c r="IOS68" s="15"/>
      <c r="IOT68" s="15"/>
      <c r="IOU68" s="15"/>
      <c r="IOV68" s="15"/>
      <c r="IOW68" s="15"/>
      <c r="IOX68" s="15"/>
      <c r="IOY68" s="15"/>
      <c r="IOZ68" s="15"/>
      <c r="IPA68" s="15"/>
      <c r="IPB68" s="15"/>
      <c r="IPC68" s="15"/>
      <c r="IPD68" s="15"/>
      <c r="IPE68" s="15"/>
      <c r="IPF68" s="15"/>
      <c r="IPG68" s="15"/>
      <c r="IPH68" s="15"/>
      <c r="IPI68" s="15"/>
      <c r="IPJ68" s="15"/>
      <c r="IPK68" s="15"/>
      <c r="IPL68" s="15"/>
      <c r="IPM68" s="15"/>
      <c r="IPN68" s="15"/>
      <c r="IPO68" s="15"/>
      <c r="IPP68" s="15"/>
      <c r="IPQ68" s="15"/>
      <c r="IPR68" s="15"/>
      <c r="IPS68" s="15"/>
      <c r="IPT68" s="15"/>
      <c r="IPU68" s="15"/>
      <c r="IPV68" s="15"/>
      <c r="IPW68" s="15"/>
      <c r="IPX68" s="15"/>
      <c r="IPY68" s="15"/>
      <c r="IPZ68" s="15"/>
      <c r="IQA68" s="15"/>
      <c r="IQB68" s="15"/>
      <c r="IQC68" s="15"/>
      <c r="IQD68" s="15"/>
      <c r="IQE68" s="15"/>
      <c r="IQF68" s="15"/>
      <c r="IQG68" s="15"/>
      <c r="IQH68" s="15"/>
      <c r="IQI68" s="15"/>
      <c r="IQJ68" s="15"/>
      <c r="IQK68" s="15"/>
      <c r="IQL68" s="15"/>
      <c r="IQM68" s="15"/>
      <c r="IQN68" s="15"/>
      <c r="IQO68" s="15"/>
      <c r="IQP68" s="15"/>
      <c r="IQQ68" s="15"/>
      <c r="IQR68" s="15"/>
      <c r="IQS68" s="15"/>
      <c r="IQT68" s="15"/>
      <c r="IQU68" s="15"/>
      <c r="IQV68" s="15"/>
      <c r="IQW68" s="15"/>
      <c r="IQX68" s="15"/>
      <c r="IQY68" s="15"/>
      <c r="IQZ68" s="15"/>
      <c r="IRA68" s="15"/>
      <c r="IRB68" s="15"/>
      <c r="IRC68" s="15"/>
      <c r="IRD68" s="15"/>
      <c r="IRE68" s="15"/>
      <c r="IRF68" s="15"/>
      <c r="IRG68" s="15"/>
      <c r="IRH68" s="15"/>
      <c r="IRI68" s="15"/>
      <c r="IRJ68" s="15"/>
      <c r="IRK68" s="15"/>
      <c r="IRL68" s="15"/>
      <c r="IRM68" s="15"/>
      <c r="IRN68" s="15"/>
      <c r="IRO68" s="15"/>
      <c r="IRP68" s="15"/>
      <c r="IRQ68" s="15"/>
      <c r="IRR68" s="15"/>
      <c r="IRS68" s="15"/>
      <c r="IRT68" s="15"/>
      <c r="IRU68" s="15"/>
      <c r="IRV68" s="15"/>
      <c r="IRW68" s="15"/>
      <c r="IRX68" s="15"/>
      <c r="IRY68" s="15"/>
      <c r="IRZ68" s="15"/>
      <c r="ISA68" s="15"/>
      <c r="ISB68" s="15"/>
      <c r="ISC68" s="15"/>
      <c r="ISD68" s="15"/>
      <c r="ISE68" s="15"/>
      <c r="ISF68" s="15"/>
      <c r="ISG68" s="15"/>
      <c r="ISH68" s="15"/>
      <c r="ISI68" s="15"/>
      <c r="ISJ68" s="15"/>
      <c r="ISK68" s="15"/>
      <c r="ISL68" s="15"/>
      <c r="ISM68" s="15"/>
      <c r="ISN68" s="15"/>
      <c r="ISO68" s="15"/>
      <c r="ISP68" s="15"/>
      <c r="ISQ68" s="15"/>
      <c r="ISR68" s="15"/>
      <c r="ISS68" s="15"/>
      <c r="IST68" s="15"/>
      <c r="ISU68" s="15"/>
      <c r="ISV68" s="15"/>
      <c r="ISW68" s="15"/>
      <c r="ISX68" s="15"/>
      <c r="ISY68" s="15"/>
      <c r="ISZ68" s="15"/>
      <c r="ITA68" s="15"/>
      <c r="ITB68" s="15"/>
      <c r="ITC68" s="15"/>
      <c r="ITD68" s="15"/>
      <c r="ITE68" s="15"/>
      <c r="ITF68" s="15"/>
      <c r="ITG68" s="15"/>
      <c r="ITH68" s="15"/>
      <c r="ITI68" s="15"/>
      <c r="ITJ68" s="15"/>
      <c r="ITK68" s="15"/>
      <c r="ITL68" s="15"/>
      <c r="ITM68" s="15"/>
      <c r="ITN68" s="15"/>
      <c r="ITO68" s="15"/>
      <c r="ITP68" s="15"/>
      <c r="ITQ68" s="15"/>
      <c r="ITR68" s="15"/>
      <c r="ITS68" s="15"/>
      <c r="ITT68" s="15"/>
      <c r="ITU68" s="15"/>
      <c r="ITV68" s="15"/>
      <c r="ITW68" s="15"/>
      <c r="ITX68" s="15"/>
      <c r="ITY68" s="15"/>
      <c r="ITZ68" s="15"/>
      <c r="IUA68" s="15"/>
      <c r="IUB68" s="15"/>
      <c r="IUC68" s="15"/>
      <c r="IUD68" s="15"/>
      <c r="IUE68" s="15"/>
      <c r="IUF68" s="15"/>
      <c r="IUG68" s="15"/>
      <c r="IUH68" s="15"/>
      <c r="IUI68" s="15"/>
      <c r="IUJ68" s="15"/>
      <c r="IUK68" s="15"/>
      <c r="IUL68" s="15"/>
      <c r="IUM68" s="15"/>
      <c r="IUN68" s="15"/>
      <c r="IUO68" s="15"/>
      <c r="IUP68" s="15"/>
      <c r="IUQ68" s="15"/>
      <c r="IUR68" s="15"/>
      <c r="IUS68" s="15"/>
      <c r="IUT68" s="15"/>
      <c r="IUU68" s="15"/>
      <c r="IUV68" s="15"/>
      <c r="IUW68" s="15"/>
      <c r="IUX68" s="15"/>
      <c r="IUY68" s="15"/>
      <c r="IUZ68" s="15"/>
      <c r="IVA68" s="15"/>
      <c r="IVB68" s="15"/>
      <c r="IVC68" s="15"/>
      <c r="IVD68" s="15"/>
      <c r="IVE68" s="15"/>
      <c r="IVF68" s="15"/>
      <c r="IVG68" s="15"/>
      <c r="IVH68" s="15"/>
      <c r="IVI68" s="15"/>
      <c r="IVJ68" s="15"/>
      <c r="IVK68" s="15"/>
      <c r="IVL68" s="15"/>
      <c r="IVM68" s="15"/>
      <c r="IVN68" s="15"/>
      <c r="IVO68" s="15"/>
      <c r="IVP68" s="15"/>
      <c r="IVQ68" s="15"/>
      <c r="IVR68" s="15"/>
      <c r="IVS68" s="15"/>
      <c r="IVT68" s="15"/>
      <c r="IVU68" s="15"/>
      <c r="IVV68" s="15"/>
      <c r="IVW68" s="15"/>
      <c r="IVX68" s="15"/>
      <c r="IVY68" s="15"/>
      <c r="IVZ68" s="15"/>
      <c r="IWA68" s="15"/>
      <c r="IWB68" s="15"/>
      <c r="IWC68" s="15"/>
      <c r="IWD68" s="15"/>
      <c r="IWE68" s="15"/>
      <c r="IWF68" s="15"/>
      <c r="IWG68" s="15"/>
      <c r="IWH68" s="15"/>
      <c r="IWI68" s="15"/>
      <c r="IWJ68" s="15"/>
      <c r="IWK68" s="15"/>
      <c r="IWL68" s="15"/>
      <c r="IWM68" s="15"/>
      <c r="IWN68" s="15"/>
      <c r="IWO68" s="15"/>
      <c r="IWP68" s="15"/>
      <c r="IWQ68" s="15"/>
      <c r="IWR68" s="15"/>
      <c r="IWS68" s="15"/>
      <c r="IWT68" s="15"/>
      <c r="IWU68" s="15"/>
      <c r="IWV68" s="15"/>
      <c r="IWW68" s="15"/>
      <c r="IWX68" s="15"/>
      <c r="IWY68" s="15"/>
      <c r="IWZ68" s="15"/>
      <c r="IXA68" s="15"/>
      <c r="IXB68" s="15"/>
      <c r="IXC68" s="15"/>
      <c r="IXD68" s="15"/>
      <c r="IXE68" s="15"/>
      <c r="IXF68" s="15"/>
      <c r="IXG68" s="15"/>
      <c r="IXH68" s="15"/>
      <c r="IXI68" s="15"/>
      <c r="IXJ68" s="15"/>
      <c r="IXK68" s="15"/>
      <c r="IXL68" s="15"/>
      <c r="IXM68" s="15"/>
      <c r="IXN68" s="15"/>
      <c r="IXO68" s="15"/>
      <c r="IXP68" s="15"/>
      <c r="IXQ68" s="15"/>
      <c r="IXR68" s="15"/>
      <c r="IXS68" s="15"/>
      <c r="IXT68" s="15"/>
      <c r="IXU68" s="15"/>
      <c r="IXV68" s="15"/>
      <c r="IXW68" s="15"/>
      <c r="IXX68" s="15"/>
      <c r="IXY68" s="15"/>
      <c r="IXZ68" s="15"/>
      <c r="IYA68" s="15"/>
      <c r="IYB68" s="15"/>
      <c r="IYC68" s="15"/>
      <c r="IYD68" s="15"/>
      <c r="IYE68" s="15"/>
      <c r="IYF68" s="15"/>
      <c r="IYG68" s="15"/>
      <c r="IYH68" s="15"/>
      <c r="IYI68" s="15"/>
      <c r="IYJ68" s="15"/>
      <c r="IYK68" s="15"/>
      <c r="IYL68" s="15"/>
      <c r="IYM68" s="15"/>
      <c r="IYN68" s="15"/>
      <c r="IYO68" s="15"/>
      <c r="IYP68" s="15"/>
      <c r="IYQ68" s="15"/>
      <c r="IYR68" s="15"/>
      <c r="IYS68" s="15"/>
      <c r="IYT68" s="15"/>
      <c r="IYU68" s="15"/>
      <c r="IYV68" s="15"/>
      <c r="IYW68" s="15"/>
      <c r="IYX68" s="15"/>
      <c r="IYY68" s="15"/>
      <c r="IYZ68" s="15"/>
      <c r="IZA68" s="15"/>
      <c r="IZB68" s="15"/>
      <c r="IZC68" s="15"/>
      <c r="IZD68" s="15"/>
      <c r="IZE68" s="15"/>
      <c r="IZF68" s="15"/>
      <c r="IZG68" s="15"/>
      <c r="IZH68" s="15"/>
      <c r="IZI68" s="15"/>
      <c r="IZJ68" s="15"/>
      <c r="IZK68" s="15"/>
      <c r="IZL68" s="15"/>
      <c r="IZM68" s="15"/>
      <c r="IZN68" s="15"/>
      <c r="IZO68" s="15"/>
      <c r="IZP68" s="15"/>
      <c r="IZQ68" s="15"/>
      <c r="IZR68" s="15"/>
      <c r="IZS68" s="15"/>
      <c r="IZT68" s="15"/>
      <c r="IZU68" s="15"/>
      <c r="IZV68" s="15"/>
      <c r="IZW68" s="15"/>
      <c r="IZX68" s="15"/>
      <c r="IZY68" s="15"/>
      <c r="IZZ68" s="15"/>
      <c r="JAA68" s="15"/>
      <c r="JAB68" s="15"/>
      <c r="JAC68" s="15"/>
      <c r="JAD68" s="15"/>
      <c r="JAE68" s="15"/>
      <c r="JAF68" s="15"/>
      <c r="JAG68" s="15"/>
      <c r="JAH68" s="15"/>
      <c r="JAI68" s="15"/>
      <c r="JAJ68" s="15"/>
      <c r="JAK68" s="15"/>
      <c r="JAL68" s="15"/>
      <c r="JAM68" s="15"/>
      <c r="JAN68" s="15"/>
      <c r="JAO68" s="15"/>
      <c r="JAP68" s="15"/>
      <c r="JAQ68" s="15"/>
      <c r="JAR68" s="15"/>
      <c r="JAS68" s="15"/>
      <c r="JAT68" s="15"/>
      <c r="JAU68" s="15"/>
      <c r="JAV68" s="15"/>
      <c r="JAW68" s="15"/>
      <c r="JAX68" s="15"/>
      <c r="JAY68" s="15"/>
      <c r="JAZ68" s="15"/>
      <c r="JBA68" s="15"/>
      <c r="JBB68" s="15"/>
      <c r="JBC68" s="15"/>
      <c r="JBD68" s="15"/>
      <c r="JBE68" s="15"/>
      <c r="JBF68" s="15"/>
      <c r="JBG68" s="15"/>
      <c r="JBH68" s="15"/>
      <c r="JBI68" s="15"/>
      <c r="JBJ68" s="15"/>
      <c r="JBK68" s="15"/>
      <c r="JBL68" s="15"/>
      <c r="JBM68" s="15"/>
      <c r="JBN68" s="15"/>
      <c r="JBO68" s="15"/>
      <c r="JBP68" s="15"/>
      <c r="JBQ68" s="15"/>
      <c r="JBR68" s="15"/>
      <c r="JBS68" s="15"/>
      <c r="JBT68" s="15"/>
      <c r="JBU68" s="15"/>
      <c r="JBV68" s="15"/>
      <c r="JBW68" s="15"/>
      <c r="JBX68" s="15"/>
      <c r="JBY68" s="15"/>
      <c r="JBZ68" s="15"/>
      <c r="JCA68" s="15"/>
      <c r="JCB68" s="15"/>
      <c r="JCC68" s="15"/>
      <c r="JCD68" s="15"/>
      <c r="JCE68" s="15"/>
      <c r="JCF68" s="15"/>
      <c r="JCG68" s="15"/>
      <c r="JCH68" s="15"/>
      <c r="JCI68" s="15"/>
      <c r="JCJ68" s="15"/>
      <c r="JCK68" s="15"/>
      <c r="JCL68" s="15"/>
      <c r="JCM68" s="15"/>
      <c r="JCN68" s="15"/>
      <c r="JCO68" s="15"/>
      <c r="JCP68" s="15"/>
      <c r="JCQ68" s="15"/>
      <c r="JCR68" s="15"/>
      <c r="JCS68" s="15"/>
      <c r="JCT68" s="15"/>
      <c r="JCU68" s="15"/>
      <c r="JCV68" s="15"/>
      <c r="JCW68" s="15"/>
      <c r="JCX68" s="15"/>
      <c r="JCY68" s="15"/>
      <c r="JCZ68" s="15"/>
      <c r="JDA68" s="15"/>
      <c r="JDB68" s="15"/>
      <c r="JDC68" s="15"/>
      <c r="JDD68" s="15"/>
      <c r="JDE68" s="15"/>
      <c r="JDF68" s="15"/>
      <c r="JDG68" s="15"/>
      <c r="JDH68" s="15"/>
      <c r="JDI68" s="15"/>
      <c r="JDJ68" s="15"/>
      <c r="JDK68" s="15"/>
      <c r="JDL68" s="15"/>
      <c r="JDM68" s="15"/>
      <c r="JDN68" s="15"/>
      <c r="JDO68" s="15"/>
      <c r="JDP68" s="15"/>
      <c r="JDQ68" s="15"/>
      <c r="JDR68" s="15"/>
      <c r="JDS68" s="15"/>
      <c r="JDT68" s="15"/>
      <c r="JDU68" s="15"/>
      <c r="JDV68" s="15"/>
      <c r="JDW68" s="15"/>
      <c r="JDX68" s="15"/>
      <c r="JDY68" s="15"/>
      <c r="JDZ68" s="15"/>
      <c r="JEA68" s="15"/>
      <c r="JEB68" s="15"/>
      <c r="JEC68" s="15"/>
      <c r="JED68" s="15"/>
      <c r="JEE68" s="15"/>
      <c r="JEF68" s="15"/>
      <c r="JEG68" s="15"/>
      <c r="JEH68" s="15"/>
      <c r="JEI68" s="15"/>
      <c r="JEJ68" s="15"/>
      <c r="JEK68" s="15"/>
      <c r="JEL68" s="15"/>
      <c r="JEM68" s="15"/>
      <c r="JEN68" s="15"/>
      <c r="JEO68" s="15"/>
      <c r="JEP68" s="15"/>
      <c r="JEQ68" s="15"/>
      <c r="JER68" s="15"/>
      <c r="JES68" s="15"/>
      <c r="JET68" s="15"/>
      <c r="JEU68" s="15"/>
      <c r="JEV68" s="15"/>
      <c r="JEW68" s="15"/>
      <c r="JEX68" s="15"/>
      <c r="JEY68" s="15"/>
      <c r="JEZ68" s="15"/>
      <c r="JFA68" s="15"/>
      <c r="JFB68" s="15"/>
      <c r="JFC68" s="15"/>
      <c r="JFD68" s="15"/>
      <c r="JFE68" s="15"/>
      <c r="JFF68" s="15"/>
      <c r="JFG68" s="15"/>
      <c r="JFH68" s="15"/>
      <c r="JFI68" s="15"/>
      <c r="JFJ68" s="15"/>
      <c r="JFK68" s="15"/>
      <c r="JFL68" s="15"/>
      <c r="JFM68" s="15"/>
      <c r="JFN68" s="15"/>
      <c r="JFO68" s="15"/>
      <c r="JFP68" s="15"/>
      <c r="JFQ68" s="15"/>
      <c r="JFR68" s="15"/>
      <c r="JFS68" s="15"/>
      <c r="JFT68" s="15"/>
      <c r="JFU68" s="15"/>
      <c r="JFV68" s="15"/>
      <c r="JFW68" s="15"/>
      <c r="JFX68" s="15"/>
      <c r="JFY68" s="15"/>
      <c r="JFZ68" s="15"/>
      <c r="JGA68" s="15"/>
      <c r="JGB68" s="15"/>
      <c r="JGC68" s="15"/>
      <c r="JGD68" s="15"/>
      <c r="JGE68" s="15"/>
      <c r="JGF68" s="15"/>
      <c r="JGG68" s="15"/>
      <c r="JGH68" s="15"/>
      <c r="JGI68" s="15"/>
      <c r="JGJ68" s="15"/>
      <c r="JGK68" s="15"/>
      <c r="JGL68" s="15"/>
      <c r="JGM68" s="15"/>
      <c r="JGN68" s="15"/>
      <c r="JGO68" s="15"/>
      <c r="JGP68" s="15"/>
      <c r="JGQ68" s="15"/>
      <c r="JGR68" s="15"/>
      <c r="JGS68" s="15"/>
      <c r="JGT68" s="15"/>
      <c r="JGU68" s="15"/>
      <c r="JGV68" s="15"/>
      <c r="JGW68" s="15"/>
      <c r="JGX68" s="15"/>
      <c r="JGY68" s="15"/>
      <c r="JGZ68" s="15"/>
      <c r="JHA68" s="15"/>
      <c r="JHB68" s="15"/>
      <c r="JHC68" s="15"/>
      <c r="JHD68" s="15"/>
      <c r="JHE68" s="15"/>
      <c r="JHF68" s="15"/>
      <c r="JHG68" s="15"/>
      <c r="JHH68" s="15"/>
      <c r="JHI68" s="15"/>
      <c r="JHJ68" s="15"/>
      <c r="JHK68" s="15"/>
      <c r="JHL68" s="15"/>
      <c r="JHM68" s="15"/>
      <c r="JHN68" s="15"/>
      <c r="JHO68" s="15"/>
      <c r="JHP68" s="15"/>
      <c r="JHQ68" s="15"/>
      <c r="JHR68" s="15"/>
      <c r="JHS68" s="15"/>
      <c r="JHT68" s="15"/>
      <c r="JHU68" s="15"/>
      <c r="JHV68" s="15"/>
      <c r="JHW68" s="15"/>
      <c r="JHX68" s="15"/>
      <c r="JHY68" s="15"/>
      <c r="JHZ68" s="15"/>
      <c r="JIA68" s="15"/>
      <c r="JIB68" s="15"/>
      <c r="JIC68" s="15"/>
      <c r="JID68" s="15"/>
      <c r="JIE68" s="15"/>
      <c r="JIF68" s="15"/>
      <c r="JIG68" s="15"/>
      <c r="JIH68" s="15"/>
      <c r="JII68" s="15"/>
      <c r="JIJ68" s="15"/>
      <c r="JIK68" s="15"/>
      <c r="JIL68" s="15"/>
      <c r="JIM68" s="15"/>
      <c r="JIN68" s="15"/>
      <c r="JIO68" s="15"/>
      <c r="JIP68" s="15"/>
      <c r="JIQ68" s="15"/>
      <c r="JIR68" s="15"/>
      <c r="JIS68" s="15"/>
      <c r="JIT68" s="15"/>
      <c r="JIU68" s="15"/>
      <c r="JIV68" s="15"/>
      <c r="JIW68" s="15"/>
      <c r="JIX68" s="15"/>
      <c r="JIY68" s="15"/>
      <c r="JIZ68" s="15"/>
      <c r="JJA68" s="15"/>
      <c r="JJB68" s="15"/>
      <c r="JJC68" s="15"/>
      <c r="JJD68" s="15"/>
      <c r="JJE68" s="15"/>
      <c r="JJF68" s="15"/>
      <c r="JJG68" s="15"/>
      <c r="JJH68" s="15"/>
      <c r="JJI68" s="15"/>
      <c r="JJJ68" s="15"/>
      <c r="JJK68" s="15"/>
      <c r="JJL68" s="15"/>
      <c r="JJM68" s="15"/>
      <c r="JJN68" s="15"/>
      <c r="JJO68" s="15"/>
      <c r="JJP68" s="15"/>
      <c r="JJQ68" s="15"/>
      <c r="JJR68" s="15"/>
      <c r="JJS68" s="15"/>
      <c r="JJT68" s="15"/>
      <c r="JJU68" s="15"/>
      <c r="JJV68" s="15"/>
      <c r="JJW68" s="15"/>
      <c r="JJX68" s="15"/>
      <c r="JJY68" s="15"/>
      <c r="JJZ68" s="15"/>
      <c r="JKA68" s="15"/>
      <c r="JKB68" s="15"/>
      <c r="JKC68" s="15"/>
      <c r="JKD68" s="15"/>
      <c r="JKE68" s="15"/>
      <c r="JKF68" s="15"/>
      <c r="JKG68" s="15"/>
      <c r="JKH68" s="15"/>
      <c r="JKI68" s="15"/>
      <c r="JKJ68" s="15"/>
      <c r="JKK68" s="15"/>
      <c r="JKL68" s="15"/>
      <c r="JKM68" s="15"/>
      <c r="JKN68" s="15"/>
      <c r="JKO68" s="15"/>
      <c r="JKP68" s="15"/>
      <c r="JKQ68" s="15"/>
      <c r="JKR68" s="15"/>
      <c r="JKS68" s="15"/>
      <c r="JKT68" s="15"/>
      <c r="JKU68" s="15"/>
      <c r="JKV68" s="15"/>
      <c r="JKW68" s="15"/>
      <c r="JKX68" s="15"/>
      <c r="JKY68" s="15"/>
      <c r="JKZ68" s="15"/>
      <c r="JLA68" s="15"/>
      <c r="JLB68" s="15"/>
      <c r="JLC68" s="15"/>
      <c r="JLD68" s="15"/>
      <c r="JLE68" s="15"/>
      <c r="JLF68" s="15"/>
      <c r="JLG68" s="15"/>
      <c r="JLH68" s="15"/>
      <c r="JLI68" s="15"/>
      <c r="JLJ68" s="15"/>
      <c r="JLK68" s="15"/>
      <c r="JLL68" s="15"/>
      <c r="JLM68" s="15"/>
      <c r="JLN68" s="15"/>
      <c r="JLO68" s="15"/>
      <c r="JLP68" s="15"/>
      <c r="JLQ68" s="15"/>
      <c r="JLR68" s="15"/>
      <c r="JLS68" s="15"/>
      <c r="JLT68" s="15"/>
      <c r="JLU68" s="15"/>
      <c r="JLV68" s="15"/>
      <c r="JLW68" s="15"/>
      <c r="JLX68" s="15"/>
      <c r="JLY68" s="15"/>
      <c r="JLZ68" s="15"/>
      <c r="JMA68" s="15"/>
      <c r="JMB68" s="15"/>
      <c r="JMC68" s="15"/>
      <c r="JMD68" s="15"/>
      <c r="JME68" s="15"/>
      <c r="JMF68" s="15"/>
      <c r="JMG68" s="15"/>
      <c r="JMH68" s="15"/>
      <c r="JMI68" s="15"/>
      <c r="JMJ68" s="15"/>
      <c r="JMK68" s="15"/>
      <c r="JML68" s="15"/>
      <c r="JMM68" s="15"/>
      <c r="JMN68" s="15"/>
      <c r="JMO68" s="15"/>
      <c r="JMP68" s="15"/>
      <c r="JMQ68" s="15"/>
      <c r="JMR68" s="15"/>
      <c r="JMS68" s="15"/>
      <c r="JMT68" s="15"/>
      <c r="JMU68" s="15"/>
      <c r="JMV68" s="15"/>
      <c r="JMW68" s="15"/>
      <c r="JMX68" s="15"/>
      <c r="JMY68" s="15"/>
      <c r="JMZ68" s="15"/>
      <c r="JNA68" s="15"/>
      <c r="JNB68" s="15"/>
      <c r="JNC68" s="15"/>
      <c r="JND68" s="15"/>
      <c r="JNE68" s="15"/>
      <c r="JNF68" s="15"/>
      <c r="JNG68" s="15"/>
      <c r="JNH68" s="15"/>
      <c r="JNI68" s="15"/>
      <c r="JNJ68" s="15"/>
      <c r="JNK68" s="15"/>
      <c r="JNL68" s="15"/>
      <c r="JNM68" s="15"/>
      <c r="JNN68" s="15"/>
      <c r="JNO68" s="15"/>
      <c r="JNP68" s="15"/>
      <c r="JNQ68" s="15"/>
      <c r="JNR68" s="15"/>
      <c r="JNS68" s="15"/>
      <c r="JNT68" s="15"/>
      <c r="JNU68" s="15"/>
      <c r="JNV68" s="15"/>
      <c r="JNW68" s="15"/>
      <c r="JNX68" s="15"/>
      <c r="JNY68" s="15"/>
      <c r="JNZ68" s="15"/>
      <c r="JOA68" s="15"/>
      <c r="JOB68" s="15"/>
      <c r="JOC68" s="15"/>
      <c r="JOD68" s="15"/>
      <c r="JOE68" s="15"/>
      <c r="JOF68" s="15"/>
      <c r="JOG68" s="15"/>
      <c r="JOH68" s="15"/>
      <c r="JOI68" s="15"/>
      <c r="JOJ68" s="15"/>
      <c r="JOK68" s="15"/>
      <c r="JOL68" s="15"/>
      <c r="JOM68" s="15"/>
      <c r="JON68" s="15"/>
      <c r="JOO68" s="15"/>
      <c r="JOP68" s="15"/>
      <c r="JOQ68" s="15"/>
      <c r="JOR68" s="15"/>
      <c r="JOS68" s="15"/>
      <c r="JOT68" s="15"/>
      <c r="JOU68" s="15"/>
      <c r="JOV68" s="15"/>
      <c r="JOW68" s="15"/>
      <c r="JOX68" s="15"/>
      <c r="JOY68" s="15"/>
      <c r="JOZ68" s="15"/>
      <c r="JPA68" s="15"/>
      <c r="JPB68" s="15"/>
      <c r="JPC68" s="15"/>
      <c r="JPD68" s="15"/>
      <c r="JPE68" s="15"/>
      <c r="JPF68" s="15"/>
      <c r="JPG68" s="15"/>
      <c r="JPH68" s="15"/>
      <c r="JPI68" s="15"/>
      <c r="JPJ68" s="15"/>
      <c r="JPK68" s="15"/>
      <c r="JPL68" s="15"/>
      <c r="JPM68" s="15"/>
      <c r="JPN68" s="15"/>
      <c r="JPO68" s="15"/>
      <c r="JPP68" s="15"/>
      <c r="JPQ68" s="15"/>
      <c r="JPR68" s="15"/>
      <c r="JPS68" s="15"/>
      <c r="JPT68" s="15"/>
      <c r="JPU68" s="15"/>
      <c r="JPV68" s="15"/>
      <c r="JPW68" s="15"/>
      <c r="JPX68" s="15"/>
      <c r="JPY68" s="15"/>
      <c r="JPZ68" s="15"/>
      <c r="JQA68" s="15"/>
      <c r="JQB68" s="15"/>
      <c r="JQC68" s="15"/>
      <c r="JQD68" s="15"/>
      <c r="JQE68" s="15"/>
      <c r="JQF68" s="15"/>
      <c r="JQG68" s="15"/>
      <c r="JQH68" s="15"/>
      <c r="JQI68" s="15"/>
      <c r="JQJ68" s="15"/>
      <c r="JQK68" s="15"/>
      <c r="JQL68" s="15"/>
      <c r="JQM68" s="15"/>
      <c r="JQN68" s="15"/>
      <c r="JQO68" s="15"/>
      <c r="JQP68" s="15"/>
      <c r="JQQ68" s="15"/>
      <c r="JQR68" s="15"/>
      <c r="JQS68" s="15"/>
      <c r="JQT68" s="15"/>
      <c r="JQU68" s="15"/>
      <c r="JQV68" s="15"/>
      <c r="JQW68" s="15"/>
      <c r="JQX68" s="15"/>
      <c r="JQY68" s="15"/>
      <c r="JQZ68" s="15"/>
      <c r="JRA68" s="15"/>
      <c r="JRB68" s="15"/>
      <c r="JRC68" s="15"/>
      <c r="JRD68" s="15"/>
      <c r="JRE68" s="15"/>
      <c r="JRF68" s="15"/>
      <c r="JRG68" s="15"/>
      <c r="JRH68" s="15"/>
      <c r="JRI68" s="15"/>
      <c r="JRJ68" s="15"/>
      <c r="JRK68" s="15"/>
      <c r="JRL68" s="15"/>
      <c r="JRM68" s="15"/>
      <c r="JRN68" s="15"/>
      <c r="JRO68" s="15"/>
      <c r="JRP68" s="15"/>
      <c r="JRQ68" s="15"/>
      <c r="JRR68" s="15"/>
      <c r="JRS68" s="15"/>
      <c r="JRT68" s="15"/>
      <c r="JRU68" s="15"/>
      <c r="JRV68" s="15"/>
      <c r="JRW68" s="15"/>
      <c r="JRX68" s="15"/>
      <c r="JRY68" s="15"/>
      <c r="JRZ68" s="15"/>
      <c r="JSA68" s="15"/>
      <c r="JSB68" s="15"/>
      <c r="JSC68" s="15"/>
      <c r="JSD68" s="15"/>
      <c r="JSE68" s="15"/>
      <c r="JSF68" s="15"/>
      <c r="JSG68" s="15"/>
      <c r="JSH68" s="15"/>
      <c r="JSI68" s="15"/>
      <c r="JSJ68" s="15"/>
      <c r="JSK68" s="15"/>
      <c r="JSL68" s="15"/>
      <c r="JSM68" s="15"/>
      <c r="JSN68" s="15"/>
      <c r="JSO68" s="15"/>
      <c r="JSP68" s="15"/>
      <c r="JSQ68" s="15"/>
      <c r="JSR68" s="15"/>
      <c r="JSS68" s="15"/>
      <c r="JST68" s="15"/>
      <c r="JSU68" s="15"/>
      <c r="JSV68" s="15"/>
      <c r="JSW68" s="15"/>
      <c r="JSX68" s="15"/>
      <c r="JSY68" s="15"/>
      <c r="JSZ68" s="15"/>
      <c r="JTA68" s="15"/>
      <c r="JTB68" s="15"/>
      <c r="JTC68" s="15"/>
      <c r="JTD68" s="15"/>
      <c r="JTE68" s="15"/>
      <c r="JTF68" s="15"/>
      <c r="JTG68" s="15"/>
      <c r="JTH68" s="15"/>
      <c r="JTI68" s="15"/>
      <c r="JTJ68" s="15"/>
      <c r="JTK68" s="15"/>
      <c r="JTL68" s="15"/>
      <c r="JTM68" s="15"/>
      <c r="JTN68" s="15"/>
      <c r="JTO68" s="15"/>
      <c r="JTP68" s="15"/>
      <c r="JTQ68" s="15"/>
      <c r="JTR68" s="15"/>
      <c r="JTS68" s="15"/>
      <c r="JTT68" s="15"/>
      <c r="JTU68" s="15"/>
      <c r="JTV68" s="15"/>
      <c r="JTW68" s="15"/>
      <c r="JTX68" s="15"/>
      <c r="JTY68" s="15"/>
      <c r="JTZ68" s="15"/>
      <c r="JUA68" s="15"/>
      <c r="JUB68" s="15"/>
      <c r="JUC68" s="15"/>
      <c r="JUD68" s="15"/>
      <c r="JUE68" s="15"/>
      <c r="JUF68" s="15"/>
      <c r="JUG68" s="15"/>
      <c r="JUH68" s="15"/>
      <c r="JUI68" s="15"/>
      <c r="JUJ68" s="15"/>
      <c r="JUK68" s="15"/>
      <c r="JUL68" s="15"/>
      <c r="JUM68" s="15"/>
      <c r="JUN68" s="15"/>
      <c r="JUO68" s="15"/>
      <c r="JUP68" s="15"/>
      <c r="JUQ68" s="15"/>
      <c r="JUR68" s="15"/>
      <c r="JUS68" s="15"/>
      <c r="JUT68" s="15"/>
      <c r="JUU68" s="15"/>
      <c r="JUV68" s="15"/>
      <c r="JUW68" s="15"/>
      <c r="JUX68" s="15"/>
      <c r="JUY68" s="15"/>
      <c r="JUZ68" s="15"/>
      <c r="JVA68" s="15"/>
      <c r="JVB68" s="15"/>
      <c r="JVC68" s="15"/>
      <c r="JVD68" s="15"/>
      <c r="JVE68" s="15"/>
      <c r="JVF68" s="15"/>
      <c r="JVG68" s="15"/>
      <c r="JVH68" s="15"/>
      <c r="JVI68" s="15"/>
      <c r="JVJ68" s="15"/>
      <c r="JVK68" s="15"/>
      <c r="JVL68" s="15"/>
      <c r="JVM68" s="15"/>
      <c r="JVN68" s="15"/>
      <c r="JVO68" s="15"/>
      <c r="JVP68" s="15"/>
      <c r="JVQ68" s="15"/>
      <c r="JVR68" s="15"/>
      <c r="JVS68" s="15"/>
      <c r="JVT68" s="15"/>
      <c r="JVU68" s="15"/>
      <c r="JVV68" s="15"/>
      <c r="JVW68" s="15"/>
      <c r="JVX68" s="15"/>
      <c r="JVY68" s="15"/>
      <c r="JVZ68" s="15"/>
      <c r="JWA68" s="15"/>
      <c r="JWB68" s="15"/>
      <c r="JWC68" s="15"/>
      <c r="JWD68" s="15"/>
      <c r="JWE68" s="15"/>
      <c r="JWF68" s="15"/>
      <c r="JWG68" s="15"/>
      <c r="JWH68" s="15"/>
      <c r="JWI68" s="15"/>
      <c r="JWJ68" s="15"/>
      <c r="JWK68" s="15"/>
      <c r="JWL68" s="15"/>
      <c r="JWM68" s="15"/>
      <c r="JWN68" s="15"/>
      <c r="JWO68" s="15"/>
      <c r="JWP68" s="15"/>
      <c r="JWQ68" s="15"/>
      <c r="JWR68" s="15"/>
      <c r="JWS68" s="15"/>
      <c r="JWT68" s="15"/>
      <c r="JWU68" s="15"/>
      <c r="JWV68" s="15"/>
      <c r="JWW68" s="15"/>
      <c r="JWX68" s="15"/>
      <c r="JWY68" s="15"/>
      <c r="JWZ68" s="15"/>
      <c r="JXA68" s="15"/>
      <c r="JXB68" s="15"/>
      <c r="JXC68" s="15"/>
      <c r="JXD68" s="15"/>
      <c r="JXE68" s="15"/>
      <c r="JXF68" s="15"/>
      <c r="JXG68" s="15"/>
      <c r="JXH68" s="15"/>
      <c r="JXI68" s="15"/>
      <c r="JXJ68" s="15"/>
      <c r="JXK68" s="15"/>
      <c r="JXL68" s="15"/>
      <c r="JXM68" s="15"/>
      <c r="JXN68" s="15"/>
      <c r="JXO68" s="15"/>
      <c r="JXP68" s="15"/>
      <c r="JXQ68" s="15"/>
      <c r="JXR68" s="15"/>
      <c r="JXS68" s="15"/>
      <c r="JXT68" s="15"/>
      <c r="JXU68" s="15"/>
      <c r="JXV68" s="15"/>
      <c r="JXW68" s="15"/>
      <c r="JXX68" s="15"/>
      <c r="JXY68" s="15"/>
      <c r="JXZ68" s="15"/>
      <c r="JYA68" s="15"/>
      <c r="JYB68" s="15"/>
      <c r="JYC68" s="15"/>
      <c r="JYD68" s="15"/>
      <c r="JYE68" s="15"/>
      <c r="JYF68" s="15"/>
      <c r="JYG68" s="15"/>
      <c r="JYH68" s="15"/>
      <c r="JYI68" s="15"/>
      <c r="JYJ68" s="15"/>
      <c r="JYK68" s="15"/>
      <c r="JYL68" s="15"/>
      <c r="JYM68" s="15"/>
      <c r="JYN68" s="15"/>
      <c r="JYO68" s="15"/>
      <c r="JYP68" s="15"/>
      <c r="JYQ68" s="15"/>
      <c r="JYR68" s="15"/>
      <c r="JYS68" s="15"/>
      <c r="JYT68" s="15"/>
      <c r="JYU68" s="15"/>
      <c r="JYV68" s="15"/>
      <c r="JYW68" s="15"/>
      <c r="JYX68" s="15"/>
      <c r="JYY68" s="15"/>
      <c r="JYZ68" s="15"/>
      <c r="JZA68" s="15"/>
      <c r="JZB68" s="15"/>
      <c r="JZC68" s="15"/>
      <c r="JZD68" s="15"/>
      <c r="JZE68" s="15"/>
      <c r="JZF68" s="15"/>
      <c r="JZG68" s="15"/>
      <c r="JZH68" s="15"/>
      <c r="JZI68" s="15"/>
      <c r="JZJ68" s="15"/>
      <c r="JZK68" s="15"/>
      <c r="JZL68" s="15"/>
      <c r="JZM68" s="15"/>
      <c r="JZN68" s="15"/>
      <c r="JZO68" s="15"/>
      <c r="JZP68" s="15"/>
      <c r="JZQ68" s="15"/>
      <c r="JZR68" s="15"/>
      <c r="JZS68" s="15"/>
      <c r="JZT68" s="15"/>
      <c r="JZU68" s="15"/>
      <c r="JZV68" s="15"/>
      <c r="JZW68" s="15"/>
      <c r="JZX68" s="15"/>
      <c r="JZY68" s="15"/>
      <c r="JZZ68" s="15"/>
      <c r="KAA68" s="15"/>
      <c r="KAB68" s="15"/>
      <c r="KAC68" s="15"/>
      <c r="KAD68" s="15"/>
      <c r="KAE68" s="15"/>
      <c r="KAF68" s="15"/>
      <c r="KAG68" s="15"/>
      <c r="KAH68" s="15"/>
      <c r="KAI68" s="15"/>
      <c r="KAJ68" s="15"/>
      <c r="KAK68" s="15"/>
      <c r="KAL68" s="15"/>
      <c r="KAM68" s="15"/>
      <c r="KAN68" s="15"/>
      <c r="KAO68" s="15"/>
      <c r="KAP68" s="15"/>
      <c r="KAQ68" s="15"/>
      <c r="KAR68" s="15"/>
      <c r="KAS68" s="15"/>
      <c r="KAT68" s="15"/>
      <c r="KAU68" s="15"/>
      <c r="KAV68" s="15"/>
      <c r="KAW68" s="15"/>
      <c r="KAX68" s="15"/>
      <c r="KAY68" s="15"/>
      <c r="KAZ68" s="15"/>
      <c r="KBA68" s="15"/>
      <c r="KBB68" s="15"/>
      <c r="KBC68" s="15"/>
      <c r="KBD68" s="15"/>
      <c r="KBE68" s="15"/>
      <c r="KBF68" s="15"/>
      <c r="KBG68" s="15"/>
      <c r="KBH68" s="15"/>
      <c r="KBI68" s="15"/>
      <c r="KBJ68" s="15"/>
      <c r="KBK68" s="15"/>
      <c r="KBL68" s="15"/>
      <c r="KBM68" s="15"/>
      <c r="KBN68" s="15"/>
      <c r="KBO68" s="15"/>
      <c r="KBP68" s="15"/>
      <c r="KBQ68" s="15"/>
      <c r="KBR68" s="15"/>
      <c r="KBS68" s="15"/>
      <c r="KBT68" s="15"/>
      <c r="KBU68" s="15"/>
      <c r="KBV68" s="15"/>
      <c r="KBW68" s="15"/>
      <c r="KBX68" s="15"/>
      <c r="KBY68" s="15"/>
      <c r="KBZ68" s="15"/>
      <c r="KCA68" s="15"/>
      <c r="KCB68" s="15"/>
      <c r="KCC68" s="15"/>
      <c r="KCD68" s="15"/>
      <c r="KCE68" s="15"/>
      <c r="KCF68" s="15"/>
      <c r="KCG68" s="15"/>
      <c r="KCH68" s="15"/>
      <c r="KCI68" s="15"/>
      <c r="KCJ68" s="15"/>
      <c r="KCK68" s="15"/>
      <c r="KCL68" s="15"/>
      <c r="KCM68" s="15"/>
      <c r="KCN68" s="15"/>
      <c r="KCO68" s="15"/>
      <c r="KCP68" s="15"/>
      <c r="KCQ68" s="15"/>
      <c r="KCR68" s="15"/>
      <c r="KCS68" s="15"/>
      <c r="KCT68" s="15"/>
      <c r="KCU68" s="15"/>
      <c r="KCV68" s="15"/>
      <c r="KCW68" s="15"/>
      <c r="KCX68" s="15"/>
      <c r="KCY68" s="15"/>
      <c r="KCZ68" s="15"/>
      <c r="KDA68" s="15"/>
      <c r="KDB68" s="15"/>
      <c r="KDC68" s="15"/>
      <c r="KDD68" s="15"/>
      <c r="KDE68" s="15"/>
      <c r="KDF68" s="15"/>
      <c r="KDG68" s="15"/>
      <c r="KDH68" s="15"/>
      <c r="KDI68" s="15"/>
      <c r="KDJ68" s="15"/>
      <c r="KDK68" s="15"/>
      <c r="KDL68" s="15"/>
      <c r="KDM68" s="15"/>
      <c r="KDN68" s="15"/>
      <c r="KDO68" s="15"/>
      <c r="KDP68" s="15"/>
      <c r="KDQ68" s="15"/>
      <c r="KDR68" s="15"/>
      <c r="KDS68" s="15"/>
      <c r="KDT68" s="15"/>
      <c r="KDU68" s="15"/>
      <c r="KDV68" s="15"/>
      <c r="KDW68" s="15"/>
      <c r="KDX68" s="15"/>
      <c r="KDY68" s="15"/>
      <c r="KDZ68" s="15"/>
      <c r="KEA68" s="15"/>
      <c r="KEB68" s="15"/>
      <c r="KEC68" s="15"/>
      <c r="KED68" s="15"/>
      <c r="KEE68" s="15"/>
      <c r="KEF68" s="15"/>
      <c r="KEG68" s="15"/>
      <c r="KEH68" s="15"/>
      <c r="KEI68" s="15"/>
      <c r="KEJ68" s="15"/>
      <c r="KEK68" s="15"/>
      <c r="KEL68" s="15"/>
      <c r="KEM68" s="15"/>
      <c r="KEN68" s="15"/>
      <c r="KEO68" s="15"/>
      <c r="KEP68" s="15"/>
      <c r="KEQ68" s="15"/>
      <c r="KER68" s="15"/>
      <c r="KES68" s="15"/>
      <c r="KET68" s="15"/>
      <c r="KEU68" s="15"/>
      <c r="KEV68" s="15"/>
      <c r="KEW68" s="15"/>
      <c r="KEX68" s="15"/>
      <c r="KEY68" s="15"/>
      <c r="KEZ68" s="15"/>
      <c r="KFA68" s="15"/>
      <c r="KFB68" s="15"/>
      <c r="KFC68" s="15"/>
      <c r="KFD68" s="15"/>
      <c r="KFE68" s="15"/>
      <c r="KFF68" s="15"/>
      <c r="KFG68" s="15"/>
      <c r="KFH68" s="15"/>
      <c r="KFI68" s="15"/>
      <c r="KFJ68" s="15"/>
      <c r="KFK68" s="15"/>
      <c r="KFL68" s="15"/>
      <c r="KFM68" s="15"/>
      <c r="KFN68" s="15"/>
      <c r="KFO68" s="15"/>
      <c r="KFP68" s="15"/>
      <c r="KFQ68" s="15"/>
      <c r="KFR68" s="15"/>
      <c r="KFS68" s="15"/>
      <c r="KFT68" s="15"/>
      <c r="KFU68" s="15"/>
      <c r="KFV68" s="15"/>
      <c r="KFW68" s="15"/>
      <c r="KFX68" s="15"/>
      <c r="KFY68" s="15"/>
      <c r="KFZ68" s="15"/>
      <c r="KGA68" s="15"/>
      <c r="KGB68" s="15"/>
      <c r="KGC68" s="15"/>
      <c r="KGD68" s="15"/>
      <c r="KGE68" s="15"/>
      <c r="KGF68" s="15"/>
      <c r="KGG68" s="15"/>
      <c r="KGH68" s="15"/>
      <c r="KGI68" s="15"/>
      <c r="KGJ68" s="15"/>
      <c r="KGK68" s="15"/>
      <c r="KGL68" s="15"/>
      <c r="KGM68" s="15"/>
      <c r="KGN68" s="15"/>
      <c r="KGO68" s="15"/>
      <c r="KGP68" s="15"/>
      <c r="KGQ68" s="15"/>
      <c r="KGR68" s="15"/>
      <c r="KGS68" s="15"/>
      <c r="KGT68" s="15"/>
      <c r="KGU68" s="15"/>
      <c r="KGV68" s="15"/>
      <c r="KGW68" s="15"/>
      <c r="KGX68" s="15"/>
      <c r="KGY68" s="15"/>
      <c r="KGZ68" s="15"/>
      <c r="KHA68" s="15"/>
      <c r="KHB68" s="15"/>
      <c r="KHC68" s="15"/>
      <c r="KHD68" s="15"/>
      <c r="KHE68" s="15"/>
      <c r="KHF68" s="15"/>
      <c r="KHG68" s="15"/>
      <c r="KHH68" s="15"/>
      <c r="KHI68" s="15"/>
      <c r="KHJ68" s="15"/>
      <c r="KHK68" s="15"/>
      <c r="KHL68" s="15"/>
      <c r="KHM68" s="15"/>
      <c r="KHN68" s="15"/>
      <c r="KHO68" s="15"/>
      <c r="KHP68" s="15"/>
      <c r="KHQ68" s="15"/>
      <c r="KHR68" s="15"/>
      <c r="KHS68" s="15"/>
      <c r="KHT68" s="15"/>
      <c r="KHU68" s="15"/>
      <c r="KHV68" s="15"/>
      <c r="KHW68" s="15"/>
      <c r="KHX68" s="15"/>
      <c r="KHY68" s="15"/>
      <c r="KHZ68" s="15"/>
      <c r="KIA68" s="15"/>
      <c r="KIB68" s="15"/>
      <c r="KIC68" s="15"/>
      <c r="KID68" s="15"/>
      <c r="KIE68" s="15"/>
      <c r="KIF68" s="15"/>
      <c r="KIG68" s="15"/>
      <c r="KIH68" s="15"/>
      <c r="KII68" s="15"/>
      <c r="KIJ68" s="15"/>
      <c r="KIK68" s="15"/>
      <c r="KIL68" s="15"/>
      <c r="KIM68" s="15"/>
      <c r="KIN68" s="15"/>
      <c r="KIO68" s="15"/>
      <c r="KIP68" s="15"/>
      <c r="KIQ68" s="15"/>
      <c r="KIR68" s="15"/>
      <c r="KIS68" s="15"/>
      <c r="KIT68" s="15"/>
      <c r="KIU68" s="15"/>
      <c r="KIV68" s="15"/>
      <c r="KIW68" s="15"/>
      <c r="KIX68" s="15"/>
      <c r="KIY68" s="15"/>
      <c r="KIZ68" s="15"/>
      <c r="KJA68" s="15"/>
      <c r="KJB68" s="15"/>
      <c r="KJC68" s="15"/>
      <c r="KJD68" s="15"/>
      <c r="KJE68" s="15"/>
      <c r="KJF68" s="15"/>
      <c r="KJG68" s="15"/>
      <c r="KJH68" s="15"/>
      <c r="KJI68" s="15"/>
      <c r="KJJ68" s="15"/>
      <c r="KJK68" s="15"/>
      <c r="KJL68" s="15"/>
      <c r="KJM68" s="15"/>
      <c r="KJN68" s="15"/>
      <c r="KJO68" s="15"/>
      <c r="KJP68" s="15"/>
      <c r="KJQ68" s="15"/>
      <c r="KJR68" s="15"/>
      <c r="KJS68" s="15"/>
      <c r="KJT68" s="15"/>
      <c r="KJU68" s="15"/>
      <c r="KJV68" s="15"/>
      <c r="KJW68" s="15"/>
      <c r="KJX68" s="15"/>
      <c r="KJY68" s="15"/>
      <c r="KJZ68" s="15"/>
      <c r="KKA68" s="15"/>
      <c r="KKB68" s="15"/>
      <c r="KKC68" s="15"/>
      <c r="KKD68" s="15"/>
      <c r="KKE68" s="15"/>
      <c r="KKF68" s="15"/>
      <c r="KKG68" s="15"/>
      <c r="KKH68" s="15"/>
      <c r="KKI68" s="15"/>
      <c r="KKJ68" s="15"/>
      <c r="KKK68" s="15"/>
      <c r="KKL68" s="15"/>
      <c r="KKM68" s="15"/>
      <c r="KKN68" s="15"/>
      <c r="KKO68" s="15"/>
      <c r="KKP68" s="15"/>
      <c r="KKQ68" s="15"/>
      <c r="KKR68" s="15"/>
      <c r="KKS68" s="15"/>
      <c r="KKT68" s="15"/>
      <c r="KKU68" s="15"/>
      <c r="KKV68" s="15"/>
      <c r="KKW68" s="15"/>
      <c r="KKX68" s="15"/>
      <c r="KKY68" s="15"/>
      <c r="KKZ68" s="15"/>
      <c r="KLA68" s="15"/>
      <c r="KLB68" s="15"/>
      <c r="KLC68" s="15"/>
      <c r="KLD68" s="15"/>
      <c r="KLE68" s="15"/>
      <c r="KLF68" s="15"/>
      <c r="KLG68" s="15"/>
      <c r="KLH68" s="15"/>
      <c r="KLI68" s="15"/>
      <c r="KLJ68" s="15"/>
      <c r="KLK68" s="15"/>
      <c r="KLL68" s="15"/>
      <c r="KLM68" s="15"/>
      <c r="KLN68" s="15"/>
      <c r="KLO68" s="15"/>
      <c r="KLP68" s="15"/>
      <c r="KLQ68" s="15"/>
      <c r="KLR68" s="15"/>
      <c r="KLS68" s="15"/>
      <c r="KLT68" s="15"/>
      <c r="KLU68" s="15"/>
      <c r="KLV68" s="15"/>
      <c r="KLW68" s="15"/>
      <c r="KLX68" s="15"/>
      <c r="KLY68" s="15"/>
      <c r="KLZ68" s="15"/>
      <c r="KMA68" s="15"/>
      <c r="KMB68" s="15"/>
      <c r="KMC68" s="15"/>
      <c r="KMD68" s="15"/>
      <c r="KME68" s="15"/>
      <c r="KMF68" s="15"/>
      <c r="KMG68" s="15"/>
      <c r="KMH68" s="15"/>
      <c r="KMI68" s="15"/>
      <c r="KMJ68" s="15"/>
      <c r="KMK68" s="15"/>
      <c r="KML68" s="15"/>
      <c r="KMM68" s="15"/>
      <c r="KMN68" s="15"/>
      <c r="KMO68" s="15"/>
      <c r="KMP68" s="15"/>
      <c r="KMQ68" s="15"/>
      <c r="KMR68" s="15"/>
      <c r="KMS68" s="15"/>
      <c r="KMT68" s="15"/>
      <c r="KMU68" s="15"/>
      <c r="KMV68" s="15"/>
      <c r="KMW68" s="15"/>
      <c r="KMX68" s="15"/>
      <c r="KMY68" s="15"/>
      <c r="KMZ68" s="15"/>
      <c r="KNA68" s="15"/>
      <c r="KNB68" s="15"/>
      <c r="KNC68" s="15"/>
      <c r="KND68" s="15"/>
      <c r="KNE68" s="15"/>
      <c r="KNF68" s="15"/>
      <c r="KNG68" s="15"/>
      <c r="KNH68" s="15"/>
      <c r="KNI68" s="15"/>
      <c r="KNJ68" s="15"/>
      <c r="KNK68" s="15"/>
      <c r="KNL68" s="15"/>
      <c r="KNM68" s="15"/>
      <c r="KNN68" s="15"/>
      <c r="KNO68" s="15"/>
      <c r="KNP68" s="15"/>
      <c r="KNQ68" s="15"/>
      <c r="KNR68" s="15"/>
      <c r="KNS68" s="15"/>
      <c r="KNT68" s="15"/>
      <c r="KNU68" s="15"/>
      <c r="KNV68" s="15"/>
      <c r="KNW68" s="15"/>
      <c r="KNX68" s="15"/>
      <c r="KNY68" s="15"/>
      <c r="KNZ68" s="15"/>
      <c r="KOA68" s="15"/>
      <c r="KOB68" s="15"/>
      <c r="KOC68" s="15"/>
      <c r="KOD68" s="15"/>
      <c r="KOE68" s="15"/>
      <c r="KOF68" s="15"/>
      <c r="KOG68" s="15"/>
      <c r="KOH68" s="15"/>
      <c r="KOI68" s="15"/>
      <c r="KOJ68" s="15"/>
      <c r="KOK68" s="15"/>
      <c r="KOL68" s="15"/>
      <c r="KOM68" s="15"/>
      <c r="KON68" s="15"/>
      <c r="KOO68" s="15"/>
      <c r="KOP68" s="15"/>
      <c r="KOQ68" s="15"/>
      <c r="KOR68" s="15"/>
      <c r="KOS68" s="15"/>
      <c r="KOT68" s="15"/>
      <c r="KOU68" s="15"/>
      <c r="KOV68" s="15"/>
      <c r="KOW68" s="15"/>
      <c r="KOX68" s="15"/>
      <c r="KOY68" s="15"/>
      <c r="KOZ68" s="15"/>
      <c r="KPA68" s="15"/>
      <c r="KPB68" s="15"/>
      <c r="KPC68" s="15"/>
      <c r="KPD68" s="15"/>
      <c r="KPE68" s="15"/>
      <c r="KPF68" s="15"/>
      <c r="KPG68" s="15"/>
      <c r="KPH68" s="15"/>
      <c r="KPI68" s="15"/>
      <c r="KPJ68" s="15"/>
      <c r="KPK68" s="15"/>
      <c r="KPL68" s="15"/>
      <c r="KPM68" s="15"/>
      <c r="KPN68" s="15"/>
      <c r="KPO68" s="15"/>
      <c r="KPP68" s="15"/>
      <c r="KPQ68" s="15"/>
      <c r="KPR68" s="15"/>
      <c r="KPS68" s="15"/>
      <c r="KPT68" s="15"/>
      <c r="KPU68" s="15"/>
      <c r="KPV68" s="15"/>
      <c r="KPW68" s="15"/>
      <c r="KPX68" s="15"/>
      <c r="KPY68" s="15"/>
      <c r="KPZ68" s="15"/>
      <c r="KQA68" s="15"/>
      <c r="KQB68" s="15"/>
      <c r="KQC68" s="15"/>
      <c r="KQD68" s="15"/>
      <c r="KQE68" s="15"/>
      <c r="KQF68" s="15"/>
      <c r="KQG68" s="15"/>
      <c r="KQH68" s="15"/>
      <c r="KQI68" s="15"/>
      <c r="KQJ68" s="15"/>
      <c r="KQK68" s="15"/>
      <c r="KQL68" s="15"/>
      <c r="KQM68" s="15"/>
      <c r="KQN68" s="15"/>
      <c r="KQO68" s="15"/>
      <c r="KQP68" s="15"/>
      <c r="KQQ68" s="15"/>
      <c r="KQR68" s="15"/>
      <c r="KQS68" s="15"/>
      <c r="KQT68" s="15"/>
      <c r="KQU68" s="15"/>
      <c r="KQV68" s="15"/>
      <c r="KQW68" s="15"/>
      <c r="KQX68" s="15"/>
      <c r="KQY68" s="15"/>
      <c r="KQZ68" s="15"/>
      <c r="KRA68" s="15"/>
      <c r="KRB68" s="15"/>
      <c r="KRC68" s="15"/>
      <c r="KRD68" s="15"/>
      <c r="KRE68" s="15"/>
      <c r="KRF68" s="15"/>
      <c r="KRG68" s="15"/>
      <c r="KRH68" s="15"/>
      <c r="KRI68" s="15"/>
      <c r="KRJ68" s="15"/>
      <c r="KRK68" s="15"/>
      <c r="KRL68" s="15"/>
      <c r="KRM68" s="15"/>
      <c r="KRN68" s="15"/>
      <c r="KRO68" s="15"/>
      <c r="KRP68" s="15"/>
      <c r="KRQ68" s="15"/>
      <c r="KRR68" s="15"/>
      <c r="KRS68" s="15"/>
      <c r="KRT68" s="15"/>
      <c r="KRU68" s="15"/>
      <c r="KRV68" s="15"/>
      <c r="KRW68" s="15"/>
      <c r="KRX68" s="15"/>
      <c r="KRY68" s="15"/>
      <c r="KRZ68" s="15"/>
      <c r="KSA68" s="15"/>
      <c r="KSB68" s="15"/>
      <c r="KSC68" s="15"/>
      <c r="KSD68" s="15"/>
      <c r="KSE68" s="15"/>
      <c r="KSF68" s="15"/>
      <c r="KSG68" s="15"/>
      <c r="KSH68" s="15"/>
      <c r="KSI68" s="15"/>
      <c r="KSJ68" s="15"/>
      <c r="KSK68" s="15"/>
      <c r="KSL68" s="15"/>
      <c r="KSM68" s="15"/>
      <c r="KSN68" s="15"/>
      <c r="KSO68" s="15"/>
      <c r="KSP68" s="15"/>
      <c r="KSQ68" s="15"/>
      <c r="KSR68" s="15"/>
      <c r="KSS68" s="15"/>
      <c r="KST68" s="15"/>
      <c r="KSU68" s="15"/>
      <c r="KSV68" s="15"/>
      <c r="KSW68" s="15"/>
      <c r="KSX68" s="15"/>
      <c r="KSY68" s="15"/>
      <c r="KSZ68" s="15"/>
      <c r="KTA68" s="15"/>
      <c r="KTB68" s="15"/>
      <c r="KTC68" s="15"/>
      <c r="KTD68" s="15"/>
      <c r="KTE68" s="15"/>
      <c r="KTF68" s="15"/>
      <c r="KTG68" s="15"/>
      <c r="KTH68" s="15"/>
      <c r="KTI68" s="15"/>
      <c r="KTJ68" s="15"/>
      <c r="KTK68" s="15"/>
      <c r="KTL68" s="15"/>
      <c r="KTM68" s="15"/>
      <c r="KTN68" s="15"/>
      <c r="KTO68" s="15"/>
      <c r="KTP68" s="15"/>
      <c r="KTQ68" s="15"/>
      <c r="KTR68" s="15"/>
      <c r="KTS68" s="15"/>
      <c r="KTT68" s="15"/>
      <c r="KTU68" s="15"/>
      <c r="KTV68" s="15"/>
      <c r="KTW68" s="15"/>
      <c r="KTX68" s="15"/>
      <c r="KTY68" s="15"/>
      <c r="KTZ68" s="15"/>
      <c r="KUA68" s="15"/>
      <c r="KUB68" s="15"/>
      <c r="KUC68" s="15"/>
      <c r="KUD68" s="15"/>
      <c r="KUE68" s="15"/>
      <c r="KUF68" s="15"/>
      <c r="KUG68" s="15"/>
      <c r="KUH68" s="15"/>
      <c r="KUI68" s="15"/>
      <c r="KUJ68" s="15"/>
      <c r="KUK68" s="15"/>
      <c r="KUL68" s="15"/>
      <c r="KUM68" s="15"/>
      <c r="KUN68" s="15"/>
      <c r="KUO68" s="15"/>
      <c r="KUP68" s="15"/>
      <c r="KUQ68" s="15"/>
      <c r="KUR68" s="15"/>
      <c r="KUS68" s="15"/>
      <c r="KUT68" s="15"/>
      <c r="KUU68" s="15"/>
      <c r="KUV68" s="15"/>
      <c r="KUW68" s="15"/>
      <c r="KUX68" s="15"/>
      <c r="KUY68" s="15"/>
      <c r="KUZ68" s="15"/>
      <c r="KVA68" s="15"/>
      <c r="KVB68" s="15"/>
      <c r="KVC68" s="15"/>
      <c r="KVD68" s="15"/>
      <c r="KVE68" s="15"/>
      <c r="KVF68" s="15"/>
      <c r="KVG68" s="15"/>
      <c r="KVH68" s="15"/>
      <c r="KVI68" s="15"/>
      <c r="KVJ68" s="15"/>
      <c r="KVK68" s="15"/>
      <c r="KVL68" s="15"/>
      <c r="KVM68" s="15"/>
      <c r="KVN68" s="15"/>
      <c r="KVO68" s="15"/>
      <c r="KVP68" s="15"/>
      <c r="KVQ68" s="15"/>
      <c r="KVR68" s="15"/>
      <c r="KVS68" s="15"/>
      <c r="KVT68" s="15"/>
      <c r="KVU68" s="15"/>
      <c r="KVV68" s="15"/>
      <c r="KVW68" s="15"/>
      <c r="KVX68" s="15"/>
      <c r="KVY68" s="15"/>
      <c r="KVZ68" s="15"/>
      <c r="KWA68" s="15"/>
      <c r="KWB68" s="15"/>
      <c r="KWC68" s="15"/>
      <c r="KWD68" s="15"/>
      <c r="KWE68" s="15"/>
      <c r="KWF68" s="15"/>
      <c r="KWG68" s="15"/>
      <c r="KWH68" s="15"/>
      <c r="KWI68" s="15"/>
      <c r="KWJ68" s="15"/>
      <c r="KWK68" s="15"/>
      <c r="KWL68" s="15"/>
      <c r="KWM68" s="15"/>
      <c r="KWN68" s="15"/>
      <c r="KWO68" s="15"/>
      <c r="KWP68" s="15"/>
      <c r="KWQ68" s="15"/>
      <c r="KWR68" s="15"/>
      <c r="KWS68" s="15"/>
      <c r="KWT68" s="15"/>
      <c r="KWU68" s="15"/>
      <c r="KWV68" s="15"/>
      <c r="KWW68" s="15"/>
      <c r="KWX68" s="15"/>
      <c r="KWY68" s="15"/>
      <c r="KWZ68" s="15"/>
      <c r="KXA68" s="15"/>
      <c r="KXB68" s="15"/>
      <c r="KXC68" s="15"/>
      <c r="KXD68" s="15"/>
      <c r="KXE68" s="15"/>
      <c r="KXF68" s="15"/>
      <c r="KXG68" s="15"/>
      <c r="KXH68" s="15"/>
      <c r="KXI68" s="15"/>
      <c r="KXJ68" s="15"/>
      <c r="KXK68" s="15"/>
      <c r="KXL68" s="15"/>
      <c r="KXM68" s="15"/>
      <c r="KXN68" s="15"/>
      <c r="KXO68" s="15"/>
      <c r="KXP68" s="15"/>
      <c r="KXQ68" s="15"/>
      <c r="KXR68" s="15"/>
      <c r="KXS68" s="15"/>
      <c r="KXT68" s="15"/>
      <c r="KXU68" s="15"/>
      <c r="KXV68" s="15"/>
      <c r="KXW68" s="15"/>
      <c r="KXX68" s="15"/>
      <c r="KXY68" s="15"/>
      <c r="KXZ68" s="15"/>
      <c r="KYA68" s="15"/>
      <c r="KYB68" s="15"/>
      <c r="KYC68" s="15"/>
      <c r="KYD68" s="15"/>
      <c r="KYE68" s="15"/>
      <c r="KYF68" s="15"/>
      <c r="KYG68" s="15"/>
      <c r="KYH68" s="15"/>
      <c r="KYI68" s="15"/>
      <c r="KYJ68" s="15"/>
      <c r="KYK68" s="15"/>
      <c r="KYL68" s="15"/>
      <c r="KYM68" s="15"/>
      <c r="KYN68" s="15"/>
      <c r="KYO68" s="15"/>
      <c r="KYP68" s="15"/>
      <c r="KYQ68" s="15"/>
      <c r="KYR68" s="15"/>
      <c r="KYS68" s="15"/>
      <c r="KYT68" s="15"/>
      <c r="KYU68" s="15"/>
      <c r="KYV68" s="15"/>
      <c r="KYW68" s="15"/>
      <c r="KYX68" s="15"/>
      <c r="KYY68" s="15"/>
      <c r="KYZ68" s="15"/>
      <c r="KZA68" s="15"/>
      <c r="KZB68" s="15"/>
      <c r="KZC68" s="15"/>
      <c r="KZD68" s="15"/>
      <c r="KZE68" s="15"/>
      <c r="KZF68" s="15"/>
      <c r="KZG68" s="15"/>
      <c r="KZH68" s="15"/>
      <c r="KZI68" s="15"/>
      <c r="KZJ68" s="15"/>
      <c r="KZK68" s="15"/>
      <c r="KZL68" s="15"/>
      <c r="KZM68" s="15"/>
      <c r="KZN68" s="15"/>
      <c r="KZO68" s="15"/>
      <c r="KZP68" s="15"/>
      <c r="KZQ68" s="15"/>
      <c r="KZR68" s="15"/>
      <c r="KZS68" s="15"/>
      <c r="KZT68" s="15"/>
      <c r="KZU68" s="15"/>
      <c r="KZV68" s="15"/>
      <c r="KZW68" s="15"/>
      <c r="KZX68" s="15"/>
      <c r="KZY68" s="15"/>
      <c r="KZZ68" s="15"/>
      <c r="LAA68" s="15"/>
      <c r="LAB68" s="15"/>
      <c r="LAC68" s="15"/>
      <c r="LAD68" s="15"/>
      <c r="LAE68" s="15"/>
      <c r="LAF68" s="15"/>
      <c r="LAG68" s="15"/>
      <c r="LAH68" s="15"/>
      <c r="LAI68" s="15"/>
      <c r="LAJ68" s="15"/>
      <c r="LAK68" s="15"/>
      <c r="LAL68" s="15"/>
      <c r="LAM68" s="15"/>
      <c r="LAN68" s="15"/>
      <c r="LAO68" s="15"/>
      <c r="LAP68" s="15"/>
      <c r="LAQ68" s="15"/>
      <c r="LAR68" s="15"/>
      <c r="LAS68" s="15"/>
      <c r="LAT68" s="15"/>
      <c r="LAU68" s="15"/>
      <c r="LAV68" s="15"/>
      <c r="LAW68" s="15"/>
      <c r="LAX68" s="15"/>
      <c r="LAY68" s="15"/>
      <c r="LAZ68" s="15"/>
      <c r="LBA68" s="15"/>
      <c r="LBB68" s="15"/>
      <c r="LBC68" s="15"/>
      <c r="LBD68" s="15"/>
      <c r="LBE68" s="15"/>
      <c r="LBF68" s="15"/>
      <c r="LBG68" s="15"/>
      <c r="LBH68" s="15"/>
      <c r="LBI68" s="15"/>
      <c r="LBJ68" s="15"/>
      <c r="LBK68" s="15"/>
      <c r="LBL68" s="15"/>
      <c r="LBM68" s="15"/>
      <c r="LBN68" s="15"/>
      <c r="LBO68" s="15"/>
      <c r="LBP68" s="15"/>
      <c r="LBQ68" s="15"/>
      <c r="LBR68" s="15"/>
      <c r="LBS68" s="15"/>
      <c r="LBT68" s="15"/>
      <c r="LBU68" s="15"/>
      <c r="LBV68" s="15"/>
      <c r="LBW68" s="15"/>
      <c r="LBX68" s="15"/>
      <c r="LBY68" s="15"/>
      <c r="LBZ68" s="15"/>
      <c r="LCA68" s="15"/>
      <c r="LCB68" s="15"/>
      <c r="LCC68" s="15"/>
      <c r="LCD68" s="15"/>
      <c r="LCE68" s="15"/>
      <c r="LCF68" s="15"/>
      <c r="LCG68" s="15"/>
      <c r="LCH68" s="15"/>
      <c r="LCI68" s="15"/>
      <c r="LCJ68" s="15"/>
      <c r="LCK68" s="15"/>
      <c r="LCL68" s="15"/>
      <c r="LCM68" s="15"/>
      <c r="LCN68" s="15"/>
      <c r="LCO68" s="15"/>
      <c r="LCP68" s="15"/>
      <c r="LCQ68" s="15"/>
      <c r="LCR68" s="15"/>
      <c r="LCS68" s="15"/>
      <c r="LCT68" s="15"/>
      <c r="LCU68" s="15"/>
      <c r="LCV68" s="15"/>
      <c r="LCW68" s="15"/>
      <c r="LCX68" s="15"/>
      <c r="LCY68" s="15"/>
      <c r="LCZ68" s="15"/>
      <c r="LDA68" s="15"/>
      <c r="LDB68" s="15"/>
      <c r="LDC68" s="15"/>
      <c r="LDD68" s="15"/>
      <c r="LDE68" s="15"/>
      <c r="LDF68" s="15"/>
      <c r="LDG68" s="15"/>
      <c r="LDH68" s="15"/>
      <c r="LDI68" s="15"/>
      <c r="LDJ68" s="15"/>
      <c r="LDK68" s="15"/>
      <c r="LDL68" s="15"/>
      <c r="LDM68" s="15"/>
      <c r="LDN68" s="15"/>
      <c r="LDO68" s="15"/>
      <c r="LDP68" s="15"/>
      <c r="LDQ68" s="15"/>
      <c r="LDR68" s="15"/>
      <c r="LDS68" s="15"/>
      <c r="LDT68" s="15"/>
      <c r="LDU68" s="15"/>
      <c r="LDV68" s="15"/>
      <c r="LDW68" s="15"/>
      <c r="LDX68" s="15"/>
      <c r="LDY68" s="15"/>
      <c r="LDZ68" s="15"/>
      <c r="LEA68" s="15"/>
      <c r="LEB68" s="15"/>
      <c r="LEC68" s="15"/>
      <c r="LED68" s="15"/>
      <c r="LEE68" s="15"/>
      <c r="LEF68" s="15"/>
      <c r="LEG68" s="15"/>
      <c r="LEH68" s="15"/>
      <c r="LEI68" s="15"/>
      <c r="LEJ68" s="15"/>
      <c r="LEK68" s="15"/>
      <c r="LEL68" s="15"/>
      <c r="LEM68" s="15"/>
      <c r="LEN68" s="15"/>
      <c r="LEO68" s="15"/>
      <c r="LEP68" s="15"/>
      <c r="LEQ68" s="15"/>
      <c r="LER68" s="15"/>
      <c r="LES68" s="15"/>
      <c r="LET68" s="15"/>
      <c r="LEU68" s="15"/>
      <c r="LEV68" s="15"/>
      <c r="LEW68" s="15"/>
      <c r="LEX68" s="15"/>
      <c r="LEY68" s="15"/>
      <c r="LEZ68" s="15"/>
      <c r="LFA68" s="15"/>
      <c r="LFB68" s="15"/>
      <c r="LFC68" s="15"/>
      <c r="LFD68" s="15"/>
      <c r="LFE68" s="15"/>
      <c r="LFF68" s="15"/>
      <c r="LFG68" s="15"/>
      <c r="LFH68" s="15"/>
      <c r="LFI68" s="15"/>
      <c r="LFJ68" s="15"/>
      <c r="LFK68" s="15"/>
      <c r="LFL68" s="15"/>
      <c r="LFM68" s="15"/>
      <c r="LFN68" s="15"/>
      <c r="LFO68" s="15"/>
      <c r="LFP68" s="15"/>
      <c r="LFQ68" s="15"/>
      <c r="LFR68" s="15"/>
      <c r="LFS68" s="15"/>
      <c r="LFT68" s="15"/>
      <c r="LFU68" s="15"/>
      <c r="LFV68" s="15"/>
      <c r="LFW68" s="15"/>
      <c r="LFX68" s="15"/>
      <c r="LFY68" s="15"/>
      <c r="LFZ68" s="15"/>
      <c r="LGA68" s="15"/>
      <c r="LGB68" s="15"/>
      <c r="LGC68" s="15"/>
      <c r="LGD68" s="15"/>
      <c r="LGE68" s="15"/>
      <c r="LGF68" s="15"/>
      <c r="LGG68" s="15"/>
      <c r="LGH68" s="15"/>
      <c r="LGI68" s="15"/>
      <c r="LGJ68" s="15"/>
      <c r="LGK68" s="15"/>
      <c r="LGL68" s="15"/>
      <c r="LGM68" s="15"/>
      <c r="LGN68" s="15"/>
      <c r="LGO68" s="15"/>
      <c r="LGP68" s="15"/>
      <c r="LGQ68" s="15"/>
      <c r="LGR68" s="15"/>
      <c r="LGS68" s="15"/>
      <c r="LGT68" s="15"/>
      <c r="LGU68" s="15"/>
      <c r="LGV68" s="15"/>
      <c r="LGW68" s="15"/>
      <c r="LGX68" s="15"/>
      <c r="LGY68" s="15"/>
      <c r="LGZ68" s="15"/>
      <c r="LHA68" s="15"/>
      <c r="LHB68" s="15"/>
      <c r="LHC68" s="15"/>
      <c r="LHD68" s="15"/>
      <c r="LHE68" s="15"/>
      <c r="LHF68" s="15"/>
      <c r="LHG68" s="15"/>
      <c r="LHH68" s="15"/>
      <c r="LHI68" s="15"/>
      <c r="LHJ68" s="15"/>
      <c r="LHK68" s="15"/>
      <c r="LHL68" s="15"/>
      <c r="LHM68" s="15"/>
      <c r="LHN68" s="15"/>
      <c r="LHO68" s="15"/>
      <c r="LHP68" s="15"/>
      <c r="LHQ68" s="15"/>
      <c r="LHR68" s="15"/>
      <c r="LHS68" s="15"/>
      <c r="LHT68" s="15"/>
      <c r="LHU68" s="15"/>
      <c r="LHV68" s="15"/>
      <c r="LHW68" s="15"/>
      <c r="LHX68" s="15"/>
      <c r="LHY68" s="15"/>
      <c r="LHZ68" s="15"/>
      <c r="LIA68" s="15"/>
      <c r="LIB68" s="15"/>
      <c r="LIC68" s="15"/>
      <c r="LID68" s="15"/>
      <c r="LIE68" s="15"/>
      <c r="LIF68" s="15"/>
      <c r="LIG68" s="15"/>
      <c r="LIH68" s="15"/>
      <c r="LII68" s="15"/>
      <c r="LIJ68" s="15"/>
      <c r="LIK68" s="15"/>
      <c r="LIL68" s="15"/>
      <c r="LIM68" s="15"/>
      <c r="LIN68" s="15"/>
      <c r="LIO68" s="15"/>
      <c r="LIP68" s="15"/>
      <c r="LIQ68" s="15"/>
      <c r="LIR68" s="15"/>
      <c r="LIS68" s="15"/>
      <c r="LIT68" s="15"/>
      <c r="LIU68" s="15"/>
      <c r="LIV68" s="15"/>
      <c r="LIW68" s="15"/>
      <c r="LIX68" s="15"/>
      <c r="LIY68" s="15"/>
      <c r="LIZ68" s="15"/>
      <c r="LJA68" s="15"/>
      <c r="LJB68" s="15"/>
      <c r="LJC68" s="15"/>
      <c r="LJD68" s="15"/>
      <c r="LJE68" s="15"/>
      <c r="LJF68" s="15"/>
      <c r="LJG68" s="15"/>
      <c r="LJH68" s="15"/>
      <c r="LJI68" s="15"/>
      <c r="LJJ68" s="15"/>
      <c r="LJK68" s="15"/>
      <c r="LJL68" s="15"/>
      <c r="LJM68" s="15"/>
      <c r="LJN68" s="15"/>
      <c r="LJO68" s="15"/>
      <c r="LJP68" s="15"/>
      <c r="LJQ68" s="15"/>
      <c r="LJR68" s="15"/>
      <c r="LJS68" s="15"/>
      <c r="LJT68" s="15"/>
      <c r="LJU68" s="15"/>
      <c r="LJV68" s="15"/>
      <c r="LJW68" s="15"/>
      <c r="LJX68" s="15"/>
      <c r="LJY68" s="15"/>
      <c r="LJZ68" s="15"/>
      <c r="LKA68" s="15"/>
      <c r="LKB68" s="15"/>
      <c r="LKC68" s="15"/>
      <c r="LKD68" s="15"/>
      <c r="LKE68" s="15"/>
      <c r="LKF68" s="15"/>
      <c r="LKG68" s="15"/>
      <c r="LKH68" s="15"/>
      <c r="LKI68" s="15"/>
      <c r="LKJ68" s="15"/>
      <c r="LKK68" s="15"/>
      <c r="LKL68" s="15"/>
      <c r="LKM68" s="15"/>
      <c r="LKN68" s="15"/>
      <c r="LKO68" s="15"/>
      <c r="LKP68" s="15"/>
      <c r="LKQ68" s="15"/>
      <c r="LKR68" s="15"/>
      <c r="LKS68" s="15"/>
      <c r="LKT68" s="15"/>
      <c r="LKU68" s="15"/>
      <c r="LKV68" s="15"/>
      <c r="LKW68" s="15"/>
      <c r="LKX68" s="15"/>
      <c r="LKY68" s="15"/>
      <c r="LKZ68" s="15"/>
      <c r="LLA68" s="15"/>
      <c r="LLB68" s="15"/>
      <c r="LLC68" s="15"/>
      <c r="LLD68" s="15"/>
      <c r="LLE68" s="15"/>
      <c r="LLF68" s="15"/>
      <c r="LLG68" s="15"/>
      <c r="LLH68" s="15"/>
      <c r="LLI68" s="15"/>
      <c r="LLJ68" s="15"/>
      <c r="LLK68" s="15"/>
      <c r="LLL68" s="15"/>
      <c r="LLM68" s="15"/>
      <c r="LLN68" s="15"/>
      <c r="LLO68" s="15"/>
      <c r="LLP68" s="15"/>
      <c r="LLQ68" s="15"/>
      <c r="LLR68" s="15"/>
      <c r="LLS68" s="15"/>
      <c r="LLT68" s="15"/>
      <c r="LLU68" s="15"/>
      <c r="LLV68" s="15"/>
      <c r="LLW68" s="15"/>
      <c r="LLX68" s="15"/>
      <c r="LLY68" s="15"/>
      <c r="LLZ68" s="15"/>
      <c r="LMA68" s="15"/>
      <c r="LMB68" s="15"/>
      <c r="LMC68" s="15"/>
      <c r="LMD68" s="15"/>
      <c r="LME68" s="15"/>
      <c r="LMF68" s="15"/>
      <c r="LMG68" s="15"/>
      <c r="LMH68" s="15"/>
      <c r="LMI68" s="15"/>
      <c r="LMJ68" s="15"/>
      <c r="LMK68" s="15"/>
      <c r="LML68" s="15"/>
      <c r="LMM68" s="15"/>
      <c r="LMN68" s="15"/>
      <c r="LMO68" s="15"/>
      <c r="LMP68" s="15"/>
      <c r="LMQ68" s="15"/>
      <c r="LMR68" s="15"/>
      <c r="LMS68" s="15"/>
      <c r="LMT68" s="15"/>
      <c r="LMU68" s="15"/>
      <c r="LMV68" s="15"/>
      <c r="LMW68" s="15"/>
      <c r="LMX68" s="15"/>
      <c r="LMY68" s="15"/>
      <c r="LMZ68" s="15"/>
      <c r="LNA68" s="15"/>
      <c r="LNB68" s="15"/>
      <c r="LNC68" s="15"/>
      <c r="LND68" s="15"/>
      <c r="LNE68" s="15"/>
      <c r="LNF68" s="15"/>
      <c r="LNG68" s="15"/>
      <c r="LNH68" s="15"/>
      <c r="LNI68" s="15"/>
      <c r="LNJ68" s="15"/>
      <c r="LNK68" s="15"/>
      <c r="LNL68" s="15"/>
      <c r="LNM68" s="15"/>
      <c r="LNN68" s="15"/>
      <c r="LNO68" s="15"/>
      <c r="LNP68" s="15"/>
      <c r="LNQ68" s="15"/>
      <c r="LNR68" s="15"/>
      <c r="LNS68" s="15"/>
      <c r="LNT68" s="15"/>
      <c r="LNU68" s="15"/>
      <c r="LNV68" s="15"/>
      <c r="LNW68" s="15"/>
      <c r="LNX68" s="15"/>
      <c r="LNY68" s="15"/>
      <c r="LNZ68" s="15"/>
      <c r="LOA68" s="15"/>
      <c r="LOB68" s="15"/>
      <c r="LOC68" s="15"/>
      <c r="LOD68" s="15"/>
      <c r="LOE68" s="15"/>
      <c r="LOF68" s="15"/>
      <c r="LOG68" s="15"/>
      <c r="LOH68" s="15"/>
      <c r="LOI68" s="15"/>
      <c r="LOJ68" s="15"/>
      <c r="LOK68" s="15"/>
      <c r="LOL68" s="15"/>
      <c r="LOM68" s="15"/>
      <c r="LON68" s="15"/>
      <c r="LOO68" s="15"/>
      <c r="LOP68" s="15"/>
      <c r="LOQ68" s="15"/>
      <c r="LOR68" s="15"/>
      <c r="LOS68" s="15"/>
      <c r="LOT68" s="15"/>
      <c r="LOU68" s="15"/>
      <c r="LOV68" s="15"/>
      <c r="LOW68" s="15"/>
      <c r="LOX68" s="15"/>
      <c r="LOY68" s="15"/>
      <c r="LOZ68" s="15"/>
      <c r="LPA68" s="15"/>
      <c r="LPB68" s="15"/>
      <c r="LPC68" s="15"/>
      <c r="LPD68" s="15"/>
      <c r="LPE68" s="15"/>
      <c r="LPF68" s="15"/>
      <c r="LPG68" s="15"/>
      <c r="LPH68" s="15"/>
      <c r="LPI68" s="15"/>
      <c r="LPJ68" s="15"/>
      <c r="LPK68" s="15"/>
      <c r="LPL68" s="15"/>
      <c r="LPM68" s="15"/>
      <c r="LPN68" s="15"/>
      <c r="LPO68" s="15"/>
      <c r="LPP68" s="15"/>
      <c r="LPQ68" s="15"/>
      <c r="LPR68" s="15"/>
      <c r="LPS68" s="15"/>
      <c r="LPT68" s="15"/>
      <c r="LPU68" s="15"/>
      <c r="LPV68" s="15"/>
      <c r="LPW68" s="15"/>
      <c r="LPX68" s="15"/>
      <c r="LPY68" s="15"/>
      <c r="LPZ68" s="15"/>
      <c r="LQA68" s="15"/>
      <c r="LQB68" s="15"/>
      <c r="LQC68" s="15"/>
      <c r="LQD68" s="15"/>
      <c r="LQE68" s="15"/>
      <c r="LQF68" s="15"/>
      <c r="LQG68" s="15"/>
      <c r="LQH68" s="15"/>
      <c r="LQI68" s="15"/>
      <c r="LQJ68" s="15"/>
      <c r="LQK68" s="15"/>
      <c r="LQL68" s="15"/>
      <c r="LQM68" s="15"/>
      <c r="LQN68" s="15"/>
      <c r="LQO68" s="15"/>
      <c r="LQP68" s="15"/>
      <c r="LQQ68" s="15"/>
      <c r="LQR68" s="15"/>
      <c r="LQS68" s="15"/>
      <c r="LQT68" s="15"/>
      <c r="LQU68" s="15"/>
      <c r="LQV68" s="15"/>
      <c r="LQW68" s="15"/>
      <c r="LQX68" s="15"/>
      <c r="LQY68" s="15"/>
      <c r="LQZ68" s="15"/>
      <c r="LRA68" s="15"/>
      <c r="LRB68" s="15"/>
      <c r="LRC68" s="15"/>
      <c r="LRD68" s="15"/>
      <c r="LRE68" s="15"/>
      <c r="LRF68" s="15"/>
      <c r="LRG68" s="15"/>
      <c r="LRH68" s="15"/>
      <c r="LRI68" s="15"/>
      <c r="LRJ68" s="15"/>
      <c r="LRK68" s="15"/>
      <c r="LRL68" s="15"/>
      <c r="LRM68" s="15"/>
      <c r="LRN68" s="15"/>
      <c r="LRO68" s="15"/>
      <c r="LRP68" s="15"/>
      <c r="LRQ68" s="15"/>
      <c r="LRR68" s="15"/>
      <c r="LRS68" s="15"/>
      <c r="LRT68" s="15"/>
      <c r="LRU68" s="15"/>
      <c r="LRV68" s="15"/>
      <c r="LRW68" s="15"/>
      <c r="LRX68" s="15"/>
      <c r="LRY68" s="15"/>
      <c r="LRZ68" s="15"/>
      <c r="LSA68" s="15"/>
      <c r="LSB68" s="15"/>
      <c r="LSC68" s="15"/>
      <c r="LSD68" s="15"/>
      <c r="LSE68" s="15"/>
      <c r="LSF68" s="15"/>
      <c r="LSG68" s="15"/>
      <c r="LSH68" s="15"/>
      <c r="LSI68" s="15"/>
      <c r="LSJ68" s="15"/>
      <c r="LSK68" s="15"/>
      <c r="LSL68" s="15"/>
      <c r="LSM68" s="15"/>
      <c r="LSN68" s="15"/>
      <c r="LSO68" s="15"/>
      <c r="LSP68" s="15"/>
      <c r="LSQ68" s="15"/>
      <c r="LSR68" s="15"/>
      <c r="LSS68" s="15"/>
      <c r="LST68" s="15"/>
      <c r="LSU68" s="15"/>
      <c r="LSV68" s="15"/>
      <c r="LSW68" s="15"/>
      <c r="LSX68" s="15"/>
      <c r="LSY68" s="15"/>
      <c r="LSZ68" s="15"/>
      <c r="LTA68" s="15"/>
      <c r="LTB68" s="15"/>
      <c r="LTC68" s="15"/>
      <c r="LTD68" s="15"/>
      <c r="LTE68" s="15"/>
      <c r="LTF68" s="15"/>
      <c r="LTG68" s="15"/>
      <c r="LTH68" s="15"/>
      <c r="LTI68" s="15"/>
      <c r="LTJ68" s="15"/>
      <c r="LTK68" s="15"/>
      <c r="LTL68" s="15"/>
      <c r="LTM68" s="15"/>
      <c r="LTN68" s="15"/>
      <c r="LTO68" s="15"/>
      <c r="LTP68" s="15"/>
      <c r="LTQ68" s="15"/>
      <c r="LTR68" s="15"/>
      <c r="LTS68" s="15"/>
      <c r="LTT68" s="15"/>
      <c r="LTU68" s="15"/>
      <c r="LTV68" s="15"/>
      <c r="LTW68" s="15"/>
      <c r="LTX68" s="15"/>
      <c r="LTY68" s="15"/>
      <c r="LTZ68" s="15"/>
      <c r="LUA68" s="15"/>
      <c r="LUB68" s="15"/>
      <c r="LUC68" s="15"/>
      <c r="LUD68" s="15"/>
      <c r="LUE68" s="15"/>
      <c r="LUF68" s="15"/>
      <c r="LUG68" s="15"/>
      <c r="LUH68" s="15"/>
      <c r="LUI68" s="15"/>
      <c r="LUJ68" s="15"/>
      <c r="LUK68" s="15"/>
      <c r="LUL68" s="15"/>
      <c r="LUM68" s="15"/>
      <c r="LUN68" s="15"/>
      <c r="LUO68" s="15"/>
      <c r="LUP68" s="15"/>
      <c r="LUQ68" s="15"/>
      <c r="LUR68" s="15"/>
      <c r="LUS68" s="15"/>
      <c r="LUT68" s="15"/>
      <c r="LUU68" s="15"/>
      <c r="LUV68" s="15"/>
      <c r="LUW68" s="15"/>
      <c r="LUX68" s="15"/>
      <c r="LUY68" s="15"/>
      <c r="LUZ68" s="15"/>
      <c r="LVA68" s="15"/>
      <c r="LVB68" s="15"/>
      <c r="LVC68" s="15"/>
      <c r="LVD68" s="15"/>
      <c r="LVE68" s="15"/>
      <c r="LVF68" s="15"/>
      <c r="LVG68" s="15"/>
      <c r="LVH68" s="15"/>
      <c r="LVI68" s="15"/>
      <c r="LVJ68" s="15"/>
      <c r="LVK68" s="15"/>
      <c r="LVL68" s="15"/>
      <c r="LVM68" s="15"/>
      <c r="LVN68" s="15"/>
      <c r="LVO68" s="15"/>
      <c r="LVP68" s="15"/>
      <c r="LVQ68" s="15"/>
      <c r="LVR68" s="15"/>
      <c r="LVS68" s="15"/>
      <c r="LVT68" s="15"/>
      <c r="LVU68" s="15"/>
      <c r="LVV68" s="15"/>
      <c r="LVW68" s="15"/>
      <c r="LVX68" s="15"/>
      <c r="LVY68" s="15"/>
      <c r="LVZ68" s="15"/>
      <c r="LWA68" s="15"/>
      <c r="LWB68" s="15"/>
      <c r="LWC68" s="15"/>
      <c r="LWD68" s="15"/>
      <c r="LWE68" s="15"/>
      <c r="LWF68" s="15"/>
      <c r="LWG68" s="15"/>
      <c r="LWH68" s="15"/>
      <c r="LWI68" s="15"/>
      <c r="LWJ68" s="15"/>
      <c r="LWK68" s="15"/>
      <c r="LWL68" s="15"/>
      <c r="LWM68" s="15"/>
      <c r="LWN68" s="15"/>
      <c r="LWO68" s="15"/>
      <c r="LWP68" s="15"/>
      <c r="LWQ68" s="15"/>
      <c r="LWR68" s="15"/>
      <c r="LWS68" s="15"/>
      <c r="LWT68" s="15"/>
      <c r="LWU68" s="15"/>
      <c r="LWV68" s="15"/>
      <c r="LWW68" s="15"/>
      <c r="LWX68" s="15"/>
      <c r="LWY68" s="15"/>
      <c r="LWZ68" s="15"/>
      <c r="LXA68" s="15"/>
      <c r="LXB68" s="15"/>
      <c r="LXC68" s="15"/>
      <c r="LXD68" s="15"/>
      <c r="LXE68" s="15"/>
      <c r="LXF68" s="15"/>
      <c r="LXG68" s="15"/>
      <c r="LXH68" s="15"/>
      <c r="LXI68" s="15"/>
      <c r="LXJ68" s="15"/>
      <c r="LXK68" s="15"/>
      <c r="LXL68" s="15"/>
      <c r="LXM68" s="15"/>
      <c r="LXN68" s="15"/>
      <c r="LXO68" s="15"/>
      <c r="LXP68" s="15"/>
      <c r="LXQ68" s="15"/>
      <c r="LXR68" s="15"/>
      <c r="LXS68" s="15"/>
      <c r="LXT68" s="15"/>
      <c r="LXU68" s="15"/>
      <c r="LXV68" s="15"/>
      <c r="LXW68" s="15"/>
      <c r="LXX68" s="15"/>
      <c r="LXY68" s="15"/>
      <c r="LXZ68" s="15"/>
      <c r="LYA68" s="15"/>
      <c r="LYB68" s="15"/>
      <c r="LYC68" s="15"/>
      <c r="LYD68" s="15"/>
      <c r="LYE68" s="15"/>
      <c r="LYF68" s="15"/>
      <c r="LYG68" s="15"/>
      <c r="LYH68" s="15"/>
      <c r="LYI68" s="15"/>
      <c r="LYJ68" s="15"/>
      <c r="LYK68" s="15"/>
      <c r="LYL68" s="15"/>
      <c r="LYM68" s="15"/>
      <c r="LYN68" s="15"/>
      <c r="LYO68" s="15"/>
      <c r="LYP68" s="15"/>
      <c r="LYQ68" s="15"/>
      <c r="LYR68" s="15"/>
      <c r="LYS68" s="15"/>
      <c r="LYT68" s="15"/>
      <c r="LYU68" s="15"/>
      <c r="LYV68" s="15"/>
      <c r="LYW68" s="15"/>
      <c r="LYX68" s="15"/>
      <c r="LYY68" s="15"/>
      <c r="LYZ68" s="15"/>
      <c r="LZA68" s="15"/>
      <c r="LZB68" s="15"/>
      <c r="LZC68" s="15"/>
      <c r="LZD68" s="15"/>
      <c r="LZE68" s="15"/>
      <c r="LZF68" s="15"/>
      <c r="LZG68" s="15"/>
      <c r="LZH68" s="15"/>
      <c r="LZI68" s="15"/>
      <c r="LZJ68" s="15"/>
      <c r="LZK68" s="15"/>
      <c r="LZL68" s="15"/>
      <c r="LZM68" s="15"/>
      <c r="LZN68" s="15"/>
      <c r="LZO68" s="15"/>
      <c r="LZP68" s="15"/>
      <c r="LZQ68" s="15"/>
      <c r="LZR68" s="15"/>
      <c r="LZS68" s="15"/>
      <c r="LZT68" s="15"/>
      <c r="LZU68" s="15"/>
      <c r="LZV68" s="15"/>
      <c r="LZW68" s="15"/>
      <c r="LZX68" s="15"/>
      <c r="LZY68" s="15"/>
      <c r="LZZ68" s="15"/>
      <c r="MAA68" s="15"/>
      <c r="MAB68" s="15"/>
      <c r="MAC68" s="15"/>
      <c r="MAD68" s="15"/>
      <c r="MAE68" s="15"/>
      <c r="MAF68" s="15"/>
      <c r="MAG68" s="15"/>
      <c r="MAH68" s="15"/>
      <c r="MAI68" s="15"/>
      <c r="MAJ68" s="15"/>
      <c r="MAK68" s="15"/>
      <c r="MAL68" s="15"/>
      <c r="MAM68" s="15"/>
      <c r="MAN68" s="15"/>
      <c r="MAO68" s="15"/>
      <c r="MAP68" s="15"/>
      <c r="MAQ68" s="15"/>
      <c r="MAR68" s="15"/>
      <c r="MAS68" s="15"/>
      <c r="MAT68" s="15"/>
      <c r="MAU68" s="15"/>
      <c r="MAV68" s="15"/>
      <c r="MAW68" s="15"/>
      <c r="MAX68" s="15"/>
      <c r="MAY68" s="15"/>
      <c r="MAZ68" s="15"/>
      <c r="MBA68" s="15"/>
      <c r="MBB68" s="15"/>
      <c r="MBC68" s="15"/>
      <c r="MBD68" s="15"/>
      <c r="MBE68" s="15"/>
      <c r="MBF68" s="15"/>
      <c r="MBG68" s="15"/>
      <c r="MBH68" s="15"/>
      <c r="MBI68" s="15"/>
      <c r="MBJ68" s="15"/>
      <c r="MBK68" s="15"/>
      <c r="MBL68" s="15"/>
      <c r="MBM68" s="15"/>
      <c r="MBN68" s="15"/>
      <c r="MBO68" s="15"/>
      <c r="MBP68" s="15"/>
      <c r="MBQ68" s="15"/>
      <c r="MBR68" s="15"/>
      <c r="MBS68" s="15"/>
      <c r="MBT68" s="15"/>
      <c r="MBU68" s="15"/>
      <c r="MBV68" s="15"/>
      <c r="MBW68" s="15"/>
      <c r="MBX68" s="15"/>
      <c r="MBY68" s="15"/>
      <c r="MBZ68" s="15"/>
      <c r="MCA68" s="15"/>
      <c r="MCB68" s="15"/>
      <c r="MCC68" s="15"/>
      <c r="MCD68" s="15"/>
      <c r="MCE68" s="15"/>
      <c r="MCF68" s="15"/>
      <c r="MCG68" s="15"/>
      <c r="MCH68" s="15"/>
      <c r="MCI68" s="15"/>
      <c r="MCJ68" s="15"/>
      <c r="MCK68" s="15"/>
      <c r="MCL68" s="15"/>
      <c r="MCM68" s="15"/>
      <c r="MCN68" s="15"/>
      <c r="MCO68" s="15"/>
      <c r="MCP68" s="15"/>
      <c r="MCQ68" s="15"/>
      <c r="MCR68" s="15"/>
      <c r="MCS68" s="15"/>
      <c r="MCT68" s="15"/>
      <c r="MCU68" s="15"/>
      <c r="MCV68" s="15"/>
      <c r="MCW68" s="15"/>
      <c r="MCX68" s="15"/>
      <c r="MCY68" s="15"/>
      <c r="MCZ68" s="15"/>
      <c r="MDA68" s="15"/>
      <c r="MDB68" s="15"/>
      <c r="MDC68" s="15"/>
      <c r="MDD68" s="15"/>
      <c r="MDE68" s="15"/>
      <c r="MDF68" s="15"/>
      <c r="MDG68" s="15"/>
      <c r="MDH68" s="15"/>
      <c r="MDI68" s="15"/>
      <c r="MDJ68" s="15"/>
      <c r="MDK68" s="15"/>
      <c r="MDL68" s="15"/>
      <c r="MDM68" s="15"/>
      <c r="MDN68" s="15"/>
      <c r="MDO68" s="15"/>
      <c r="MDP68" s="15"/>
      <c r="MDQ68" s="15"/>
      <c r="MDR68" s="15"/>
      <c r="MDS68" s="15"/>
      <c r="MDT68" s="15"/>
      <c r="MDU68" s="15"/>
      <c r="MDV68" s="15"/>
      <c r="MDW68" s="15"/>
      <c r="MDX68" s="15"/>
      <c r="MDY68" s="15"/>
      <c r="MDZ68" s="15"/>
      <c r="MEA68" s="15"/>
      <c r="MEB68" s="15"/>
      <c r="MEC68" s="15"/>
      <c r="MED68" s="15"/>
      <c r="MEE68" s="15"/>
      <c r="MEF68" s="15"/>
      <c r="MEG68" s="15"/>
      <c r="MEH68" s="15"/>
      <c r="MEI68" s="15"/>
      <c r="MEJ68" s="15"/>
      <c r="MEK68" s="15"/>
      <c r="MEL68" s="15"/>
      <c r="MEM68" s="15"/>
      <c r="MEN68" s="15"/>
      <c r="MEO68" s="15"/>
      <c r="MEP68" s="15"/>
      <c r="MEQ68" s="15"/>
      <c r="MER68" s="15"/>
      <c r="MES68" s="15"/>
      <c r="MET68" s="15"/>
      <c r="MEU68" s="15"/>
      <c r="MEV68" s="15"/>
      <c r="MEW68" s="15"/>
      <c r="MEX68" s="15"/>
      <c r="MEY68" s="15"/>
      <c r="MEZ68" s="15"/>
      <c r="MFA68" s="15"/>
      <c r="MFB68" s="15"/>
      <c r="MFC68" s="15"/>
      <c r="MFD68" s="15"/>
      <c r="MFE68" s="15"/>
      <c r="MFF68" s="15"/>
      <c r="MFG68" s="15"/>
      <c r="MFH68" s="15"/>
      <c r="MFI68" s="15"/>
      <c r="MFJ68" s="15"/>
      <c r="MFK68" s="15"/>
      <c r="MFL68" s="15"/>
      <c r="MFM68" s="15"/>
      <c r="MFN68" s="15"/>
      <c r="MFO68" s="15"/>
      <c r="MFP68" s="15"/>
      <c r="MFQ68" s="15"/>
      <c r="MFR68" s="15"/>
      <c r="MFS68" s="15"/>
      <c r="MFT68" s="15"/>
      <c r="MFU68" s="15"/>
      <c r="MFV68" s="15"/>
      <c r="MFW68" s="15"/>
      <c r="MFX68" s="15"/>
      <c r="MFY68" s="15"/>
      <c r="MFZ68" s="15"/>
      <c r="MGA68" s="15"/>
      <c r="MGB68" s="15"/>
      <c r="MGC68" s="15"/>
      <c r="MGD68" s="15"/>
      <c r="MGE68" s="15"/>
      <c r="MGF68" s="15"/>
      <c r="MGG68" s="15"/>
      <c r="MGH68" s="15"/>
      <c r="MGI68" s="15"/>
      <c r="MGJ68" s="15"/>
      <c r="MGK68" s="15"/>
      <c r="MGL68" s="15"/>
      <c r="MGM68" s="15"/>
      <c r="MGN68" s="15"/>
      <c r="MGO68" s="15"/>
      <c r="MGP68" s="15"/>
      <c r="MGQ68" s="15"/>
      <c r="MGR68" s="15"/>
      <c r="MGS68" s="15"/>
      <c r="MGT68" s="15"/>
      <c r="MGU68" s="15"/>
      <c r="MGV68" s="15"/>
      <c r="MGW68" s="15"/>
      <c r="MGX68" s="15"/>
      <c r="MGY68" s="15"/>
      <c r="MGZ68" s="15"/>
      <c r="MHA68" s="15"/>
      <c r="MHB68" s="15"/>
      <c r="MHC68" s="15"/>
      <c r="MHD68" s="15"/>
      <c r="MHE68" s="15"/>
      <c r="MHF68" s="15"/>
      <c r="MHG68" s="15"/>
      <c r="MHH68" s="15"/>
      <c r="MHI68" s="15"/>
      <c r="MHJ68" s="15"/>
      <c r="MHK68" s="15"/>
      <c r="MHL68" s="15"/>
      <c r="MHM68" s="15"/>
      <c r="MHN68" s="15"/>
      <c r="MHO68" s="15"/>
      <c r="MHP68" s="15"/>
      <c r="MHQ68" s="15"/>
      <c r="MHR68" s="15"/>
      <c r="MHS68" s="15"/>
      <c r="MHT68" s="15"/>
      <c r="MHU68" s="15"/>
      <c r="MHV68" s="15"/>
      <c r="MHW68" s="15"/>
      <c r="MHX68" s="15"/>
      <c r="MHY68" s="15"/>
      <c r="MHZ68" s="15"/>
      <c r="MIA68" s="15"/>
      <c r="MIB68" s="15"/>
      <c r="MIC68" s="15"/>
      <c r="MID68" s="15"/>
      <c r="MIE68" s="15"/>
      <c r="MIF68" s="15"/>
      <c r="MIG68" s="15"/>
      <c r="MIH68" s="15"/>
      <c r="MII68" s="15"/>
      <c r="MIJ68" s="15"/>
      <c r="MIK68" s="15"/>
      <c r="MIL68" s="15"/>
      <c r="MIM68" s="15"/>
      <c r="MIN68" s="15"/>
      <c r="MIO68" s="15"/>
      <c r="MIP68" s="15"/>
      <c r="MIQ68" s="15"/>
      <c r="MIR68" s="15"/>
      <c r="MIS68" s="15"/>
      <c r="MIT68" s="15"/>
      <c r="MIU68" s="15"/>
      <c r="MIV68" s="15"/>
      <c r="MIW68" s="15"/>
      <c r="MIX68" s="15"/>
      <c r="MIY68" s="15"/>
      <c r="MIZ68" s="15"/>
      <c r="MJA68" s="15"/>
      <c r="MJB68" s="15"/>
      <c r="MJC68" s="15"/>
      <c r="MJD68" s="15"/>
      <c r="MJE68" s="15"/>
      <c r="MJF68" s="15"/>
      <c r="MJG68" s="15"/>
      <c r="MJH68" s="15"/>
      <c r="MJI68" s="15"/>
      <c r="MJJ68" s="15"/>
      <c r="MJK68" s="15"/>
      <c r="MJL68" s="15"/>
      <c r="MJM68" s="15"/>
      <c r="MJN68" s="15"/>
      <c r="MJO68" s="15"/>
      <c r="MJP68" s="15"/>
      <c r="MJQ68" s="15"/>
      <c r="MJR68" s="15"/>
      <c r="MJS68" s="15"/>
      <c r="MJT68" s="15"/>
      <c r="MJU68" s="15"/>
      <c r="MJV68" s="15"/>
      <c r="MJW68" s="15"/>
      <c r="MJX68" s="15"/>
      <c r="MJY68" s="15"/>
      <c r="MJZ68" s="15"/>
      <c r="MKA68" s="15"/>
      <c r="MKB68" s="15"/>
      <c r="MKC68" s="15"/>
      <c r="MKD68" s="15"/>
      <c r="MKE68" s="15"/>
      <c r="MKF68" s="15"/>
      <c r="MKG68" s="15"/>
      <c r="MKH68" s="15"/>
      <c r="MKI68" s="15"/>
      <c r="MKJ68" s="15"/>
      <c r="MKK68" s="15"/>
      <c r="MKL68" s="15"/>
      <c r="MKM68" s="15"/>
      <c r="MKN68" s="15"/>
      <c r="MKO68" s="15"/>
      <c r="MKP68" s="15"/>
      <c r="MKQ68" s="15"/>
      <c r="MKR68" s="15"/>
      <c r="MKS68" s="15"/>
      <c r="MKT68" s="15"/>
      <c r="MKU68" s="15"/>
      <c r="MKV68" s="15"/>
      <c r="MKW68" s="15"/>
      <c r="MKX68" s="15"/>
      <c r="MKY68" s="15"/>
      <c r="MKZ68" s="15"/>
      <c r="MLA68" s="15"/>
      <c r="MLB68" s="15"/>
      <c r="MLC68" s="15"/>
      <c r="MLD68" s="15"/>
      <c r="MLE68" s="15"/>
      <c r="MLF68" s="15"/>
      <c r="MLG68" s="15"/>
      <c r="MLH68" s="15"/>
      <c r="MLI68" s="15"/>
      <c r="MLJ68" s="15"/>
      <c r="MLK68" s="15"/>
      <c r="MLL68" s="15"/>
      <c r="MLM68" s="15"/>
      <c r="MLN68" s="15"/>
      <c r="MLO68" s="15"/>
      <c r="MLP68" s="15"/>
      <c r="MLQ68" s="15"/>
      <c r="MLR68" s="15"/>
      <c r="MLS68" s="15"/>
      <c r="MLT68" s="15"/>
      <c r="MLU68" s="15"/>
      <c r="MLV68" s="15"/>
      <c r="MLW68" s="15"/>
      <c r="MLX68" s="15"/>
      <c r="MLY68" s="15"/>
      <c r="MLZ68" s="15"/>
      <c r="MMA68" s="15"/>
      <c r="MMB68" s="15"/>
      <c r="MMC68" s="15"/>
      <c r="MMD68" s="15"/>
      <c r="MME68" s="15"/>
      <c r="MMF68" s="15"/>
      <c r="MMG68" s="15"/>
      <c r="MMH68" s="15"/>
      <c r="MMI68" s="15"/>
      <c r="MMJ68" s="15"/>
      <c r="MMK68" s="15"/>
      <c r="MML68" s="15"/>
      <c r="MMM68" s="15"/>
      <c r="MMN68" s="15"/>
      <c r="MMO68" s="15"/>
      <c r="MMP68" s="15"/>
      <c r="MMQ68" s="15"/>
      <c r="MMR68" s="15"/>
      <c r="MMS68" s="15"/>
      <c r="MMT68" s="15"/>
      <c r="MMU68" s="15"/>
      <c r="MMV68" s="15"/>
      <c r="MMW68" s="15"/>
      <c r="MMX68" s="15"/>
      <c r="MMY68" s="15"/>
      <c r="MMZ68" s="15"/>
      <c r="MNA68" s="15"/>
      <c r="MNB68" s="15"/>
      <c r="MNC68" s="15"/>
      <c r="MND68" s="15"/>
      <c r="MNE68" s="15"/>
      <c r="MNF68" s="15"/>
      <c r="MNG68" s="15"/>
      <c r="MNH68" s="15"/>
      <c r="MNI68" s="15"/>
      <c r="MNJ68" s="15"/>
      <c r="MNK68" s="15"/>
      <c r="MNL68" s="15"/>
      <c r="MNM68" s="15"/>
      <c r="MNN68" s="15"/>
      <c r="MNO68" s="15"/>
      <c r="MNP68" s="15"/>
      <c r="MNQ68" s="15"/>
      <c r="MNR68" s="15"/>
      <c r="MNS68" s="15"/>
      <c r="MNT68" s="15"/>
      <c r="MNU68" s="15"/>
      <c r="MNV68" s="15"/>
      <c r="MNW68" s="15"/>
      <c r="MNX68" s="15"/>
      <c r="MNY68" s="15"/>
      <c r="MNZ68" s="15"/>
      <c r="MOA68" s="15"/>
      <c r="MOB68" s="15"/>
      <c r="MOC68" s="15"/>
      <c r="MOD68" s="15"/>
      <c r="MOE68" s="15"/>
      <c r="MOF68" s="15"/>
      <c r="MOG68" s="15"/>
      <c r="MOH68" s="15"/>
      <c r="MOI68" s="15"/>
      <c r="MOJ68" s="15"/>
      <c r="MOK68" s="15"/>
      <c r="MOL68" s="15"/>
      <c r="MOM68" s="15"/>
      <c r="MON68" s="15"/>
      <c r="MOO68" s="15"/>
      <c r="MOP68" s="15"/>
      <c r="MOQ68" s="15"/>
      <c r="MOR68" s="15"/>
      <c r="MOS68" s="15"/>
      <c r="MOT68" s="15"/>
      <c r="MOU68" s="15"/>
      <c r="MOV68" s="15"/>
      <c r="MOW68" s="15"/>
      <c r="MOX68" s="15"/>
      <c r="MOY68" s="15"/>
      <c r="MOZ68" s="15"/>
      <c r="MPA68" s="15"/>
      <c r="MPB68" s="15"/>
      <c r="MPC68" s="15"/>
      <c r="MPD68" s="15"/>
      <c r="MPE68" s="15"/>
      <c r="MPF68" s="15"/>
      <c r="MPG68" s="15"/>
      <c r="MPH68" s="15"/>
      <c r="MPI68" s="15"/>
      <c r="MPJ68" s="15"/>
      <c r="MPK68" s="15"/>
      <c r="MPL68" s="15"/>
      <c r="MPM68" s="15"/>
      <c r="MPN68" s="15"/>
      <c r="MPO68" s="15"/>
      <c r="MPP68" s="15"/>
      <c r="MPQ68" s="15"/>
      <c r="MPR68" s="15"/>
      <c r="MPS68" s="15"/>
      <c r="MPT68" s="15"/>
      <c r="MPU68" s="15"/>
      <c r="MPV68" s="15"/>
      <c r="MPW68" s="15"/>
      <c r="MPX68" s="15"/>
      <c r="MPY68" s="15"/>
      <c r="MPZ68" s="15"/>
      <c r="MQA68" s="15"/>
      <c r="MQB68" s="15"/>
      <c r="MQC68" s="15"/>
      <c r="MQD68" s="15"/>
      <c r="MQE68" s="15"/>
      <c r="MQF68" s="15"/>
      <c r="MQG68" s="15"/>
      <c r="MQH68" s="15"/>
      <c r="MQI68" s="15"/>
      <c r="MQJ68" s="15"/>
      <c r="MQK68" s="15"/>
      <c r="MQL68" s="15"/>
      <c r="MQM68" s="15"/>
      <c r="MQN68" s="15"/>
      <c r="MQO68" s="15"/>
      <c r="MQP68" s="15"/>
      <c r="MQQ68" s="15"/>
      <c r="MQR68" s="15"/>
      <c r="MQS68" s="15"/>
      <c r="MQT68" s="15"/>
      <c r="MQU68" s="15"/>
      <c r="MQV68" s="15"/>
      <c r="MQW68" s="15"/>
      <c r="MQX68" s="15"/>
      <c r="MQY68" s="15"/>
      <c r="MQZ68" s="15"/>
      <c r="MRA68" s="15"/>
      <c r="MRB68" s="15"/>
      <c r="MRC68" s="15"/>
      <c r="MRD68" s="15"/>
      <c r="MRE68" s="15"/>
      <c r="MRF68" s="15"/>
      <c r="MRG68" s="15"/>
      <c r="MRH68" s="15"/>
      <c r="MRI68" s="15"/>
      <c r="MRJ68" s="15"/>
      <c r="MRK68" s="15"/>
      <c r="MRL68" s="15"/>
      <c r="MRM68" s="15"/>
      <c r="MRN68" s="15"/>
      <c r="MRO68" s="15"/>
      <c r="MRP68" s="15"/>
      <c r="MRQ68" s="15"/>
      <c r="MRR68" s="15"/>
      <c r="MRS68" s="15"/>
      <c r="MRT68" s="15"/>
      <c r="MRU68" s="15"/>
      <c r="MRV68" s="15"/>
      <c r="MRW68" s="15"/>
      <c r="MRX68" s="15"/>
      <c r="MRY68" s="15"/>
      <c r="MRZ68" s="15"/>
      <c r="MSA68" s="15"/>
      <c r="MSB68" s="15"/>
      <c r="MSC68" s="15"/>
      <c r="MSD68" s="15"/>
      <c r="MSE68" s="15"/>
      <c r="MSF68" s="15"/>
      <c r="MSG68" s="15"/>
      <c r="MSH68" s="15"/>
      <c r="MSI68" s="15"/>
      <c r="MSJ68" s="15"/>
      <c r="MSK68" s="15"/>
      <c r="MSL68" s="15"/>
      <c r="MSM68" s="15"/>
      <c r="MSN68" s="15"/>
      <c r="MSO68" s="15"/>
      <c r="MSP68" s="15"/>
      <c r="MSQ68" s="15"/>
      <c r="MSR68" s="15"/>
      <c r="MSS68" s="15"/>
      <c r="MST68" s="15"/>
      <c r="MSU68" s="15"/>
      <c r="MSV68" s="15"/>
      <c r="MSW68" s="15"/>
      <c r="MSX68" s="15"/>
      <c r="MSY68" s="15"/>
      <c r="MSZ68" s="15"/>
      <c r="MTA68" s="15"/>
      <c r="MTB68" s="15"/>
      <c r="MTC68" s="15"/>
      <c r="MTD68" s="15"/>
      <c r="MTE68" s="15"/>
      <c r="MTF68" s="15"/>
      <c r="MTG68" s="15"/>
      <c r="MTH68" s="15"/>
      <c r="MTI68" s="15"/>
      <c r="MTJ68" s="15"/>
      <c r="MTK68" s="15"/>
      <c r="MTL68" s="15"/>
      <c r="MTM68" s="15"/>
      <c r="MTN68" s="15"/>
      <c r="MTO68" s="15"/>
      <c r="MTP68" s="15"/>
      <c r="MTQ68" s="15"/>
      <c r="MTR68" s="15"/>
      <c r="MTS68" s="15"/>
      <c r="MTT68" s="15"/>
      <c r="MTU68" s="15"/>
      <c r="MTV68" s="15"/>
      <c r="MTW68" s="15"/>
      <c r="MTX68" s="15"/>
      <c r="MTY68" s="15"/>
      <c r="MTZ68" s="15"/>
      <c r="MUA68" s="15"/>
      <c r="MUB68" s="15"/>
      <c r="MUC68" s="15"/>
      <c r="MUD68" s="15"/>
      <c r="MUE68" s="15"/>
      <c r="MUF68" s="15"/>
      <c r="MUG68" s="15"/>
      <c r="MUH68" s="15"/>
      <c r="MUI68" s="15"/>
      <c r="MUJ68" s="15"/>
      <c r="MUK68" s="15"/>
      <c r="MUL68" s="15"/>
      <c r="MUM68" s="15"/>
      <c r="MUN68" s="15"/>
      <c r="MUO68" s="15"/>
      <c r="MUP68" s="15"/>
      <c r="MUQ68" s="15"/>
      <c r="MUR68" s="15"/>
      <c r="MUS68" s="15"/>
      <c r="MUT68" s="15"/>
      <c r="MUU68" s="15"/>
      <c r="MUV68" s="15"/>
      <c r="MUW68" s="15"/>
      <c r="MUX68" s="15"/>
      <c r="MUY68" s="15"/>
      <c r="MUZ68" s="15"/>
      <c r="MVA68" s="15"/>
      <c r="MVB68" s="15"/>
      <c r="MVC68" s="15"/>
      <c r="MVD68" s="15"/>
      <c r="MVE68" s="15"/>
      <c r="MVF68" s="15"/>
      <c r="MVG68" s="15"/>
      <c r="MVH68" s="15"/>
      <c r="MVI68" s="15"/>
      <c r="MVJ68" s="15"/>
      <c r="MVK68" s="15"/>
      <c r="MVL68" s="15"/>
      <c r="MVM68" s="15"/>
      <c r="MVN68" s="15"/>
      <c r="MVO68" s="15"/>
      <c r="MVP68" s="15"/>
      <c r="MVQ68" s="15"/>
      <c r="MVR68" s="15"/>
      <c r="MVS68" s="15"/>
      <c r="MVT68" s="15"/>
      <c r="MVU68" s="15"/>
      <c r="MVV68" s="15"/>
      <c r="MVW68" s="15"/>
      <c r="MVX68" s="15"/>
      <c r="MVY68" s="15"/>
      <c r="MVZ68" s="15"/>
      <c r="MWA68" s="15"/>
      <c r="MWB68" s="15"/>
      <c r="MWC68" s="15"/>
      <c r="MWD68" s="15"/>
      <c r="MWE68" s="15"/>
      <c r="MWF68" s="15"/>
      <c r="MWG68" s="15"/>
      <c r="MWH68" s="15"/>
      <c r="MWI68" s="15"/>
      <c r="MWJ68" s="15"/>
      <c r="MWK68" s="15"/>
      <c r="MWL68" s="15"/>
      <c r="MWM68" s="15"/>
      <c r="MWN68" s="15"/>
      <c r="MWO68" s="15"/>
      <c r="MWP68" s="15"/>
      <c r="MWQ68" s="15"/>
      <c r="MWR68" s="15"/>
      <c r="MWS68" s="15"/>
      <c r="MWT68" s="15"/>
      <c r="MWU68" s="15"/>
      <c r="MWV68" s="15"/>
      <c r="MWW68" s="15"/>
      <c r="MWX68" s="15"/>
      <c r="MWY68" s="15"/>
      <c r="MWZ68" s="15"/>
      <c r="MXA68" s="15"/>
      <c r="MXB68" s="15"/>
      <c r="MXC68" s="15"/>
      <c r="MXD68" s="15"/>
      <c r="MXE68" s="15"/>
      <c r="MXF68" s="15"/>
      <c r="MXG68" s="15"/>
      <c r="MXH68" s="15"/>
      <c r="MXI68" s="15"/>
      <c r="MXJ68" s="15"/>
      <c r="MXK68" s="15"/>
      <c r="MXL68" s="15"/>
      <c r="MXM68" s="15"/>
      <c r="MXN68" s="15"/>
      <c r="MXO68" s="15"/>
      <c r="MXP68" s="15"/>
      <c r="MXQ68" s="15"/>
      <c r="MXR68" s="15"/>
      <c r="MXS68" s="15"/>
      <c r="MXT68" s="15"/>
      <c r="MXU68" s="15"/>
      <c r="MXV68" s="15"/>
      <c r="MXW68" s="15"/>
      <c r="MXX68" s="15"/>
      <c r="MXY68" s="15"/>
      <c r="MXZ68" s="15"/>
      <c r="MYA68" s="15"/>
      <c r="MYB68" s="15"/>
      <c r="MYC68" s="15"/>
      <c r="MYD68" s="15"/>
      <c r="MYE68" s="15"/>
      <c r="MYF68" s="15"/>
      <c r="MYG68" s="15"/>
      <c r="MYH68" s="15"/>
      <c r="MYI68" s="15"/>
      <c r="MYJ68" s="15"/>
      <c r="MYK68" s="15"/>
      <c r="MYL68" s="15"/>
      <c r="MYM68" s="15"/>
      <c r="MYN68" s="15"/>
      <c r="MYO68" s="15"/>
      <c r="MYP68" s="15"/>
      <c r="MYQ68" s="15"/>
      <c r="MYR68" s="15"/>
      <c r="MYS68" s="15"/>
      <c r="MYT68" s="15"/>
      <c r="MYU68" s="15"/>
      <c r="MYV68" s="15"/>
      <c r="MYW68" s="15"/>
      <c r="MYX68" s="15"/>
      <c r="MYY68" s="15"/>
      <c r="MYZ68" s="15"/>
      <c r="MZA68" s="15"/>
      <c r="MZB68" s="15"/>
      <c r="MZC68" s="15"/>
      <c r="MZD68" s="15"/>
      <c r="MZE68" s="15"/>
      <c r="MZF68" s="15"/>
      <c r="MZG68" s="15"/>
      <c r="MZH68" s="15"/>
      <c r="MZI68" s="15"/>
      <c r="MZJ68" s="15"/>
      <c r="MZK68" s="15"/>
      <c r="MZL68" s="15"/>
      <c r="MZM68" s="15"/>
      <c r="MZN68" s="15"/>
      <c r="MZO68" s="15"/>
      <c r="MZP68" s="15"/>
      <c r="MZQ68" s="15"/>
      <c r="MZR68" s="15"/>
      <c r="MZS68" s="15"/>
      <c r="MZT68" s="15"/>
      <c r="MZU68" s="15"/>
      <c r="MZV68" s="15"/>
      <c r="MZW68" s="15"/>
      <c r="MZX68" s="15"/>
      <c r="MZY68" s="15"/>
      <c r="MZZ68" s="15"/>
      <c r="NAA68" s="15"/>
      <c r="NAB68" s="15"/>
      <c r="NAC68" s="15"/>
      <c r="NAD68" s="15"/>
      <c r="NAE68" s="15"/>
      <c r="NAF68" s="15"/>
      <c r="NAG68" s="15"/>
      <c r="NAH68" s="15"/>
      <c r="NAI68" s="15"/>
      <c r="NAJ68" s="15"/>
      <c r="NAK68" s="15"/>
      <c r="NAL68" s="15"/>
      <c r="NAM68" s="15"/>
      <c r="NAN68" s="15"/>
      <c r="NAO68" s="15"/>
      <c r="NAP68" s="15"/>
      <c r="NAQ68" s="15"/>
      <c r="NAR68" s="15"/>
      <c r="NAS68" s="15"/>
      <c r="NAT68" s="15"/>
      <c r="NAU68" s="15"/>
      <c r="NAV68" s="15"/>
      <c r="NAW68" s="15"/>
      <c r="NAX68" s="15"/>
      <c r="NAY68" s="15"/>
      <c r="NAZ68" s="15"/>
      <c r="NBA68" s="15"/>
      <c r="NBB68" s="15"/>
      <c r="NBC68" s="15"/>
      <c r="NBD68" s="15"/>
      <c r="NBE68" s="15"/>
      <c r="NBF68" s="15"/>
      <c r="NBG68" s="15"/>
      <c r="NBH68" s="15"/>
      <c r="NBI68" s="15"/>
      <c r="NBJ68" s="15"/>
      <c r="NBK68" s="15"/>
      <c r="NBL68" s="15"/>
      <c r="NBM68" s="15"/>
      <c r="NBN68" s="15"/>
      <c r="NBO68" s="15"/>
      <c r="NBP68" s="15"/>
      <c r="NBQ68" s="15"/>
      <c r="NBR68" s="15"/>
      <c r="NBS68" s="15"/>
      <c r="NBT68" s="15"/>
      <c r="NBU68" s="15"/>
      <c r="NBV68" s="15"/>
      <c r="NBW68" s="15"/>
      <c r="NBX68" s="15"/>
      <c r="NBY68" s="15"/>
      <c r="NBZ68" s="15"/>
      <c r="NCA68" s="15"/>
      <c r="NCB68" s="15"/>
      <c r="NCC68" s="15"/>
      <c r="NCD68" s="15"/>
      <c r="NCE68" s="15"/>
      <c r="NCF68" s="15"/>
      <c r="NCG68" s="15"/>
      <c r="NCH68" s="15"/>
      <c r="NCI68" s="15"/>
      <c r="NCJ68" s="15"/>
      <c r="NCK68" s="15"/>
      <c r="NCL68" s="15"/>
      <c r="NCM68" s="15"/>
      <c r="NCN68" s="15"/>
      <c r="NCO68" s="15"/>
      <c r="NCP68" s="15"/>
      <c r="NCQ68" s="15"/>
      <c r="NCR68" s="15"/>
      <c r="NCS68" s="15"/>
      <c r="NCT68" s="15"/>
      <c r="NCU68" s="15"/>
      <c r="NCV68" s="15"/>
      <c r="NCW68" s="15"/>
      <c r="NCX68" s="15"/>
      <c r="NCY68" s="15"/>
      <c r="NCZ68" s="15"/>
      <c r="NDA68" s="15"/>
      <c r="NDB68" s="15"/>
      <c r="NDC68" s="15"/>
      <c r="NDD68" s="15"/>
      <c r="NDE68" s="15"/>
      <c r="NDF68" s="15"/>
      <c r="NDG68" s="15"/>
      <c r="NDH68" s="15"/>
      <c r="NDI68" s="15"/>
      <c r="NDJ68" s="15"/>
      <c r="NDK68" s="15"/>
      <c r="NDL68" s="15"/>
      <c r="NDM68" s="15"/>
      <c r="NDN68" s="15"/>
      <c r="NDO68" s="15"/>
      <c r="NDP68" s="15"/>
      <c r="NDQ68" s="15"/>
      <c r="NDR68" s="15"/>
      <c r="NDS68" s="15"/>
      <c r="NDT68" s="15"/>
      <c r="NDU68" s="15"/>
      <c r="NDV68" s="15"/>
      <c r="NDW68" s="15"/>
      <c r="NDX68" s="15"/>
      <c r="NDY68" s="15"/>
      <c r="NDZ68" s="15"/>
      <c r="NEA68" s="15"/>
      <c r="NEB68" s="15"/>
      <c r="NEC68" s="15"/>
      <c r="NED68" s="15"/>
      <c r="NEE68" s="15"/>
      <c r="NEF68" s="15"/>
      <c r="NEG68" s="15"/>
      <c r="NEH68" s="15"/>
      <c r="NEI68" s="15"/>
      <c r="NEJ68" s="15"/>
      <c r="NEK68" s="15"/>
      <c r="NEL68" s="15"/>
      <c r="NEM68" s="15"/>
      <c r="NEN68" s="15"/>
      <c r="NEO68" s="15"/>
      <c r="NEP68" s="15"/>
      <c r="NEQ68" s="15"/>
      <c r="NER68" s="15"/>
      <c r="NES68" s="15"/>
      <c r="NET68" s="15"/>
      <c r="NEU68" s="15"/>
      <c r="NEV68" s="15"/>
      <c r="NEW68" s="15"/>
      <c r="NEX68" s="15"/>
      <c r="NEY68" s="15"/>
      <c r="NEZ68" s="15"/>
      <c r="NFA68" s="15"/>
      <c r="NFB68" s="15"/>
      <c r="NFC68" s="15"/>
      <c r="NFD68" s="15"/>
      <c r="NFE68" s="15"/>
      <c r="NFF68" s="15"/>
      <c r="NFG68" s="15"/>
      <c r="NFH68" s="15"/>
      <c r="NFI68" s="15"/>
      <c r="NFJ68" s="15"/>
      <c r="NFK68" s="15"/>
      <c r="NFL68" s="15"/>
      <c r="NFM68" s="15"/>
      <c r="NFN68" s="15"/>
      <c r="NFO68" s="15"/>
      <c r="NFP68" s="15"/>
      <c r="NFQ68" s="15"/>
      <c r="NFR68" s="15"/>
      <c r="NFS68" s="15"/>
      <c r="NFT68" s="15"/>
      <c r="NFU68" s="15"/>
      <c r="NFV68" s="15"/>
      <c r="NFW68" s="15"/>
      <c r="NFX68" s="15"/>
      <c r="NFY68" s="15"/>
      <c r="NFZ68" s="15"/>
      <c r="NGA68" s="15"/>
      <c r="NGB68" s="15"/>
      <c r="NGC68" s="15"/>
      <c r="NGD68" s="15"/>
      <c r="NGE68" s="15"/>
      <c r="NGF68" s="15"/>
      <c r="NGG68" s="15"/>
      <c r="NGH68" s="15"/>
      <c r="NGI68" s="15"/>
      <c r="NGJ68" s="15"/>
      <c r="NGK68" s="15"/>
      <c r="NGL68" s="15"/>
      <c r="NGM68" s="15"/>
      <c r="NGN68" s="15"/>
      <c r="NGO68" s="15"/>
      <c r="NGP68" s="15"/>
      <c r="NGQ68" s="15"/>
      <c r="NGR68" s="15"/>
      <c r="NGS68" s="15"/>
      <c r="NGT68" s="15"/>
      <c r="NGU68" s="15"/>
      <c r="NGV68" s="15"/>
      <c r="NGW68" s="15"/>
      <c r="NGX68" s="15"/>
      <c r="NGY68" s="15"/>
      <c r="NGZ68" s="15"/>
      <c r="NHA68" s="15"/>
      <c r="NHB68" s="15"/>
      <c r="NHC68" s="15"/>
      <c r="NHD68" s="15"/>
      <c r="NHE68" s="15"/>
      <c r="NHF68" s="15"/>
      <c r="NHG68" s="15"/>
      <c r="NHH68" s="15"/>
      <c r="NHI68" s="15"/>
      <c r="NHJ68" s="15"/>
      <c r="NHK68" s="15"/>
      <c r="NHL68" s="15"/>
      <c r="NHM68" s="15"/>
      <c r="NHN68" s="15"/>
      <c r="NHO68" s="15"/>
      <c r="NHP68" s="15"/>
      <c r="NHQ68" s="15"/>
      <c r="NHR68" s="15"/>
      <c r="NHS68" s="15"/>
      <c r="NHT68" s="15"/>
      <c r="NHU68" s="15"/>
      <c r="NHV68" s="15"/>
      <c r="NHW68" s="15"/>
      <c r="NHX68" s="15"/>
      <c r="NHY68" s="15"/>
      <c r="NHZ68" s="15"/>
      <c r="NIA68" s="15"/>
      <c r="NIB68" s="15"/>
      <c r="NIC68" s="15"/>
      <c r="NID68" s="15"/>
      <c r="NIE68" s="15"/>
      <c r="NIF68" s="15"/>
      <c r="NIG68" s="15"/>
      <c r="NIH68" s="15"/>
      <c r="NII68" s="15"/>
      <c r="NIJ68" s="15"/>
      <c r="NIK68" s="15"/>
      <c r="NIL68" s="15"/>
      <c r="NIM68" s="15"/>
      <c r="NIN68" s="15"/>
      <c r="NIO68" s="15"/>
      <c r="NIP68" s="15"/>
      <c r="NIQ68" s="15"/>
      <c r="NIR68" s="15"/>
      <c r="NIS68" s="15"/>
      <c r="NIT68" s="15"/>
      <c r="NIU68" s="15"/>
      <c r="NIV68" s="15"/>
      <c r="NIW68" s="15"/>
      <c r="NIX68" s="15"/>
      <c r="NIY68" s="15"/>
      <c r="NIZ68" s="15"/>
      <c r="NJA68" s="15"/>
      <c r="NJB68" s="15"/>
      <c r="NJC68" s="15"/>
      <c r="NJD68" s="15"/>
      <c r="NJE68" s="15"/>
      <c r="NJF68" s="15"/>
      <c r="NJG68" s="15"/>
      <c r="NJH68" s="15"/>
      <c r="NJI68" s="15"/>
      <c r="NJJ68" s="15"/>
      <c r="NJK68" s="15"/>
      <c r="NJL68" s="15"/>
      <c r="NJM68" s="15"/>
      <c r="NJN68" s="15"/>
      <c r="NJO68" s="15"/>
      <c r="NJP68" s="15"/>
      <c r="NJQ68" s="15"/>
      <c r="NJR68" s="15"/>
      <c r="NJS68" s="15"/>
      <c r="NJT68" s="15"/>
      <c r="NJU68" s="15"/>
      <c r="NJV68" s="15"/>
      <c r="NJW68" s="15"/>
      <c r="NJX68" s="15"/>
      <c r="NJY68" s="15"/>
      <c r="NJZ68" s="15"/>
      <c r="NKA68" s="15"/>
      <c r="NKB68" s="15"/>
      <c r="NKC68" s="15"/>
      <c r="NKD68" s="15"/>
      <c r="NKE68" s="15"/>
      <c r="NKF68" s="15"/>
      <c r="NKG68" s="15"/>
      <c r="NKH68" s="15"/>
      <c r="NKI68" s="15"/>
      <c r="NKJ68" s="15"/>
      <c r="NKK68" s="15"/>
      <c r="NKL68" s="15"/>
      <c r="NKM68" s="15"/>
      <c r="NKN68" s="15"/>
      <c r="NKO68" s="15"/>
      <c r="NKP68" s="15"/>
      <c r="NKQ68" s="15"/>
      <c r="NKR68" s="15"/>
      <c r="NKS68" s="15"/>
      <c r="NKT68" s="15"/>
      <c r="NKU68" s="15"/>
      <c r="NKV68" s="15"/>
      <c r="NKW68" s="15"/>
      <c r="NKX68" s="15"/>
      <c r="NKY68" s="15"/>
      <c r="NKZ68" s="15"/>
      <c r="NLA68" s="15"/>
      <c r="NLB68" s="15"/>
      <c r="NLC68" s="15"/>
      <c r="NLD68" s="15"/>
      <c r="NLE68" s="15"/>
      <c r="NLF68" s="15"/>
      <c r="NLG68" s="15"/>
      <c r="NLH68" s="15"/>
      <c r="NLI68" s="15"/>
      <c r="NLJ68" s="15"/>
      <c r="NLK68" s="15"/>
      <c r="NLL68" s="15"/>
      <c r="NLM68" s="15"/>
      <c r="NLN68" s="15"/>
      <c r="NLO68" s="15"/>
      <c r="NLP68" s="15"/>
      <c r="NLQ68" s="15"/>
      <c r="NLR68" s="15"/>
      <c r="NLS68" s="15"/>
      <c r="NLT68" s="15"/>
      <c r="NLU68" s="15"/>
      <c r="NLV68" s="15"/>
      <c r="NLW68" s="15"/>
      <c r="NLX68" s="15"/>
      <c r="NLY68" s="15"/>
      <c r="NLZ68" s="15"/>
      <c r="NMA68" s="15"/>
      <c r="NMB68" s="15"/>
      <c r="NMC68" s="15"/>
      <c r="NMD68" s="15"/>
      <c r="NME68" s="15"/>
      <c r="NMF68" s="15"/>
      <c r="NMG68" s="15"/>
      <c r="NMH68" s="15"/>
      <c r="NMI68" s="15"/>
      <c r="NMJ68" s="15"/>
      <c r="NMK68" s="15"/>
      <c r="NML68" s="15"/>
      <c r="NMM68" s="15"/>
      <c r="NMN68" s="15"/>
      <c r="NMO68" s="15"/>
      <c r="NMP68" s="15"/>
      <c r="NMQ68" s="15"/>
      <c r="NMR68" s="15"/>
      <c r="NMS68" s="15"/>
      <c r="NMT68" s="15"/>
      <c r="NMU68" s="15"/>
      <c r="NMV68" s="15"/>
      <c r="NMW68" s="15"/>
      <c r="NMX68" s="15"/>
      <c r="NMY68" s="15"/>
      <c r="NMZ68" s="15"/>
      <c r="NNA68" s="15"/>
      <c r="NNB68" s="15"/>
      <c r="NNC68" s="15"/>
      <c r="NND68" s="15"/>
      <c r="NNE68" s="15"/>
      <c r="NNF68" s="15"/>
      <c r="NNG68" s="15"/>
      <c r="NNH68" s="15"/>
      <c r="NNI68" s="15"/>
      <c r="NNJ68" s="15"/>
      <c r="NNK68" s="15"/>
      <c r="NNL68" s="15"/>
      <c r="NNM68" s="15"/>
      <c r="NNN68" s="15"/>
      <c r="NNO68" s="15"/>
      <c r="NNP68" s="15"/>
      <c r="NNQ68" s="15"/>
      <c r="NNR68" s="15"/>
      <c r="NNS68" s="15"/>
      <c r="NNT68" s="15"/>
      <c r="NNU68" s="15"/>
      <c r="NNV68" s="15"/>
      <c r="NNW68" s="15"/>
      <c r="NNX68" s="15"/>
      <c r="NNY68" s="15"/>
      <c r="NNZ68" s="15"/>
      <c r="NOA68" s="15"/>
      <c r="NOB68" s="15"/>
      <c r="NOC68" s="15"/>
      <c r="NOD68" s="15"/>
      <c r="NOE68" s="15"/>
      <c r="NOF68" s="15"/>
      <c r="NOG68" s="15"/>
      <c r="NOH68" s="15"/>
      <c r="NOI68" s="15"/>
      <c r="NOJ68" s="15"/>
      <c r="NOK68" s="15"/>
      <c r="NOL68" s="15"/>
      <c r="NOM68" s="15"/>
      <c r="NON68" s="15"/>
      <c r="NOO68" s="15"/>
      <c r="NOP68" s="15"/>
      <c r="NOQ68" s="15"/>
      <c r="NOR68" s="15"/>
      <c r="NOS68" s="15"/>
      <c r="NOT68" s="15"/>
      <c r="NOU68" s="15"/>
      <c r="NOV68" s="15"/>
      <c r="NOW68" s="15"/>
      <c r="NOX68" s="15"/>
      <c r="NOY68" s="15"/>
      <c r="NOZ68" s="15"/>
      <c r="NPA68" s="15"/>
      <c r="NPB68" s="15"/>
      <c r="NPC68" s="15"/>
      <c r="NPD68" s="15"/>
      <c r="NPE68" s="15"/>
      <c r="NPF68" s="15"/>
      <c r="NPG68" s="15"/>
      <c r="NPH68" s="15"/>
      <c r="NPI68" s="15"/>
      <c r="NPJ68" s="15"/>
      <c r="NPK68" s="15"/>
      <c r="NPL68" s="15"/>
      <c r="NPM68" s="15"/>
      <c r="NPN68" s="15"/>
      <c r="NPO68" s="15"/>
      <c r="NPP68" s="15"/>
      <c r="NPQ68" s="15"/>
      <c r="NPR68" s="15"/>
      <c r="NPS68" s="15"/>
      <c r="NPT68" s="15"/>
      <c r="NPU68" s="15"/>
      <c r="NPV68" s="15"/>
      <c r="NPW68" s="15"/>
      <c r="NPX68" s="15"/>
      <c r="NPY68" s="15"/>
      <c r="NPZ68" s="15"/>
      <c r="NQA68" s="15"/>
      <c r="NQB68" s="15"/>
      <c r="NQC68" s="15"/>
      <c r="NQD68" s="15"/>
      <c r="NQE68" s="15"/>
      <c r="NQF68" s="15"/>
      <c r="NQG68" s="15"/>
      <c r="NQH68" s="15"/>
      <c r="NQI68" s="15"/>
      <c r="NQJ68" s="15"/>
      <c r="NQK68" s="15"/>
      <c r="NQL68" s="15"/>
      <c r="NQM68" s="15"/>
      <c r="NQN68" s="15"/>
      <c r="NQO68" s="15"/>
      <c r="NQP68" s="15"/>
      <c r="NQQ68" s="15"/>
      <c r="NQR68" s="15"/>
      <c r="NQS68" s="15"/>
      <c r="NQT68" s="15"/>
      <c r="NQU68" s="15"/>
      <c r="NQV68" s="15"/>
      <c r="NQW68" s="15"/>
      <c r="NQX68" s="15"/>
      <c r="NQY68" s="15"/>
      <c r="NQZ68" s="15"/>
      <c r="NRA68" s="15"/>
      <c r="NRB68" s="15"/>
      <c r="NRC68" s="15"/>
      <c r="NRD68" s="15"/>
      <c r="NRE68" s="15"/>
      <c r="NRF68" s="15"/>
      <c r="NRG68" s="15"/>
      <c r="NRH68" s="15"/>
      <c r="NRI68" s="15"/>
      <c r="NRJ68" s="15"/>
      <c r="NRK68" s="15"/>
      <c r="NRL68" s="15"/>
      <c r="NRM68" s="15"/>
      <c r="NRN68" s="15"/>
      <c r="NRO68" s="15"/>
      <c r="NRP68" s="15"/>
      <c r="NRQ68" s="15"/>
      <c r="NRR68" s="15"/>
      <c r="NRS68" s="15"/>
      <c r="NRT68" s="15"/>
      <c r="NRU68" s="15"/>
      <c r="NRV68" s="15"/>
      <c r="NRW68" s="15"/>
      <c r="NRX68" s="15"/>
      <c r="NRY68" s="15"/>
      <c r="NRZ68" s="15"/>
      <c r="NSA68" s="15"/>
      <c r="NSB68" s="15"/>
      <c r="NSC68" s="15"/>
      <c r="NSD68" s="15"/>
      <c r="NSE68" s="15"/>
      <c r="NSF68" s="15"/>
      <c r="NSG68" s="15"/>
      <c r="NSH68" s="15"/>
      <c r="NSI68" s="15"/>
      <c r="NSJ68" s="15"/>
      <c r="NSK68" s="15"/>
      <c r="NSL68" s="15"/>
      <c r="NSM68" s="15"/>
      <c r="NSN68" s="15"/>
      <c r="NSO68" s="15"/>
      <c r="NSP68" s="15"/>
      <c r="NSQ68" s="15"/>
      <c r="NSR68" s="15"/>
      <c r="NSS68" s="15"/>
      <c r="NST68" s="15"/>
      <c r="NSU68" s="15"/>
      <c r="NSV68" s="15"/>
      <c r="NSW68" s="15"/>
      <c r="NSX68" s="15"/>
      <c r="NSY68" s="15"/>
      <c r="NSZ68" s="15"/>
      <c r="NTA68" s="15"/>
      <c r="NTB68" s="15"/>
      <c r="NTC68" s="15"/>
      <c r="NTD68" s="15"/>
      <c r="NTE68" s="15"/>
      <c r="NTF68" s="15"/>
      <c r="NTG68" s="15"/>
      <c r="NTH68" s="15"/>
      <c r="NTI68" s="15"/>
      <c r="NTJ68" s="15"/>
      <c r="NTK68" s="15"/>
      <c r="NTL68" s="15"/>
      <c r="NTM68" s="15"/>
      <c r="NTN68" s="15"/>
      <c r="NTO68" s="15"/>
      <c r="NTP68" s="15"/>
      <c r="NTQ68" s="15"/>
      <c r="NTR68" s="15"/>
      <c r="NTS68" s="15"/>
      <c r="NTT68" s="15"/>
      <c r="NTU68" s="15"/>
      <c r="NTV68" s="15"/>
      <c r="NTW68" s="15"/>
      <c r="NTX68" s="15"/>
      <c r="NTY68" s="15"/>
      <c r="NTZ68" s="15"/>
      <c r="NUA68" s="15"/>
      <c r="NUB68" s="15"/>
      <c r="NUC68" s="15"/>
      <c r="NUD68" s="15"/>
      <c r="NUE68" s="15"/>
      <c r="NUF68" s="15"/>
      <c r="NUG68" s="15"/>
      <c r="NUH68" s="15"/>
      <c r="NUI68" s="15"/>
      <c r="NUJ68" s="15"/>
      <c r="NUK68" s="15"/>
      <c r="NUL68" s="15"/>
      <c r="NUM68" s="15"/>
      <c r="NUN68" s="15"/>
      <c r="NUO68" s="15"/>
      <c r="NUP68" s="15"/>
      <c r="NUQ68" s="15"/>
      <c r="NUR68" s="15"/>
      <c r="NUS68" s="15"/>
      <c r="NUT68" s="15"/>
      <c r="NUU68" s="15"/>
      <c r="NUV68" s="15"/>
      <c r="NUW68" s="15"/>
      <c r="NUX68" s="15"/>
      <c r="NUY68" s="15"/>
      <c r="NUZ68" s="15"/>
      <c r="NVA68" s="15"/>
      <c r="NVB68" s="15"/>
      <c r="NVC68" s="15"/>
      <c r="NVD68" s="15"/>
      <c r="NVE68" s="15"/>
      <c r="NVF68" s="15"/>
      <c r="NVG68" s="15"/>
      <c r="NVH68" s="15"/>
      <c r="NVI68" s="15"/>
      <c r="NVJ68" s="15"/>
      <c r="NVK68" s="15"/>
      <c r="NVL68" s="15"/>
      <c r="NVM68" s="15"/>
      <c r="NVN68" s="15"/>
      <c r="NVO68" s="15"/>
      <c r="NVP68" s="15"/>
      <c r="NVQ68" s="15"/>
      <c r="NVR68" s="15"/>
      <c r="NVS68" s="15"/>
      <c r="NVT68" s="15"/>
      <c r="NVU68" s="15"/>
      <c r="NVV68" s="15"/>
      <c r="NVW68" s="15"/>
      <c r="NVX68" s="15"/>
      <c r="NVY68" s="15"/>
      <c r="NVZ68" s="15"/>
      <c r="NWA68" s="15"/>
      <c r="NWB68" s="15"/>
      <c r="NWC68" s="15"/>
      <c r="NWD68" s="15"/>
      <c r="NWE68" s="15"/>
      <c r="NWF68" s="15"/>
      <c r="NWG68" s="15"/>
      <c r="NWH68" s="15"/>
      <c r="NWI68" s="15"/>
      <c r="NWJ68" s="15"/>
      <c r="NWK68" s="15"/>
      <c r="NWL68" s="15"/>
      <c r="NWM68" s="15"/>
      <c r="NWN68" s="15"/>
      <c r="NWO68" s="15"/>
      <c r="NWP68" s="15"/>
      <c r="NWQ68" s="15"/>
      <c r="NWR68" s="15"/>
      <c r="NWS68" s="15"/>
      <c r="NWT68" s="15"/>
      <c r="NWU68" s="15"/>
      <c r="NWV68" s="15"/>
      <c r="NWW68" s="15"/>
      <c r="NWX68" s="15"/>
      <c r="NWY68" s="15"/>
      <c r="NWZ68" s="15"/>
      <c r="NXA68" s="15"/>
      <c r="NXB68" s="15"/>
      <c r="NXC68" s="15"/>
      <c r="NXD68" s="15"/>
      <c r="NXE68" s="15"/>
      <c r="NXF68" s="15"/>
      <c r="NXG68" s="15"/>
      <c r="NXH68" s="15"/>
      <c r="NXI68" s="15"/>
      <c r="NXJ68" s="15"/>
      <c r="NXK68" s="15"/>
      <c r="NXL68" s="15"/>
      <c r="NXM68" s="15"/>
      <c r="NXN68" s="15"/>
      <c r="NXO68" s="15"/>
      <c r="NXP68" s="15"/>
      <c r="NXQ68" s="15"/>
      <c r="NXR68" s="15"/>
      <c r="NXS68" s="15"/>
      <c r="NXT68" s="15"/>
      <c r="NXU68" s="15"/>
      <c r="NXV68" s="15"/>
      <c r="NXW68" s="15"/>
      <c r="NXX68" s="15"/>
      <c r="NXY68" s="15"/>
      <c r="NXZ68" s="15"/>
      <c r="NYA68" s="15"/>
      <c r="NYB68" s="15"/>
      <c r="NYC68" s="15"/>
      <c r="NYD68" s="15"/>
      <c r="NYE68" s="15"/>
      <c r="NYF68" s="15"/>
      <c r="NYG68" s="15"/>
      <c r="NYH68" s="15"/>
      <c r="NYI68" s="15"/>
      <c r="NYJ68" s="15"/>
      <c r="NYK68" s="15"/>
      <c r="NYL68" s="15"/>
      <c r="NYM68" s="15"/>
      <c r="NYN68" s="15"/>
      <c r="NYO68" s="15"/>
      <c r="NYP68" s="15"/>
      <c r="NYQ68" s="15"/>
      <c r="NYR68" s="15"/>
      <c r="NYS68" s="15"/>
      <c r="NYT68" s="15"/>
      <c r="NYU68" s="15"/>
      <c r="NYV68" s="15"/>
      <c r="NYW68" s="15"/>
      <c r="NYX68" s="15"/>
      <c r="NYY68" s="15"/>
      <c r="NYZ68" s="15"/>
      <c r="NZA68" s="15"/>
      <c r="NZB68" s="15"/>
      <c r="NZC68" s="15"/>
      <c r="NZD68" s="15"/>
      <c r="NZE68" s="15"/>
      <c r="NZF68" s="15"/>
      <c r="NZG68" s="15"/>
      <c r="NZH68" s="15"/>
      <c r="NZI68" s="15"/>
      <c r="NZJ68" s="15"/>
      <c r="NZK68" s="15"/>
      <c r="NZL68" s="15"/>
      <c r="NZM68" s="15"/>
      <c r="NZN68" s="15"/>
      <c r="NZO68" s="15"/>
      <c r="NZP68" s="15"/>
      <c r="NZQ68" s="15"/>
      <c r="NZR68" s="15"/>
      <c r="NZS68" s="15"/>
      <c r="NZT68" s="15"/>
      <c r="NZU68" s="15"/>
      <c r="NZV68" s="15"/>
      <c r="NZW68" s="15"/>
      <c r="NZX68" s="15"/>
      <c r="NZY68" s="15"/>
      <c r="NZZ68" s="15"/>
      <c r="OAA68" s="15"/>
      <c r="OAB68" s="15"/>
      <c r="OAC68" s="15"/>
      <c r="OAD68" s="15"/>
      <c r="OAE68" s="15"/>
      <c r="OAF68" s="15"/>
      <c r="OAG68" s="15"/>
      <c r="OAH68" s="15"/>
      <c r="OAI68" s="15"/>
      <c r="OAJ68" s="15"/>
      <c r="OAK68" s="15"/>
      <c r="OAL68" s="15"/>
      <c r="OAM68" s="15"/>
      <c r="OAN68" s="15"/>
      <c r="OAO68" s="15"/>
      <c r="OAP68" s="15"/>
      <c r="OAQ68" s="15"/>
      <c r="OAR68" s="15"/>
      <c r="OAS68" s="15"/>
      <c r="OAT68" s="15"/>
      <c r="OAU68" s="15"/>
      <c r="OAV68" s="15"/>
      <c r="OAW68" s="15"/>
      <c r="OAX68" s="15"/>
      <c r="OAY68" s="15"/>
      <c r="OAZ68" s="15"/>
      <c r="OBA68" s="15"/>
      <c r="OBB68" s="15"/>
      <c r="OBC68" s="15"/>
      <c r="OBD68" s="15"/>
      <c r="OBE68" s="15"/>
      <c r="OBF68" s="15"/>
      <c r="OBG68" s="15"/>
      <c r="OBH68" s="15"/>
      <c r="OBI68" s="15"/>
      <c r="OBJ68" s="15"/>
      <c r="OBK68" s="15"/>
      <c r="OBL68" s="15"/>
      <c r="OBM68" s="15"/>
      <c r="OBN68" s="15"/>
      <c r="OBO68" s="15"/>
      <c r="OBP68" s="15"/>
      <c r="OBQ68" s="15"/>
      <c r="OBR68" s="15"/>
      <c r="OBS68" s="15"/>
      <c r="OBT68" s="15"/>
      <c r="OBU68" s="15"/>
      <c r="OBV68" s="15"/>
      <c r="OBW68" s="15"/>
      <c r="OBX68" s="15"/>
      <c r="OBY68" s="15"/>
      <c r="OBZ68" s="15"/>
      <c r="OCA68" s="15"/>
      <c r="OCB68" s="15"/>
      <c r="OCC68" s="15"/>
      <c r="OCD68" s="15"/>
      <c r="OCE68" s="15"/>
      <c r="OCF68" s="15"/>
      <c r="OCG68" s="15"/>
      <c r="OCH68" s="15"/>
      <c r="OCI68" s="15"/>
      <c r="OCJ68" s="15"/>
      <c r="OCK68" s="15"/>
      <c r="OCL68" s="15"/>
      <c r="OCM68" s="15"/>
      <c r="OCN68" s="15"/>
      <c r="OCO68" s="15"/>
      <c r="OCP68" s="15"/>
      <c r="OCQ68" s="15"/>
      <c r="OCR68" s="15"/>
      <c r="OCS68" s="15"/>
      <c r="OCT68" s="15"/>
      <c r="OCU68" s="15"/>
      <c r="OCV68" s="15"/>
      <c r="OCW68" s="15"/>
      <c r="OCX68" s="15"/>
      <c r="OCY68" s="15"/>
      <c r="OCZ68" s="15"/>
      <c r="ODA68" s="15"/>
      <c r="ODB68" s="15"/>
      <c r="ODC68" s="15"/>
      <c r="ODD68" s="15"/>
      <c r="ODE68" s="15"/>
      <c r="ODF68" s="15"/>
      <c r="ODG68" s="15"/>
      <c r="ODH68" s="15"/>
      <c r="ODI68" s="15"/>
      <c r="ODJ68" s="15"/>
      <c r="ODK68" s="15"/>
      <c r="ODL68" s="15"/>
      <c r="ODM68" s="15"/>
      <c r="ODN68" s="15"/>
      <c r="ODO68" s="15"/>
      <c r="ODP68" s="15"/>
      <c r="ODQ68" s="15"/>
      <c r="ODR68" s="15"/>
      <c r="ODS68" s="15"/>
      <c r="ODT68" s="15"/>
      <c r="ODU68" s="15"/>
      <c r="ODV68" s="15"/>
      <c r="ODW68" s="15"/>
      <c r="ODX68" s="15"/>
      <c r="ODY68" s="15"/>
      <c r="ODZ68" s="15"/>
      <c r="OEA68" s="15"/>
      <c r="OEB68" s="15"/>
      <c r="OEC68" s="15"/>
      <c r="OED68" s="15"/>
      <c r="OEE68" s="15"/>
      <c r="OEF68" s="15"/>
      <c r="OEG68" s="15"/>
      <c r="OEH68" s="15"/>
      <c r="OEI68" s="15"/>
      <c r="OEJ68" s="15"/>
      <c r="OEK68" s="15"/>
      <c r="OEL68" s="15"/>
      <c r="OEM68" s="15"/>
      <c r="OEN68" s="15"/>
      <c r="OEO68" s="15"/>
      <c r="OEP68" s="15"/>
      <c r="OEQ68" s="15"/>
      <c r="OER68" s="15"/>
      <c r="OES68" s="15"/>
      <c r="OET68" s="15"/>
      <c r="OEU68" s="15"/>
      <c r="OEV68" s="15"/>
      <c r="OEW68" s="15"/>
      <c r="OEX68" s="15"/>
      <c r="OEY68" s="15"/>
      <c r="OEZ68" s="15"/>
      <c r="OFA68" s="15"/>
      <c r="OFB68" s="15"/>
      <c r="OFC68" s="15"/>
      <c r="OFD68" s="15"/>
      <c r="OFE68" s="15"/>
      <c r="OFF68" s="15"/>
      <c r="OFG68" s="15"/>
      <c r="OFH68" s="15"/>
      <c r="OFI68" s="15"/>
      <c r="OFJ68" s="15"/>
      <c r="OFK68" s="15"/>
      <c r="OFL68" s="15"/>
      <c r="OFM68" s="15"/>
      <c r="OFN68" s="15"/>
      <c r="OFO68" s="15"/>
      <c r="OFP68" s="15"/>
      <c r="OFQ68" s="15"/>
      <c r="OFR68" s="15"/>
      <c r="OFS68" s="15"/>
      <c r="OFT68" s="15"/>
      <c r="OFU68" s="15"/>
      <c r="OFV68" s="15"/>
      <c r="OFW68" s="15"/>
      <c r="OFX68" s="15"/>
      <c r="OFY68" s="15"/>
      <c r="OFZ68" s="15"/>
      <c r="OGA68" s="15"/>
      <c r="OGB68" s="15"/>
      <c r="OGC68" s="15"/>
      <c r="OGD68" s="15"/>
      <c r="OGE68" s="15"/>
      <c r="OGF68" s="15"/>
      <c r="OGG68" s="15"/>
      <c r="OGH68" s="15"/>
      <c r="OGI68" s="15"/>
      <c r="OGJ68" s="15"/>
      <c r="OGK68" s="15"/>
      <c r="OGL68" s="15"/>
      <c r="OGM68" s="15"/>
      <c r="OGN68" s="15"/>
      <c r="OGO68" s="15"/>
      <c r="OGP68" s="15"/>
      <c r="OGQ68" s="15"/>
      <c r="OGR68" s="15"/>
      <c r="OGS68" s="15"/>
      <c r="OGT68" s="15"/>
      <c r="OGU68" s="15"/>
      <c r="OGV68" s="15"/>
      <c r="OGW68" s="15"/>
      <c r="OGX68" s="15"/>
      <c r="OGY68" s="15"/>
      <c r="OGZ68" s="15"/>
      <c r="OHA68" s="15"/>
      <c r="OHB68" s="15"/>
      <c r="OHC68" s="15"/>
      <c r="OHD68" s="15"/>
      <c r="OHE68" s="15"/>
      <c r="OHF68" s="15"/>
      <c r="OHG68" s="15"/>
      <c r="OHH68" s="15"/>
      <c r="OHI68" s="15"/>
      <c r="OHJ68" s="15"/>
      <c r="OHK68" s="15"/>
      <c r="OHL68" s="15"/>
      <c r="OHM68" s="15"/>
      <c r="OHN68" s="15"/>
      <c r="OHO68" s="15"/>
      <c r="OHP68" s="15"/>
      <c r="OHQ68" s="15"/>
      <c r="OHR68" s="15"/>
      <c r="OHS68" s="15"/>
      <c r="OHT68" s="15"/>
      <c r="OHU68" s="15"/>
      <c r="OHV68" s="15"/>
      <c r="OHW68" s="15"/>
      <c r="OHX68" s="15"/>
      <c r="OHY68" s="15"/>
      <c r="OHZ68" s="15"/>
      <c r="OIA68" s="15"/>
      <c r="OIB68" s="15"/>
      <c r="OIC68" s="15"/>
      <c r="OID68" s="15"/>
      <c r="OIE68" s="15"/>
      <c r="OIF68" s="15"/>
      <c r="OIG68" s="15"/>
      <c r="OIH68" s="15"/>
      <c r="OII68" s="15"/>
      <c r="OIJ68" s="15"/>
      <c r="OIK68" s="15"/>
      <c r="OIL68" s="15"/>
      <c r="OIM68" s="15"/>
      <c r="OIN68" s="15"/>
      <c r="OIO68" s="15"/>
      <c r="OIP68" s="15"/>
      <c r="OIQ68" s="15"/>
      <c r="OIR68" s="15"/>
      <c r="OIS68" s="15"/>
      <c r="OIT68" s="15"/>
      <c r="OIU68" s="15"/>
      <c r="OIV68" s="15"/>
      <c r="OIW68" s="15"/>
      <c r="OIX68" s="15"/>
      <c r="OIY68" s="15"/>
      <c r="OIZ68" s="15"/>
      <c r="OJA68" s="15"/>
      <c r="OJB68" s="15"/>
      <c r="OJC68" s="15"/>
      <c r="OJD68" s="15"/>
      <c r="OJE68" s="15"/>
      <c r="OJF68" s="15"/>
      <c r="OJG68" s="15"/>
      <c r="OJH68" s="15"/>
      <c r="OJI68" s="15"/>
      <c r="OJJ68" s="15"/>
      <c r="OJK68" s="15"/>
      <c r="OJL68" s="15"/>
      <c r="OJM68" s="15"/>
      <c r="OJN68" s="15"/>
      <c r="OJO68" s="15"/>
      <c r="OJP68" s="15"/>
      <c r="OJQ68" s="15"/>
      <c r="OJR68" s="15"/>
      <c r="OJS68" s="15"/>
      <c r="OJT68" s="15"/>
      <c r="OJU68" s="15"/>
      <c r="OJV68" s="15"/>
      <c r="OJW68" s="15"/>
      <c r="OJX68" s="15"/>
      <c r="OJY68" s="15"/>
      <c r="OJZ68" s="15"/>
      <c r="OKA68" s="15"/>
      <c r="OKB68" s="15"/>
      <c r="OKC68" s="15"/>
      <c r="OKD68" s="15"/>
      <c r="OKE68" s="15"/>
      <c r="OKF68" s="15"/>
      <c r="OKG68" s="15"/>
      <c r="OKH68" s="15"/>
      <c r="OKI68" s="15"/>
      <c r="OKJ68" s="15"/>
      <c r="OKK68" s="15"/>
      <c r="OKL68" s="15"/>
      <c r="OKM68" s="15"/>
      <c r="OKN68" s="15"/>
      <c r="OKO68" s="15"/>
      <c r="OKP68" s="15"/>
      <c r="OKQ68" s="15"/>
      <c r="OKR68" s="15"/>
      <c r="OKS68" s="15"/>
      <c r="OKT68" s="15"/>
      <c r="OKU68" s="15"/>
      <c r="OKV68" s="15"/>
      <c r="OKW68" s="15"/>
      <c r="OKX68" s="15"/>
      <c r="OKY68" s="15"/>
      <c r="OKZ68" s="15"/>
      <c r="OLA68" s="15"/>
      <c r="OLB68" s="15"/>
      <c r="OLC68" s="15"/>
      <c r="OLD68" s="15"/>
      <c r="OLE68" s="15"/>
      <c r="OLF68" s="15"/>
      <c r="OLG68" s="15"/>
      <c r="OLH68" s="15"/>
      <c r="OLI68" s="15"/>
      <c r="OLJ68" s="15"/>
      <c r="OLK68" s="15"/>
      <c r="OLL68" s="15"/>
      <c r="OLM68" s="15"/>
      <c r="OLN68" s="15"/>
      <c r="OLO68" s="15"/>
      <c r="OLP68" s="15"/>
      <c r="OLQ68" s="15"/>
      <c r="OLR68" s="15"/>
      <c r="OLS68" s="15"/>
      <c r="OLT68" s="15"/>
      <c r="OLU68" s="15"/>
      <c r="OLV68" s="15"/>
      <c r="OLW68" s="15"/>
      <c r="OLX68" s="15"/>
      <c r="OLY68" s="15"/>
      <c r="OLZ68" s="15"/>
      <c r="OMA68" s="15"/>
      <c r="OMB68" s="15"/>
      <c r="OMC68" s="15"/>
      <c r="OMD68" s="15"/>
      <c r="OME68" s="15"/>
      <c r="OMF68" s="15"/>
      <c r="OMG68" s="15"/>
      <c r="OMH68" s="15"/>
      <c r="OMI68" s="15"/>
      <c r="OMJ68" s="15"/>
      <c r="OMK68" s="15"/>
      <c r="OML68" s="15"/>
      <c r="OMM68" s="15"/>
      <c r="OMN68" s="15"/>
      <c r="OMO68" s="15"/>
      <c r="OMP68" s="15"/>
      <c r="OMQ68" s="15"/>
      <c r="OMR68" s="15"/>
      <c r="OMS68" s="15"/>
      <c r="OMT68" s="15"/>
      <c r="OMU68" s="15"/>
      <c r="OMV68" s="15"/>
      <c r="OMW68" s="15"/>
      <c r="OMX68" s="15"/>
      <c r="OMY68" s="15"/>
      <c r="OMZ68" s="15"/>
      <c r="ONA68" s="15"/>
      <c r="ONB68" s="15"/>
      <c r="ONC68" s="15"/>
      <c r="OND68" s="15"/>
      <c r="ONE68" s="15"/>
      <c r="ONF68" s="15"/>
      <c r="ONG68" s="15"/>
      <c r="ONH68" s="15"/>
      <c r="ONI68" s="15"/>
      <c r="ONJ68" s="15"/>
      <c r="ONK68" s="15"/>
      <c r="ONL68" s="15"/>
      <c r="ONM68" s="15"/>
      <c r="ONN68" s="15"/>
      <c r="ONO68" s="15"/>
      <c r="ONP68" s="15"/>
      <c r="ONQ68" s="15"/>
      <c r="ONR68" s="15"/>
      <c r="ONS68" s="15"/>
      <c r="ONT68" s="15"/>
      <c r="ONU68" s="15"/>
      <c r="ONV68" s="15"/>
      <c r="ONW68" s="15"/>
      <c r="ONX68" s="15"/>
      <c r="ONY68" s="15"/>
      <c r="ONZ68" s="15"/>
      <c r="OOA68" s="15"/>
      <c r="OOB68" s="15"/>
      <c r="OOC68" s="15"/>
      <c r="OOD68" s="15"/>
      <c r="OOE68" s="15"/>
      <c r="OOF68" s="15"/>
      <c r="OOG68" s="15"/>
      <c r="OOH68" s="15"/>
      <c r="OOI68" s="15"/>
      <c r="OOJ68" s="15"/>
      <c r="OOK68" s="15"/>
      <c r="OOL68" s="15"/>
      <c r="OOM68" s="15"/>
      <c r="OON68" s="15"/>
      <c r="OOO68" s="15"/>
      <c r="OOP68" s="15"/>
      <c r="OOQ68" s="15"/>
      <c r="OOR68" s="15"/>
      <c r="OOS68" s="15"/>
      <c r="OOT68" s="15"/>
      <c r="OOU68" s="15"/>
      <c r="OOV68" s="15"/>
      <c r="OOW68" s="15"/>
      <c r="OOX68" s="15"/>
      <c r="OOY68" s="15"/>
      <c r="OOZ68" s="15"/>
      <c r="OPA68" s="15"/>
      <c r="OPB68" s="15"/>
      <c r="OPC68" s="15"/>
      <c r="OPD68" s="15"/>
      <c r="OPE68" s="15"/>
      <c r="OPF68" s="15"/>
      <c r="OPG68" s="15"/>
      <c r="OPH68" s="15"/>
      <c r="OPI68" s="15"/>
      <c r="OPJ68" s="15"/>
      <c r="OPK68" s="15"/>
      <c r="OPL68" s="15"/>
      <c r="OPM68" s="15"/>
      <c r="OPN68" s="15"/>
      <c r="OPO68" s="15"/>
      <c r="OPP68" s="15"/>
      <c r="OPQ68" s="15"/>
      <c r="OPR68" s="15"/>
      <c r="OPS68" s="15"/>
      <c r="OPT68" s="15"/>
      <c r="OPU68" s="15"/>
      <c r="OPV68" s="15"/>
      <c r="OPW68" s="15"/>
      <c r="OPX68" s="15"/>
      <c r="OPY68" s="15"/>
      <c r="OPZ68" s="15"/>
      <c r="OQA68" s="15"/>
      <c r="OQB68" s="15"/>
      <c r="OQC68" s="15"/>
      <c r="OQD68" s="15"/>
      <c r="OQE68" s="15"/>
      <c r="OQF68" s="15"/>
      <c r="OQG68" s="15"/>
      <c r="OQH68" s="15"/>
      <c r="OQI68" s="15"/>
      <c r="OQJ68" s="15"/>
      <c r="OQK68" s="15"/>
      <c r="OQL68" s="15"/>
      <c r="OQM68" s="15"/>
      <c r="OQN68" s="15"/>
      <c r="OQO68" s="15"/>
      <c r="OQP68" s="15"/>
      <c r="OQQ68" s="15"/>
      <c r="OQR68" s="15"/>
      <c r="OQS68" s="15"/>
      <c r="OQT68" s="15"/>
      <c r="OQU68" s="15"/>
      <c r="OQV68" s="15"/>
      <c r="OQW68" s="15"/>
      <c r="OQX68" s="15"/>
      <c r="OQY68" s="15"/>
      <c r="OQZ68" s="15"/>
      <c r="ORA68" s="15"/>
      <c r="ORB68" s="15"/>
      <c r="ORC68" s="15"/>
      <c r="ORD68" s="15"/>
      <c r="ORE68" s="15"/>
      <c r="ORF68" s="15"/>
      <c r="ORG68" s="15"/>
      <c r="ORH68" s="15"/>
      <c r="ORI68" s="15"/>
      <c r="ORJ68" s="15"/>
      <c r="ORK68" s="15"/>
      <c r="ORL68" s="15"/>
      <c r="ORM68" s="15"/>
      <c r="ORN68" s="15"/>
      <c r="ORO68" s="15"/>
      <c r="ORP68" s="15"/>
      <c r="ORQ68" s="15"/>
      <c r="ORR68" s="15"/>
      <c r="ORS68" s="15"/>
      <c r="ORT68" s="15"/>
      <c r="ORU68" s="15"/>
      <c r="ORV68" s="15"/>
      <c r="ORW68" s="15"/>
      <c r="ORX68" s="15"/>
      <c r="ORY68" s="15"/>
      <c r="ORZ68" s="15"/>
      <c r="OSA68" s="15"/>
      <c r="OSB68" s="15"/>
      <c r="OSC68" s="15"/>
      <c r="OSD68" s="15"/>
      <c r="OSE68" s="15"/>
      <c r="OSF68" s="15"/>
      <c r="OSG68" s="15"/>
      <c r="OSH68" s="15"/>
      <c r="OSI68" s="15"/>
      <c r="OSJ68" s="15"/>
      <c r="OSK68" s="15"/>
      <c r="OSL68" s="15"/>
      <c r="OSM68" s="15"/>
      <c r="OSN68" s="15"/>
      <c r="OSO68" s="15"/>
      <c r="OSP68" s="15"/>
      <c r="OSQ68" s="15"/>
      <c r="OSR68" s="15"/>
      <c r="OSS68" s="15"/>
      <c r="OST68" s="15"/>
      <c r="OSU68" s="15"/>
      <c r="OSV68" s="15"/>
      <c r="OSW68" s="15"/>
      <c r="OSX68" s="15"/>
      <c r="OSY68" s="15"/>
      <c r="OSZ68" s="15"/>
      <c r="OTA68" s="15"/>
      <c r="OTB68" s="15"/>
      <c r="OTC68" s="15"/>
      <c r="OTD68" s="15"/>
      <c r="OTE68" s="15"/>
      <c r="OTF68" s="15"/>
      <c r="OTG68" s="15"/>
      <c r="OTH68" s="15"/>
      <c r="OTI68" s="15"/>
      <c r="OTJ68" s="15"/>
      <c r="OTK68" s="15"/>
      <c r="OTL68" s="15"/>
      <c r="OTM68" s="15"/>
      <c r="OTN68" s="15"/>
      <c r="OTO68" s="15"/>
      <c r="OTP68" s="15"/>
      <c r="OTQ68" s="15"/>
      <c r="OTR68" s="15"/>
      <c r="OTS68" s="15"/>
      <c r="OTT68" s="15"/>
      <c r="OTU68" s="15"/>
      <c r="OTV68" s="15"/>
      <c r="OTW68" s="15"/>
      <c r="OTX68" s="15"/>
      <c r="OTY68" s="15"/>
      <c r="OTZ68" s="15"/>
      <c r="OUA68" s="15"/>
      <c r="OUB68" s="15"/>
      <c r="OUC68" s="15"/>
      <c r="OUD68" s="15"/>
      <c r="OUE68" s="15"/>
      <c r="OUF68" s="15"/>
      <c r="OUG68" s="15"/>
      <c r="OUH68" s="15"/>
      <c r="OUI68" s="15"/>
      <c r="OUJ68" s="15"/>
      <c r="OUK68" s="15"/>
      <c r="OUL68" s="15"/>
      <c r="OUM68" s="15"/>
      <c r="OUN68" s="15"/>
      <c r="OUO68" s="15"/>
      <c r="OUP68" s="15"/>
      <c r="OUQ68" s="15"/>
      <c r="OUR68" s="15"/>
      <c r="OUS68" s="15"/>
      <c r="OUT68" s="15"/>
      <c r="OUU68" s="15"/>
      <c r="OUV68" s="15"/>
      <c r="OUW68" s="15"/>
      <c r="OUX68" s="15"/>
      <c r="OUY68" s="15"/>
      <c r="OUZ68" s="15"/>
      <c r="OVA68" s="15"/>
      <c r="OVB68" s="15"/>
      <c r="OVC68" s="15"/>
      <c r="OVD68" s="15"/>
      <c r="OVE68" s="15"/>
      <c r="OVF68" s="15"/>
      <c r="OVG68" s="15"/>
      <c r="OVH68" s="15"/>
      <c r="OVI68" s="15"/>
      <c r="OVJ68" s="15"/>
      <c r="OVK68" s="15"/>
      <c r="OVL68" s="15"/>
      <c r="OVM68" s="15"/>
      <c r="OVN68" s="15"/>
      <c r="OVO68" s="15"/>
      <c r="OVP68" s="15"/>
      <c r="OVQ68" s="15"/>
      <c r="OVR68" s="15"/>
      <c r="OVS68" s="15"/>
      <c r="OVT68" s="15"/>
      <c r="OVU68" s="15"/>
      <c r="OVV68" s="15"/>
      <c r="OVW68" s="15"/>
      <c r="OVX68" s="15"/>
      <c r="OVY68" s="15"/>
      <c r="OVZ68" s="15"/>
      <c r="OWA68" s="15"/>
      <c r="OWB68" s="15"/>
      <c r="OWC68" s="15"/>
      <c r="OWD68" s="15"/>
      <c r="OWE68" s="15"/>
      <c r="OWF68" s="15"/>
      <c r="OWG68" s="15"/>
      <c r="OWH68" s="15"/>
      <c r="OWI68" s="15"/>
      <c r="OWJ68" s="15"/>
      <c r="OWK68" s="15"/>
      <c r="OWL68" s="15"/>
      <c r="OWM68" s="15"/>
      <c r="OWN68" s="15"/>
      <c r="OWO68" s="15"/>
      <c r="OWP68" s="15"/>
      <c r="OWQ68" s="15"/>
      <c r="OWR68" s="15"/>
      <c r="OWS68" s="15"/>
      <c r="OWT68" s="15"/>
      <c r="OWU68" s="15"/>
      <c r="OWV68" s="15"/>
      <c r="OWW68" s="15"/>
      <c r="OWX68" s="15"/>
      <c r="OWY68" s="15"/>
      <c r="OWZ68" s="15"/>
      <c r="OXA68" s="15"/>
      <c r="OXB68" s="15"/>
      <c r="OXC68" s="15"/>
      <c r="OXD68" s="15"/>
      <c r="OXE68" s="15"/>
      <c r="OXF68" s="15"/>
      <c r="OXG68" s="15"/>
      <c r="OXH68" s="15"/>
      <c r="OXI68" s="15"/>
      <c r="OXJ68" s="15"/>
      <c r="OXK68" s="15"/>
      <c r="OXL68" s="15"/>
      <c r="OXM68" s="15"/>
      <c r="OXN68" s="15"/>
      <c r="OXO68" s="15"/>
      <c r="OXP68" s="15"/>
      <c r="OXQ68" s="15"/>
      <c r="OXR68" s="15"/>
      <c r="OXS68" s="15"/>
      <c r="OXT68" s="15"/>
      <c r="OXU68" s="15"/>
      <c r="OXV68" s="15"/>
      <c r="OXW68" s="15"/>
      <c r="OXX68" s="15"/>
      <c r="OXY68" s="15"/>
      <c r="OXZ68" s="15"/>
      <c r="OYA68" s="15"/>
      <c r="OYB68" s="15"/>
      <c r="OYC68" s="15"/>
      <c r="OYD68" s="15"/>
      <c r="OYE68" s="15"/>
      <c r="OYF68" s="15"/>
      <c r="OYG68" s="15"/>
      <c r="OYH68" s="15"/>
      <c r="OYI68" s="15"/>
      <c r="OYJ68" s="15"/>
      <c r="OYK68" s="15"/>
      <c r="OYL68" s="15"/>
      <c r="OYM68" s="15"/>
      <c r="OYN68" s="15"/>
      <c r="OYO68" s="15"/>
      <c r="OYP68" s="15"/>
      <c r="OYQ68" s="15"/>
      <c r="OYR68" s="15"/>
      <c r="OYS68" s="15"/>
      <c r="OYT68" s="15"/>
      <c r="OYU68" s="15"/>
      <c r="OYV68" s="15"/>
      <c r="OYW68" s="15"/>
      <c r="OYX68" s="15"/>
      <c r="OYY68" s="15"/>
      <c r="OYZ68" s="15"/>
      <c r="OZA68" s="15"/>
      <c r="OZB68" s="15"/>
      <c r="OZC68" s="15"/>
      <c r="OZD68" s="15"/>
      <c r="OZE68" s="15"/>
      <c r="OZF68" s="15"/>
      <c r="OZG68" s="15"/>
      <c r="OZH68" s="15"/>
      <c r="OZI68" s="15"/>
      <c r="OZJ68" s="15"/>
      <c r="OZK68" s="15"/>
      <c r="OZL68" s="15"/>
      <c r="OZM68" s="15"/>
      <c r="OZN68" s="15"/>
      <c r="OZO68" s="15"/>
      <c r="OZP68" s="15"/>
      <c r="OZQ68" s="15"/>
      <c r="OZR68" s="15"/>
      <c r="OZS68" s="15"/>
      <c r="OZT68" s="15"/>
      <c r="OZU68" s="15"/>
      <c r="OZV68" s="15"/>
      <c r="OZW68" s="15"/>
      <c r="OZX68" s="15"/>
      <c r="OZY68" s="15"/>
      <c r="OZZ68" s="15"/>
      <c r="PAA68" s="15"/>
      <c r="PAB68" s="15"/>
      <c r="PAC68" s="15"/>
      <c r="PAD68" s="15"/>
      <c r="PAE68" s="15"/>
      <c r="PAF68" s="15"/>
      <c r="PAG68" s="15"/>
      <c r="PAH68" s="15"/>
      <c r="PAI68" s="15"/>
      <c r="PAJ68" s="15"/>
      <c r="PAK68" s="15"/>
      <c r="PAL68" s="15"/>
      <c r="PAM68" s="15"/>
      <c r="PAN68" s="15"/>
      <c r="PAO68" s="15"/>
      <c r="PAP68" s="15"/>
      <c r="PAQ68" s="15"/>
      <c r="PAR68" s="15"/>
      <c r="PAS68" s="15"/>
      <c r="PAT68" s="15"/>
      <c r="PAU68" s="15"/>
      <c r="PAV68" s="15"/>
      <c r="PAW68" s="15"/>
      <c r="PAX68" s="15"/>
      <c r="PAY68" s="15"/>
      <c r="PAZ68" s="15"/>
      <c r="PBA68" s="15"/>
      <c r="PBB68" s="15"/>
      <c r="PBC68" s="15"/>
      <c r="PBD68" s="15"/>
      <c r="PBE68" s="15"/>
      <c r="PBF68" s="15"/>
      <c r="PBG68" s="15"/>
      <c r="PBH68" s="15"/>
      <c r="PBI68" s="15"/>
      <c r="PBJ68" s="15"/>
      <c r="PBK68" s="15"/>
      <c r="PBL68" s="15"/>
      <c r="PBM68" s="15"/>
      <c r="PBN68" s="15"/>
      <c r="PBO68" s="15"/>
      <c r="PBP68" s="15"/>
      <c r="PBQ68" s="15"/>
      <c r="PBR68" s="15"/>
      <c r="PBS68" s="15"/>
      <c r="PBT68" s="15"/>
      <c r="PBU68" s="15"/>
      <c r="PBV68" s="15"/>
      <c r="PBW68" s="15"/>
      <c r="PBX68" s="15"/>
      <c r="PBY68" s="15"/>
      <c r="PBZ68" s="15"/>
      <c r="PCA68" s="15"/>
      <c r="PCB68" s="15"/>
      <c r="PCC68" s="15"/>
      <c r="PCD68" s="15"/>
      <c r="PCE68" s="15"/>
      <c r="PCF68" s="15"/>
      <c r="PCG68" s="15"/>
      <c r="PCH68" s="15"/>
      <c r="PCI68" s="15"/>
      <c r="PCJ68" s="15"/>
      <c r="PCK68" s="15"/>
      <c r="PCL68" s="15"/>
      <c r="PCM68" s="15"/>
      <c r="PCN68" s="15"/>
      <c r="PCO68" s="15"/>
      <c r="PCP68" s="15"/>
      <c r="PCQ68" s="15"/>
      <c r="PCR68" s="15"/>
      <c r="PCS68" s="15"/>
      <c r="PCT68" s="15"/>
      <c r="PCU68" s="15"/>
      <c r="PCV68" s="15"/>
      <c r="PCW68" s="15"/>
      <c r="PCX68" s="15"/>
      <c r="PCY68" s="15"/>
      <c r="PCZ68" s="15"/>
      <c r="PDA68" s="15"/>
      <c r="PDB68" s="15"/>
      <c r="PDC68" s="15"/>
      <c r="PDD68" s="15"/>
      <c r="PDE68" s="15"/>
      <c r="PDF68" s="15"/>
      <c r="PDG68" s="15"/>
      <c r="PDH68" s="15"/>
      <c r="PDI68" s="15"/>
      <c r="PDJ68" s="15"/>
      <c r="PDK68" s="15"/>
      <c r="PDL68" s="15"/>
      <c r="PDM68" s="15"/>
      <c r="PDN68" s="15"/>
      <c r="PDO68" s="15"/>
      <c r="PDP68" s="15"/>
      <c r="PDQ68" s="15"/>
      <c r="PDR68" s="15"/>
      <c r="PDS68" s="15"/>
      <c r="PDT68" s="15"/>
      <c r="PDU68" s="15"/>
      <c r="PDV68" s="15"/>
      <c r="PDW68" s="15"/>
      <c r="PDX68" s="15"/>
      <c r="PDY68" s="15"/>
      <c r="PDZ68" s="15"/>
      <c r="PEA68" s="15"/>
      <c r="PEB68" s="15"/>
      <c r="PEC68" s="15"/>
      <c r="PED68" s="15"/>
      <c r="PEE68" s="15"/>
      <c r="PEF68" s="15"/>
      <c r="PEG68" s="15"/>
      <c r="PEH68" s="15"/>
      <c r="PEI68" s="15"/>
      <c r="PEJ68" s="15"/>
      <c r="PEK68" s="15"/>
      <c r="PEL68" s="15"/>
      <c r="PEM68" s="15"/>
      <c r="PEN68" s="15"/>
      <c r="PEO68" s="15"/>
      <c r="PEP68" s="15"/>
      <c r="PEQ68" s="15"/>
      <c r="PER68" s="15"/>
      <c r="PES68" s="15"/>
      <c r="PET68" s="15"/>
      <c r="PEU68" s="15"/>
      <c r="PEV68" s="15"/>
      <c r="PEW68" s="15"/>
      <c r="PEX68" s="15"/>
      <c r="PEY68" s="15"/>
      <c r="PEZ68" s="15"/>
      <c r="PFA68" s="15"/>
      <c r="PFB68" s="15"/>
      <c r="PFC68" s="15"/>
      <c r="PFD68" s="15"/>
      <c r="PFE68" s="15"/>
      <c r="PFF68" s="15"/>
      <c r="PFG68" s="15"/>
      <c r="PFH68" s="15"/>
      <c r="PFI68" s="15"/>
      <c r="PFJ68" s="15"/>
      <c r="PFK68" s="15"/>
      <c r="PFL68" s="15"/>
      <c r="PFM68" s="15"/>
      <c r="PFN68" s="15"/>
      <c r="PFO68" s="15"/>
      <c r="PFP68" s="15"/>
      <c r="PFQ68" s="15"/>
      <c r="PFR68" s="15"/>
      <c r="PFS68" s="15"/>
      <c r="PFT68" s="15"/>
      <c r="PFU68" s="15"/>
      <c r="PFV68" s="15"/>
      <c r="PFW68" s="15"/>
      <c r="PFX68" s="15"/>
      <c r="PFY68" s="15"/>
      <c r="PFZ68" s="15"/>
      <c r="PGA68" s="15"/>
      <c r="PGB68" s="15"/>
      <c r="PGC68" s="15"/>
      <c r="PGD68" s="15"/>
      <c r="PGE68" s="15"/>
      <c r="PGF68" s="15"/>
      <c r="PGG68" s="15"/>
      <c r="PGH68" s="15"/>
      <c r="PGI68" s="15"/>
      <c r="PGJ68" s="15"/>
      <c r="PGK68" s="15"/>
      <c r="PGL68" s="15"/>
      <c r="PGM68" s="15"/>
      <c r="PGN68" s="15"/>
      <c r="PGO68" s="15"/>
      <c r="PGP68" s="15"/>
      <c r="PGQ68" s="15"/>
      <c r="PGR68" s="15"/>
      <c r="PGS68" s="15"/>
      <c r="PGT68" s="15"/>
      <c r="PGU68" s="15"/>
      <c r="PGV68" s="15"/>
      <c r="PGW68" s="15"/>
      <c r="PGX68" s="15"/>
      <c r="PGY68" s="15"/>
      <c r="PGZ68" s="15"/>
      <c r="PHA68" s="15"/>
      <c r="PHB68" s="15"/>
      <c r="PHC68" s="15"/>
      <c r="PHD68" s="15"/>
      <c r="PHE68" s="15"/>
      <c r="PHF68" s="15"/>
      <c r="PHG68" s="15"/>
      <c r="PHH68" s="15"/>
      <c r="PHI68" s="15"/>
      <c r="PHJ68" s="15"/>
      <c r="PHK68" s="15"/>
      <c r="PHL68" s="15"/>
      <c r="PHM68" s="15"/>
      <c r="PHN68" s="15"/>
      <c r="PHO68" s="15"/>
      <c r="PHP68" s="15"/>
      <c r="PHQ68" s="15"/>
      <c r="PHR68" s="15"/>
      <c r="PHS68" s="15"/>
      <c r="PHT68" s="15"/>
      <c r="PHU68" s="15"/>
      <c r="PHV68" s="15"/>
      <c r="PHW68" s="15"/>
      <c r="PHX68" s="15"/>
      <c r="PHY68" s="15"/>
      <c r="PHZ68" s="15"/>
      <c r="PIA68" s="15"/>
      <c r="PIB68" s="15"/>
      <c r="PIC68" s="15"/>
      <c r="PID68" s="15"/>
      <c r="PIE68" s="15"/>
      <c r="PIF68" s="15"/>
      <c r="PIG68" s="15"/>
      <c r="PIH68" s="15"/>
      <c r="PII68" s="15"/>
      <c r="PIJ68" s="15"/>
      <c r="PIK68" s="15"/>
      <c r="PIL68" s="15"/>
      <c r="PIM68" s="15"/>
      <c r="PIN68" s="15"/>
      <c r="PIO68" s="15"/>
      <c r="PIP68" s="15"/>
      <c r="PIQ68" s="15"/>
      <c r="PIR68" s="15"/>
      <c r="PIS68" s="15"/>
      <c r="PIT68" s="15"/>
      <c r="PIU68" s="15"/>
      <c r="PIV68" s="15"/>
      <c r="PIW68" s="15"/>
      <c r="PIX68" s="15"/>
      <c r="PIY68" s="15"/>
      <c r="PIZ68" s="15"/>
      <c r="PJA68" s="15"/>
      <c r="PJB68" s="15"/>
      <c r="PJC68" s="15"/>
      <c r="PJD68" s="15"/>
      <c r="PJE68" s="15"/>
      <c r="PJF68" s="15"/>
      <c r="PJG68" s="15"/>
      <c r="PJH68" s="15"/>
      <c r="PJI68" s="15"/>
      <c r="PJJ68" s="15"/>
      <c r="PJK68" s="15"/>
      <c r="PJL68" s="15"/>
      <c r="PJM68" s="15"/>
      <c r="PJN68" s="15"/>
      <c r="PJO68" s="15"/>
      <c r="PJP68" s="15"/>
      <c r="PJQ68" s="15"/>
      <c r="PJR68" s="15"/>
      <c r="PJS68" s="15"/>
      <c r="PJT68" s="15"/>
      <c r="PJU68" s="15"/>
      <c r="PJV68" s="15"/>
      <c r="PJW68" s="15"/>
      <c r="PJX68" s="15"/>
      <c r="PJY68" s="15"/>
      <c r="PJZ68" s="15"/>
      <c r="PKA68" s="15"/>
      <c r="PKB68" s="15"/>
      <c r="PKC68" s="15"/>
      <c r="PKD68" s="15"/>
      <c r="PKE68" s="15"/>
      <c r="PKF68" s="15"/>
      <c r="PKG68" s="15"/>
      <c r="PKH68" s="15"/>
      <c r="PKI68" s="15"/>
      <c r="PKJ68" s="15"/>
      <c r="PKK68" s="15"/>
      <c r="PKL68" s="15"/>
      <c r="PKM68" s="15"/>
      <c r="PKN68" s="15"/>
      <c r="PKO68" s="15"/>
      <c r="PKP68" s="15"/>
      <c r="PKQ68" s="15"/>
      <c r="PKR68" s="15"/>
      <c r="PKS68" s="15"/>
      <c r="PKT68" s="15"/>
      <c r="PKU68" s="15"/>
      <c r="PKV68" s="15"/>
      <c r="PKW68" s="15"/>
      <c r="PKX68" s="15"/>
      <c r="PKY68" s="15"/>
      <c r="PKZ68" s="15"/>
      <c r="PLA68" s="15"/>
      <c r="PLB68" s="15"/>
      <c r="PLC68" s="15"/>
      <c r="PLD68" s="15"/>
      <c r="PLE68" s="15"/>
      <c r="PLF68" s="15"/>
      <c r="PLG68" s="15"/>
      <c r="PLH68" s="15"/>
      <c r="PLI68" s="15"/>
      <c r="PLJ68" s="15"/>
      <c r="PLK68" s="15"/>
      <c r="PLL68" s="15"/>
      <c r="PLM68" s="15"/>
      <c r="PLN68" s="15"/>
      <c r="PLO68" s="15"/>
      <c r="PLP68" s="15"/>
      <c r="PLQ68" s="15"/>
      <c r="PLR68" s="15"/>
      <c r="PLS68" s="15"/>
      <c r="PLT68" s="15"/>
      <c r="PLU68" s="15"/>
      <c r="PLV68" s="15"/>
      <c r="PLW68" s="15"/>
      <c r="PLX68" s="15"/>
      <c r="PLY68" s="15"/>
      <c r="PLZ68" s="15"/>
      <c r="PMA68" s="15"/>
      <c r="PMB68" s="15"/>
      <c r="PMC68" s="15"/>
      <c r="PMD68" s="15"/>
      <c r="PME68" s="15"/>
      <c r="PMF68" s="15"/>
      <c r="PMG68" s="15"/>
      <c r="PMH68" s="15"/>
      <c r="PMI68" s="15"/>
      <c r="PMJ68" s="15"/>
      <c r="PMK68" s="15"/>
      <c r="PML68" s="15"/>
      <c r="PMM68" s="15"/>
      <c r="PMN68" s="15"/>
      <c r="PMO68" s="15"/>
      <c r="PMP68" s="15"/>
      <c r="PMQ68" s="15"/>
      <c r="PMR68" s="15"/>
      <c r="PMS68" s="15"/>
      <c r="PMT68" s="15"/>
      <c r="PMU68" s="15"/>
      <c r="PMV68" s="15"/>
      <c r="PMW68" s="15"/>
      <c r="PMX68" s="15"/>
      <c r="PMY68" s="15"/>
      <c r="PMZ68" s="15"/>
      <c r="PNA68" s="15"/>
      <c r="PNB68" s="15"/>
      <c r="PNC68" s="15"/>
      <c r="PND68" s="15"/>
      <c r="PNE68" s="15"/>
      <c r="PNF68" s="15"/>
      <c r="PNG68" s="15"/>
      <c r="PNH68" s="15"/>
      <c r="PNI68" s="15"/>
      <c r="PNJ68" s="15"/>
      <c r="PNK68" s="15"/>
      <c r="PNL68" s="15"/>
      <c r="PNM68" s="15"/>
      <c r="PNN68" s="15"/>
      <c r="PNO68" s="15"/>
      <c r="PNP68" s="15"/>
      <c r="PNQ68" s="15"/>
      <c r="PNR68" s="15"/>
      <c r="PNS68" s="15"/>
      <c r="PNT68" s="15"/>
      <c r="PNU68" s="15"/>
      <c r="PNV68" s="15"/>
      <c r="PNW68" s="15"/>
      <c r="PNX68" s="15"/>
      <c r="PNY68" s="15"/>
      <c r="PNZ68" s="15"/>
      <c r="POA68" s="15"/>
      <c r="POB68" s="15"/>
      <c r="POC68" s="15"/>
      <c r="POD68" s="15"/>
      <c r="POE68" s="15"/>
      <c r="POF68" s="15"/>
      <c r="POG68" s="15"/>
      <c r="POH68" s="15"/>
      <c r="POI68" s="15"/>
      <c r="POJ68" s="15"/>
      <c r="POK68" s="15"/>
      <c r="POL68" s="15"/>
      <c r="POM68" s="15"/>
      <c r="PON68" s="15"/>
      <c r="POO68" s="15"/>
      <c r="POP68" s="15"/>
      <c r="POQ68" s="15"/>
      <c r="POR68" s="15"/>
      <c r="POS68" s="15"/>
      <c r="POT68" s="15"/>
      <c r="POU68" s="15"/>
      <c r="POV68" s="15"/>
      <c r="POW68" s="15"/>
      <c r="POX68" s="15"/>
      <c r="POY68" s="15"/>
      <c r="POZ68" s="15"/>
      <c r="PPA68" s="15"/>
      <c r="PPB68" s="15"/>
      <c r="PPC68" s="15"/>
      <c r="PPD68" s="15"/>
      <c r="PPE68" s="15"/>
      <c r="PPF68" s="15"/>
      <c r="PPG68" s="15"/>
      <c r="PPH68" s="15"/>
      <c r="PPI68" s="15"/>
      <c r="PPJ68" s="15"/>
      <c r="PPK68" s="15"/>
      <c r="PPL68" s="15"/>
      <c r="PPM68" s="15"/>
      <c r="PPN68" s="15"/>
      <c r="PPO68" s="15"/>
      <c r="PPP68" s="15"/>
      <c r="PPQ68" s="15"/>
      <c r="PPR68" s="15"/>
      <c r="PPS68" s="15"/>
      <c r="PPT68" s="15"/>
      <c r="PPU68" s="15"/>
      <c r="PPV68" s="15"/>
      <c r="PPW68" s="15"/>
      <c r="PPX68" s="15"/>
      <c r="PPY68" s="15"/>
      <c r="PPZ68" s="15"/>
      <c r="PQA68" s="15"/>
      <c r="PQB68" s="15"/>
      <c r="PQC68" s="15"/>
      <c r="PQD68" s="15"/>
      <c r="PQE68" s="15"/>
      <c r="PQF68" s="15"/>
      <c r="PQG68" s="15"/>
      <c r="PQH68" s="15"/>
      <c r="PQI68" s="15"/>
      <c r="PQJ68" s="15"/>
      <c r="PQK68" s="15"/>
      <c r="PQL68" s="15"/>
      <c r="PQM68" s="15"/>
      <c r="PQN68" s="15"/>
      <c r="PQO68" s="15"/>
      <c r="PQP68" s="15"/>
      <c r="PQQ68" s="15"/>
      <c r="PQR68" s="15"/>
      <c r="PQS68" s="15"/>
      <c r="PQT68" s="15"/>
      <c r="PQU68" s="15"/>
      <c r="PQV68" s="15"/>
      <c r="PQW68" s="15"/>
      <c r="PQX68" s="15"/>
      <c r="PQY68" s="15"/>
      <c r="PQZ68" s="15"/>
      <c r="PRA68" s="15"/>
      <c r="PRB68" s="15"/>
      <c r="PRC68" s="15"/>
      <c r="PRD68" s="15"/>
      <c r="PRE68" s="15"/>
      <c r="PRF68" s="15"/>
      <c r="PRG68" s="15"/>
      <c r="PRH68" s="15"/>
      <c r="PRI68" s="15"/>
      <c r="PRJ68" s="15"/>
      <c r="PRK68" s="15"/>
      <c r="PRL68" s="15"/>
      <c r="PRM68" s="15"/>
      <c r="PRN68" s="15"/>
      <c r="PRO68" s="15"/>
      <c r="PRP68" s="15"/>
      <c r="PRQ68" s="15"/>
      <c r="PRR68" s="15"/>
      <c r="PRS68" s="15"/>
      <c r="PRT68" s="15"/>
      <c r="PRU68" s="15"/>
      <c r="PRV68" s="15"/>
      <c r="PRW68" s="15"/>
      <c r="PRX68" s="15"/>
      <c r="PRY68" s="15"/>
      <c r="PRZ68" s="15"/>
      <c r="PSA68" s="15"/>
      <c r="PSB68" s="15"/>
      <c r="PSC68" s="15"/>
      <c r="PSD68" s="15"/>
      <c r="PSE68" s="15"/>
      <c r="PSF68" s="15"/>
      <c r="PSG68" s="15"/>
      <c r="PSH68" s="15"/>
      <c r="PSI68" s="15"/>
      <c r="PSJ68" s="15"/>
      <c r="PSK68" s="15"/>
      <c r="PSL68" s="15"/>
      <c r="PSM68" s="15"/>
      <c r="PSN68" s="15"/>
      <c r="PSO68" s="15"/>
      <c r="PSP68" s="15"/>
      <c r="PSQ68" s="15"/>
      <c r="PSR68" s="15"/>
      <c r="PSS68" s="15"/>
      <c r="PST68" s="15"/>
      <c r="PSU68" s="15"/>
      <c r="PSV68" s="15"/>
      <c r="PSW68" s="15"/>
      <c r="PSX68" s="15"/>
      <c r="PSY68" s="15"/>
      <c r="PSZ68" s="15"/>
      <c r="PTA68" s="15"/>
      <c r="PTB68" s="15"/>
      <c r="PTC68" s="15"/>
      <c r="PTD68" s="15"/>
      <c r="PTE68" s="15"/>
      <c r="PTF68" s="15"/>
      <c r="PTG68" s="15"/>
      <c r="PTH68" s="15"/>
      <c r="PTI68" s="15"/>
      <c r="PTJ68" s="15"/>
      <c r="PTK68" s="15"/>
      <c r="PTL68" s="15"/>
      <c r="PTM68" s="15"/>
      <c r="PTN68" s="15"/>
      <c r="PTO68" s="15"/>
      <c r="PTP68" s="15"/>
      <c r="PTQ68" s="15"/>
      <c r="PTR68" s="15"/>
      <c r="PTS68" s="15"/>
      <c r="PTT68" s="15"/>
      <c r="PTU68" s="15"/>
      <c r="PTV68" s="15"/>
      <c r="PTW68" s="15"/>
      <c r="PTX68" s="15"/>
      <c r="PTY68" s="15"/>
      <c r="PTZ68" s="15"/>
      <c r="PUA68" s="15"/>
      <c r="PUB68" s="15"/>
      <c r="PUC68" s="15"/>
      <c r="PUD68" s="15"/>
      <c r="PUE68" s="15"/>
      <c r="PUF68" s="15"/>
      <c r="PUG68" s="15"/>
      <c r="PUH68" s="15"/>
      <c r="PUI68" s="15"/>
      <c r="PUJ68" s="15"/>
      <c r="PUK68" s="15"/>
      <c r="PUL68" s="15"/>
      <c r="PUM68" s="15"/>
      <c r="PUN68" s="15"/>
      <c r="PUO68" s="15"/>
      <c r="PUP68" s="15"/>
      <c r="PUQ68" s="15"/>
      <c r="PUR68" s="15"/>
      <c r="PUS68" s="15"/>
      <c r="PUT68" s="15"/>
      <c r="PUU68" s="15"/>
      <c r="PUV68" s="15"/>
      <c r="PUW68" s="15"/>
      <c r="PUX68" s="15"/>
      <c r="PUY68" s="15"/>
      <c r="PUZ68" s="15"/>
      <c r="PVA68" s="15"/>
      <c r="PVB68" s="15"/>
      <c r="PVC68" s="15"/>
      <c r="PVD68" s="15"/>
      <c r="PVE68" s="15"/>
      <c r="PVF68" s="15"/>
      <c r="PVG68" s="15"/>
      <c r="PVH68" s="15"/>
      <c r="PVI68" s="15"/>
      <c r="PVJ68" s="15"/>
      <c r="PVK68" s="15"/>
      <c r="PVL68" s="15"/>
      <c r="PVM68" s="15"/>
      <c r="PVN68" s="15"/>
      <c r="PVO68" s="15"/>
      <c r="PVP68" s="15"/>
      <c r="PVQ68" s="15"/>
      <c r="PVR68" s="15"/>
      <c r="PVS68" s="15"/>
      <c r="PVT68" s="15"/>
      <c r="PVU68" s="15"/>
      <c r="PVV68" s="15"/>
      <c r="PVW68" s="15"/>
      <c r="PVX68" s="15"/>
      <c r="PVY68" s="15"/>
      <c r="PVZ68" s="15"/>
      <c r="PWA68" s="15"/>
      <c r="PWB68" s="15"/>
      <c r="PWC68" s="15"/>
      <c r="PWD68" s="15"/>
      <c r="PWE68" s="15"/>
      <c r="PWF68" s="15"/>
      <c r="PWG68" s="15"/>
      <c r="PWH68" s="15"/>
      <c r="PWI68" s="15"/>
      <c r="PWJ68" s="15"/>
      <c r="PWK68" s="15"/>
      <c r="PWL68" s="15"/>
      <c r="PWM68" s="15"/>
      <c r="PWN68" s="15"/>
      <c r="PWO68" s="15"/>
      <c r="PWP68" s="15"/>
      <c r="PWQ68" s="15"/>
      <c r="PWR68" s="15"/>
      <c r="PWS68" s="15"/>
      <c r="PWT68" s="15"/>
      <c r="PWU68" s="15"/>
      <c r="PWV68" s="15"/>
      <c r="PWW68" s="15"/>
      <c r="PWX68" s="15"/>
      <c r="PWY68" s="15"/>
      <c r="PWZ68" s="15"/>
      <c r="PXA68" s="15"/>
      <c r="PXB68" s="15"/>
      <c r="PXC68" s="15"/>
      <c r="PXD68" s="15"/>
      <c r="PXE68" s="15"/>
      <c r="PXF68" s="15"/>
      <c r="PXG68" s="15"/>
      <c r="PXH68" s="15"/>
      <c r="PXI68" s="15"/>
      <c r="PXJ68" s="15"/>
      <c r="PXK68" s="15"/>
      <c r="PXL68" s="15"/>
      <c r="PXM68" s="15"/>
      <c r="PXN68" s="15"/>
      <c r="PXO68" s="15"/>
      <c r="PXP68" s="15"/>
      <c r="PXQ68" s="15"/>
      <c r="PXR68" s="15"/>
      <c r="PXS68" s="15"/>
      <c r="PXT68" s="15"/>
      <c r="PXU68" s="15"/>
      <c r="PXV68" s="15"/>
      <c r="PXW68" s="15"/>
      <c r="PXX68" s="15"/>
      <c r="PXY68" s="15"/>
      <c r="PXZ68" s="15"/>
      <c r="PYA68" s="15"/>
      <c r="PYB68" s="15"/>
      <c r="PYC68" s="15"/>
      <c r="PYD68" s="15"/>
      <c r="PYE68" s="15"/>
      <c r="PYF68" s="15"/>
      <c r="PYG68" s="15"/>
      <c r="PYH68" s="15"/>
      <c r="PYI68" s="15"/>
      <c r="PYJ68" s="15"/>
      <c r="PYK68" s="15"/>
      <c r="PYL68" s="15"/>
      <c r="PYM68" s="15"/>
      <c r="PYN68" s="15"/>
      <c r="PYO68" s="15"/>
      <c r="PYP68" s="15"/>
      <c r="PYQ68" s="15"/>
      <c r="PYR68" s="15"/>
      <c r="PYS68" s="15"/>
      <c r="PYT68" s="15"/>
      <c r="PYU68" s="15"/>
      <c r="PYV68" s="15"/>
      <c r="PYW68" s="15"/>
      <c r="PYX68" s="15"/>
      <c r="PYY68" s="15"/>
      <c r="PYZ68" s="15"/>
      <c r="PZA68" s="15"/>
      <c r="PZB68" s="15"/>
      <c r="PZC68" s="15"/>
      <c r="PZD68" s="15"/>
      <c r="PZE68" s="15"/>
      <c r="PZF68" s="15"/>
      <c r="PZG68" s="15"/>
      <c r="PZH68" s="15"/>
      <c r="PZI68" s="15"/>
      <c r="PZJ68" s="15"/>
      <c r="PZK68" s="15"/>
      <c r="PZL68" s="15"/>
      <c r="PZM68" s="15"/>
      <c r="PZN68" s="15"/>
      <c r="PZO68" s="15"/>
      <c r="PZP68" s="15"/>
      <c r="PZQ68" s="15"/>
      <c r="PZR68" s="15"/>
      <c r="PZS68" s="15"/>
      <c r="PZT68" s="15"/>
      <c r="PZU68" s="15"/>
      <c r="PZV68" s="15"/>
      <c r="PZW68" s="15"/>
      <c r="PZX68" s="15"/>
      <c r="PZY68" s="15"/>
      <c r="PZZ68" s="15"/>
      <c r="QAA68" s="15"/>
      <c r="QAB68" s="15"/>
      <c r="QAC68" s="15"/>
      <c r="QAD68" s="15"/>
      <c r="QAE68" s="15"/>
      <c r="QAF68" s="15"/>
      <c r="QAG68" s="15"/>
      <c r="QAH68" s="15"/>
      <c r="QAI68" s="15"/>
      <c r="QAJ68" s="15"/>
      <c r="QAK68" s="15"/>
      <c r="QAL68" s="15"/>
      <c r="QAM68" s="15"/>
      <c r="QAN68" s="15"/>
      <c r="QAO68" s="15"/>
      <c r="QAP68" s="15"/>
      <c r="QAQ68" s="15"/>
      <c r="QAR68" s="15"/>
      <c r="QAS68" s="15"/>
      <c r="QAT68" s="15"/>
      <c r="QAU68" s="15"/>
      <c r="QAV68" s="15"/>
      <c r="QAW68" s="15"/>
      <c r="QAX68" s="15"/>
      <c r="QAY68" s="15"/>
      <c r="QAZ68" s="15"/>
      <c r="QBA68" s="15"/>
      <c r="QBB68" s="15"/>
      <c r="QBC68" s="15"/>
      <c r="QBD68" s="15"/>
      <c r="QBE68" s="15"/>
      <c r="QBF68" s="15"/>
      <c r="QBG68" s="15"/>
      <c r="QBH68" s="15"/>
      <c r="QBI68" s="15"/>
      <c r="QBJ68" s="15"/>
      <c r="QBK68" s="15"/>
      <c r="QBL68" s="15"/>
      <c r="QBM68" s="15"/>
      <c r="QBN68" s="15"/>
      <c r="QBO68" s="15"/>
      <c r="QBP68" s="15"/>
      <c r="QBQ68" s="15"/>
      <c r="QBR68" s="15"/>
      <c r="QBS68" s="15"/>
      <c r="QBT68" s="15"/>
      <c r="QBU68" s="15"/>
      <c r="QBV68" s="15"/>
      <c r="QBW68" s="15"/>
      <c r="QBX68" s="15"/>
      <c r="QBY68" s="15"/>
      <c r="QBZ68" s="15"/>
      <c r="QCA68" s="15"/>
      <c r="QCB68" s="15"/>
      <c r="QCC68" s="15"/>
      <c r="QCD68" s="15"/>
      <c r="QCE68" s="15"/>
      <c r="QCF68" s="15"/>
      <c r="QCG68" s="15"/>
      <c r="QCH68" s="15"/>
      <c r="QCI68" s="15"/>
      <c r="QCJ68" s="15"/>
      <c r="QCK68" s="15"/>
      <c r="QCL68" s="15"/>
      <c r="QCM68" s="15"/>
      <c r="QCN68" s="15"/>
      <c r="QCO68" s="15"/>
      <c r="QCP68" s="15"/>
      <c r="QCQ68" s="15"/>
      <c r="QCR68" s="15"/>
      <c r="QCS68" s="15"/>
      <c r="QCT68" s="15"/>
      <c r="QCU68" s="15"/>
      <c r="QCV68" s="15"/>
      <c r="QCW68" s="15"/>
      <c r="QCX68" s="15"/>
      <c r="QCY68" s="15"/>
      <c r="QCZ68" s="15"/>
      <c r="QDA68" s="15"/>
      <c r="QDB68" s="15"/>
      <c r="QDC68" s="15"/>
      <c r="QDD68" s="15"/>
      <c r="QDE68" s="15"/>
      <c r="QDF68" s="15"/>
      <c r="QDG68" s="15"/>
      <c r="QDH68" s="15"/>
      <c r="QDI68" s="15"/>
      <c r="QDJ68" s="15"/>
      <c r="QDK68" s="15"/>
      <c r="QDL68" s="15"/>
      <c r="QDM68" s="15"/>
      <c r="QDN68" s="15"/>
      <c r="QDO68" s="15"/>
      <c r="QDP68" s="15"/>
      <c r="QDQ68" s="15"/>
      <c r="QDR68" s="15"/>
      <c r="QDS68" s="15"/>
      <c r="QDT68" s="15"/>
      <c r="QDU68" s="15"/>
      <c r="QDV68" s="15"/>
      <c r="QDW68" s="15"/>
      <c r="QDX68" s="15"/>
      <c r="QDY68" s="15"/>
      <c r="QDZ68" s="15"/>
      <c r="QEA68" s="15"/>
      <c r="QEB68" s="15"/>
      <c r="QEC68" s="15"/>
      <c r="QED68" s="15"/>
      <c r="QEE68" s="15"/>
      <c r="QEF68" s="15"/>
      <c r="QEG68" s="15"/>
      <c r="QEH68" s="15"/>
      <c r="QEI68" s="15"/>
      <c r="QEJ68" s="15"/>
      <c r="QEK68" s="15"/>
      <c r="QEL68" s="15"/>
      <c r="QEM68" s="15"/>
      <c r="QEN68" s="15"/>
      <c r="QEO68" s="15"/>
      <c r="QEP68" s="15"/>
      <c r="QEQ68" s="15"/>
      <c r="QER68" s="15"/>
      <c r="QES68" s="15"/>
      <c r="QET68" s="15"/>
      <c r="QEU68" s="15"/>
      <c r="QEV68" s="15"/>
      <c r="QEW68" s="15"/>
      <c r="QEX68" s="15"/>
      <c r="QEY68" s="15"/>
      <c r="QEZ68" s="15"/>
      <c r="QFA68" s="15"/>
      <c r="QFB68" s="15"/>
      <c r="QFC68" s="15"/>
      <c r="QFD68" s="15"/>
      <c r="QFE68" s="15"/>
      <c r="QFF68" s="15"/>
      <c r="QFG68" s="15"/>
      <c r="QFH68" s="15"/>
      <c r="QFI68" s="15"/>
      <c r="QFJ68" s="15"/>
      <c r="QFK68" s="15"/>
      <c r="QFL68" s="15"/>
      <c r="QFM68" s="15"/>
      <c r="QFN68" s="15"/>
      <c r="QFO68" s="15"/>
      <c r="QFP68" s="15"/>
      <c r="QFQ68" s="15"/>
      <c r="QFR68" s="15"/>
      <c r="QFS68" s="15"/>
      <c r="QFT68" s="15"/>
      <c r="QFU68" s="15"/>
      <c r="QFV68" s="15"/>
      <c r="QFW68" s="15"/>
      <c r="QFX68" s="15"/>
      <c r="QFY68" s="15"/>
      <c r="QFZ68" s="15"/>
      <c r="QGA68" s="15"/>
      <c r="QGB68" s="15"/>
      <c r="QGC68" s="15"/>
      <c r="QGD68" s="15"/>
      <c r="QGE68" s="15"/>
      <c r="QGF68" s="15"/>
      <c r="QGG68" s="15"/>
      <c r="QGH68" s="15"/>
      <c r="QGI68" s="15"/>
      <c r="QGJ68" s="15"/>
      <c r="QGK68" s="15"/>
      <c r="QGL68" s="15"/>
      <c r="QGM68" s="15"/>
      <c r="QGN68" s="15"/>
      <c r="QGO68" s="15"/>
      <c r="QGP68" s="15"/>
      <c r="QGQ68" s="15"/>
      <c r="QGR68" s="15"/>
      <c r="QGS68" s="15"/>
      <c r="QGT68" s="15"/>
      <c r="QGU68" s="15"/>
      <c r="QGV68" s="15"/>
      <c r="QGW68" s="15"/>
      <c r="QGX68" s="15"/>
      <c r="QGY68" s="15"/>
      <c r="QGZ68" s="15"/>
      <c r="QHA68" s="15"/>
      <c r="QHB68" s="15"/>
      <c r="QHC68" s="15"/>
      <c r="QHD68" s="15"/>
      <c r="QHE68" s="15"/>
      <c r="QHF68" s="15"/>
      <c r="QHG68" s="15"/>
      <c r="QHH68" s="15"/>
      <c r="QHI68" s="15"/>
      <c r="QHJ68" s="15"/>
      <c r="QHK68" s="15"/>
      <c r="QHL68" s="15"/>
      <c r="QHM68" s="15"/>
      <c r="QHN68" s="15"/>
      <c r="QHO68" s="15"/>
      <c r="QHP68" s="15"/>
      <c r="QHQ68" s="15"/>
      <c r="QHR68" s="15"/>
      <c r="QHS68" s="15"/>
      <c r="QHT68" s="15"/>
      <c r="QHU68" s="15"/>
      <c r="QHV68" s="15"/>
      <c r="QHW68" s="15"/>
      <c r="QHX68" s="15"/>
      <c r="QHY68" s="15"/>
      <c r="QHZ68" s="15"/>
      <c r="QIA68" s="15"/>
      <c r="QIB68" s="15"/>
      <c r="QIC68" s="15"/>
      <c r="QID68" s="15"/>
      <c r="QIE68" s="15"/>
      <c r="QIF68" s="15"/>
      <c r="QIG68" s="15"/>
      <c r="QIH68" s="15"/>
      <c r="QII68" s="15"/>
      <c r="QIJ68" s="15"/>
      <c r="QIK68" s="15"/>
      <c r="QIL68" s="15"/>
      <c r="QIM68" s="15"/>
      <c r="QIN68" s="15"/>
      <c r="QIO68" s="15"/>
      <c r="QIP68" s="15"/>
      <c r="QIQ68" s="15"/>
      <c r="QIR68" s="15"/>
      <c r="QIS68" s="15"/>
      <c r="QIT68" s="15"/>
      <c r="QIU68" s="15"/>
      <c r="QIV68" s="15"/>
      <c r="QIW68" s="15"/>
      <c r="QIX68" s="15"/>
      <c r="QIY68" s="15"/>
      <c r="QIZ68" s="15"/>
      <c r="QJA68" s="15"/>
      <c r="QJB68" s="15"/>
      <c r="QJC68" s="15"/>
      <c r="QJD68" s="15"/>
      <c r="QJE68" s="15"/>
      <c r="QJF68" s="15"/>
      <c r="QJG68" s="15"/>
      <c r="QJH68" s="15"/>
      <c r="QJI68" s="15"/>
      <c r="QJJ68" s="15"/>
      <c r="QJK68" s="15"/>
      <c r="QJL68" s="15"/>
      <c r="QJM68" s="15"/>
      <c r="QJN68" s="15"/>
      <c r="QJO68" s="15"/>
      <c r="QJP68" s="15"/>
      <c r="QJQ68" s="15"/>
      <c r="QJR68" s="15"/>
      <c r="QJS68" s="15"/>
      <c r="QJT68" s="15"/>
      <c r="QJU68" s="15"/>
      <c r="QJV68" s="15"/>
      <c r="QJW68" s="15"/>
      <c r="QJX68" s="15"/>
      <c r="QJY68" s="15"/>
      <c r="QJZ68" s="15"/>
      <c r="QKA68" s="15"/>
      <c r="QKB68" s="15"/>
      <c r="QKC68" s="15"/>
      <c r="QKD68" s="15"/>
      <c r="QKE68" s="15"/>
      <c r="QKF68" s="15"/>
      <c r="QKG68" s="15"/>
      <c r="QKH68" s="15"/>
      <c r="QKI68" s="15"/>
      <c r="QKJ68" s="15"/>
      <c r="QKK68" s="15"/>
      <c r="QKL68" s="15"/>
      <c r="QKM68" s="15"/>
      <c r="QKN68" s="15"/>
      <c r="QKO68" s="15"/>
      <c r="QKP68" s="15"/>
      <c r="QKQ68" s="15"/>
      <c r="QKR68" s="15"/>
      <c r="QKS68" s="15"/>
      <c r="QKT68" s="15"/>
      <c r="QKU68" s="15"/>
      <c r="QKV68" s="15"/>
      <c r="QKW68" s="15"/>
      <c r="QKX68" s="15"/>
      <c r="QKY68" s="15"/>
      <c r="QKZ68" s="15"/>
      <c r="QLA68" s="15"/>
      <c r="QLB68" s="15"/>
      <c r="QLC68" s="15"/>
      <c r="QLD68" s="15"/>
      <c r="QLE68" s="15"/>
      <c r="QLF68" s="15"/>
      <c r="QLG68" s="15"/>
      <c r="QLH68" s="15"/>
      <c r="QLI68" s="15"/>
      <c r="QLJ68" s="15"/>
      <c r="QLK68" s="15"/>
      <c r="QLL68" s="15"/>
      <c r="QLM68" s="15"/>
      <c r="QLN68" s="15"/>
      <c r="QLO68" s="15"/>
      <c r="QLP68" s="15"/>
      <c r="QLQ68" s="15"/>
      <c r="QLR68" s="15"/>
      <c r="QLS68" s="15"/>
      <c r="QLT68" s="15"/>
      <c r="QLU68" s="15"/>
      <c r="QLV68" s="15"/>
      <c r="QLW68" s="15"/>
      <c r="QLX68" s="15"/>
      <c r="QLY68" s="15"/>
      <c r="QLZ68" s="15"/>
      <c r="QMA68" s="15"/>
      <c r="QMB68" s="15"/>
      <c r="QMC68" s="15"/>
      <c r="QMD68" s="15"/>
      <c r="QME68" s="15"/>
      <c r="QMF68" s="15"/>
      <c r="QMG68" s="15"/>
      <c r="QMH68" s="15"/>
      <c r="QMI68" s="15"/>
      <c r="QMJ68" s="15"/>
      <c r="QMK68" s="15"/>
      <c r="QML68" s="15"/>
      <c r="QMM68" s="15"/>
      <c r="QMN68" s="15"/>
      <c r="QMO68" s="15"/>
      <c r="QMP68" s="15"/>
      <c r="QMQ68" s="15"/>
      <c r="QMR68" s="15"/>
      <c r="QMS68" s="15"/>
      <c r="QMT68" s="15"/>
      <c r="QMU68" s="15"/>
      <c r="QMV68" s="15"/>
      <c r="QMW68" s="15"/>
      <c r="QMX68" s="15"/>
      <c r="QMY68" s="15"/>
      <c r="QMZ68" s="15"/>
      <c r="QNA68" s="15"/>
      <c r="QNB68" s="15"/>
      <c r="QNC68" s="15"/>
      <c r="QND68" s="15"/>
      <c r="QNE68" s="15"/>
      <c r="QNF68" s="15"/>
      <c r="QNG68" s="15"/>
      <c r="QNH68" s="15"/>
      <c r="QNI68" s="15"/>
      <c r="QNJ68" s="15"/>
      <c r="QNK68" s="15"/>
      <c r="QNL68" s="15"/>
      <c r="QNM68" s="15"/>
      <c r="QNN68" s="15"/>
      <c r="QNO68" s="15"/>
      <c r="QNP68" s="15"/>
      <c r="QNQ68" s="15"/>
      <c r="QNR68" s="15"/>
      <c r="QNS68" s="15"/>
      <c r="QNT68" s="15"/>
      <c r="QNU68" s="15"/>
      <c r="QNV68" s="15"/>
      <c r="QNW68" s="15"/>
      <c r="QNX68" s="15"/>
      <c r="QNY68" s="15"/>
      <c r="QNZ68" s="15"/>
      <c r="QOA68" s="15"/>
      <c r="QOB68" s="15"/>
      <c r="QOC68" s="15"/>
      <c r="QOD68" s="15"/>
      <c r="QOE68" s="15"/>
      <c r="QOF68" s="15"/>
      <c r="QOG68" s="15"/>
      <c r="QOH68" s="15"/>
      <c r="QOI68" s="15"/>
      <c r="QOJ68" s="15"/>
      <c r="QOK68" s="15"/>
      <c r="QOL68" s="15"/>
      <c r="QOM68" s="15"/>
      <c r="QON68" s="15"/>
      <c r="QOO68" s="15"/>
      <c r="QOP68" s="15"/>
      <c r="QOQ68" s="15"/>
      <c r="QOR68" s="15"/>
      <c r="QOS68" s="15"/>
      <c r="QOT68" s="15"/>
      <c r="QOU68" s="15"/>
      <c r="QOV68" s="15"/>
      <c r="QOW68" s="15"/>
      <c r="QOX68" s="15"/>
      <c r="QOY68" s="15"/>
      <c r="QOZ68" s="15"/>
      <c r="QPA68" s="15"/>
      <c r="QPB68" s="15"/>
      <c r="QPC68" s="15"/>
      <c r="QPD68" s="15"/>
      <c r="QPE68" s="15"/>
      <c r="QPF68" s="15"/>
      <c r="QPG68" s="15"/>
      <c r="QPH68" s="15"/>
      <c r="QPI68" s="15"/>
      <c r="QPJ68" s="15"/>
      <c r="QPK68" s="15"/>
      <c r="QPL68" s="15"/>
      <c r="QPM68" s="15"/>
      <c r="QPN68" s="15"/>
      <c r="QPO68" s="15"/>
      <c r="QPP68" s="15"/>
      <c r="QPQ68" s="15"/>
      <c r="QPR68" s="15"/>
      <c r="QPS68" s="15"/>
      <c r="QPT68" s="15"/>
      <c r="QPU68" s="15"/>
      <c r="QPV68" s="15"/>
      <c r="QPW68" s="15"/>
      <c r="QPX68" s="15"/>
      <c r="QPY68" s="15"/>
      <c r="QPZ68" s="15"/>
      <c r="QQA68" s="15"/>
      <c r="QQB68" s="15"/>
      <c r="QQC68" s="15"/>
      <c r="QQD68" s="15"/>
      <c r="QQE68" s="15"/>
      <c r="QQF68" s="15"/>
      <c r="QQG68" s="15"/>
      <c r="QQH68" s="15"/>
      <c r="QQI68" s="15"/>
      <c r="QQJ68" s="15"/>
      <c r="QQK68" s="15"/>
      <c r="QQL68" s="15"/>
      <c r="QQM68" s="15"/>
      <c r="QQN68" s="15"/>
      <c r="QQO68" s="15"/>
      <c r="QQP68" s="15"/>
      <c r="QQQ68" s="15"/>
      <c r="QQR68" s="15"/>
      <c r="QQS68" s="15"/>
      <c r="QQT68" s="15"/>
      <c r="QQU68" s="15"/>
      <c r="QQV68" s="15"/>
      <c r="QQW68" s="15"/>
      <c r="QQX68" s="15"/>
      <c r="QQY68" s="15"/>
      <c r="QQZ68" s="15"/>
      <c r="QRA68" s="15"/>
      <c r="QRB68" s="15"/>
      <c r="QRC68" s="15"/>
      <c r="QRD68" s="15"/>
      <c r="QRE68" s="15"/>
      <c r="QRF68" s="15"/>
      <c r="QRG68" s="15"/>
      <c r="QRH68" s="15"/>
      <c r="QRI68" s="15"/>
      <c r="QRJ68" s="15"/>
      <c r="QRK68" s="15"/>
      <c r="QRL68" s="15"/>
      <c r="QRM68" s="15"/>
      <c r="QRN68" s="15"/>
      <c r="QRO68" s="15"/>
      <c r="QRP68" s="15"/>
      <c r="QRQ68" s="15"/>
      <c r="QRR68" s="15"/>
      <c r="QRS68" s="15"/>
      <c r="QRT68" s="15"/>
      <c r="QRU68" s="15"/>
      <c r="QRV68" s="15"/>
      <c r="QRW68" s="15"/>
      <c r="QRX68" s="15"/>
      <c r="QRY68" s="15"/>
      <c r="QRZ68" s="15"/>
      <c r="QSA68" s="15"/>
      <c r="QSB68" s="15"/>
      <c r="QSC68" s="15"/>
      <c r="QSD68" s="15"/>
      <c r="QSE68" s="15"/>
      <c r="QSF68" s="15"/>
      <c r="QSG68" s="15"/>
      <c r="QSH68" s="15"/>
      <c r="QSI68" s="15"/>
      <c r="QSJ68" s="15"/>
      <c r="QSK68" s="15"/>
      <c r="QSL68" s="15"/>
      <c r="QSM68" s="15"/>
      <c r="QSN68" s="15"/>
      <c r="QSO68" s="15"/>
      <c r="QSP68" s="15"/>
      <c r="QSQ68" s="15"/>
      <c r="QSR68" s="15"/>
      <c r="QSS68" s="15"/>
      <c r="QST68" s="15"/>
      <c r="QSU68" s="15"/>
      <c r="QSV68" s="15"/>
      <c r="QSW68" s="15"/>
      <c r="QSX68" s="15"/>
      <c r="QSY68" s="15"/>
      <c r="QSZ68" s="15"/>
      <c r="QTA68" s="15"/>
      <c r="QTB68" s="15"/>
      <c r="QTC68" s="15"/>
      <c r="QTD68" s="15"/>
      <c r="QTE68" s="15"/>
      <c r="QTF68" s="15"/>
      <c r="QTG68" s="15"/>
      <c r="QTH68" s="15"/>
      <c r="QTI68" s="15"/>
      <c r="QTJ68" s="15"/>
      <c r="QTK68" s="15"/>
      <c r="QTL68" s="15"/>
      <c r="QTM68" s="15"/>
      <c r="QTN68" s="15"/>
      <c r="QTO68" s="15"/>
      <c r="QTP68" s="15"/>
      <c r="QTQ68" s="15"/>
      <c r="QTR68" s="15"/>
      <c r="QTS68" s="15"/>
      <c r="QTT68" s="15"/>
      <c r="QTU68" s="15"/>
      <c r="QTV68" s="15"/>
      <c r="QTW68" s="15"/>
      <c r="QTX68" s="15"/>
      <c r="QTY68" s="15"/>
      <c r="QTZ68" s="15"/>
      <c r="QUA68" s="15"/>
      <c r="QUB68" s="15"/>
      <c r="QUC68" s="15"/>
      <c r="QUD68" s="15"/>
      <c r="QUE68" s="15"/>
      <c r="QUF68" s="15"/>
      <c r="QUG68" s="15"/>
      <c r="QUH68" s="15"/>
      <c r="QUI68" s="15"/>
      <c r="QUJ68" s="15"/>
      <c r="QUK68" s="15"/>
      <c r="QUL68" s="15"/>
      <c r="QUM68" s="15"/>
      <c r="QUN68" s="15"/>
      <c r="QUO68" s="15"/>
      <c r="QUP68" s="15"/>
      <c r="QUQ68" s="15"/>
      <c r="QUR68" s="15"/>
      <c r="QUS68" s="15"/>
      <c r="QUT68" s="15"/>
      <c r="QUU68" s="15"/>
      <c r="QUV68" s="15"/>
      <c r="QUW68" s="15"/>
      <c r="QUX68" s="15"/>
      <c r="QUY68" s="15"/>
      <c r="QUZ68" s="15"/>
      <c r="QVA68" s="15"/>
      <c r="QVB68" s="15"/>
      <c r="QVC68" s="15"/>
      <c r="QVD68" s="15"/>
      <c r="QVE68" s="15"/>
      <c r="QVF68" s="15"/>
      <c r="QVG68" s="15"/>
      <c r="QVH68" s="15"/>
      <c r="QVI68" s="15"/>
      <c r="QVJ68" s="15"/>
      <c r="QVK68" s="15"/>
      <c r="QVL68" s="15"/>
      <c r="QVM68" s="15"/>
      <c r="QVN68" s="15"/>
      <c r="QVO68" s="15"/>
      <c r="QVP68" s="15"/>
      <c r="QVQ68" s="15"/>
      <c r="QVR68" s="15"/>
      <c r="QVS68" s="15"/>
      <c r="QVT68" s="15"/>
      <c r="QVU68" s="15"/>
      <c r="QVV68" s="15"/>
      <c r="QVW68" s="15"/>
      <c r="QVX68" s="15"/>
      <c r="QVY68" s="15"/>
      <c r="QVZ68" s="15"/>
      <c r="QWA68" s="15"/>
      <c r="QWB68" s="15"/>
      <c r="QWC68" s="15"/>
      <c r="QWD68" s="15"/>
      <c r="QWE68" s="15"/>
      <c r="QWF68" s="15"/>
      <c r="QWG68" s="15"/>
      <c r="QWH68" s="15"/>
      <c r="QWI68" s="15"/>
      <c r="QWJ68" s="15"/>
      <c r="QWK68" s="15"/>
      <c r="QWL68" s="15"/>
      <c r="QWM68" s="15"/>
      <c r="QWN68" s="15"/>
      <c r="QWO68" s="15"/>
      <c r="QWP68" s="15"/>
      <c r="QWQ68" s="15"/>
      <c r="QWR68" s="15"/>
      <c r="QWS68" s="15"/>
      <c r="QWT68" s="15"/>
      <c r="QWU68" s="15"/>
      <c r="QWV68" s="15"/>
      <c r="QWW68" s="15"/>
      <c r="QWX68" s="15"/>
      <c r="QWY68" s="15"/>
      <c r="QWZ68" s="15"/>
      <c r="QXA68" s="15"/>
      <c r="QXB68" s="15"/>
      <c r="QXC68" s="15"/>
      <c r="QXD68" s="15"/>
      <c r="QXE68" s="15"/>
      <c r="QXF68" s="15"/>
      <c r="QXG68" s="15"/>
      <c r="QXH68" s="15"/>
      <c r="QXI68" s="15"/>
      <c r="QXJ68" s="15"/>
      <c r="QXK68" s="15"/>
      <c r="QXL68" s="15"/>
      <c r="QXM68" s="15"/>
      <c r="QXN68" s="15"/>
      <c r="QXO68" s="15"/>
      <c r="QXP68" s="15"/>
      <c r="QXQ68" s="15"/>
      <c r="QXR68" s="15"/>
      <c r="QXS68" s="15"/>
      <c r="QXT68" s="15"/>
      <c r="QXU68" s="15"/>
      <c r="QXV68" s="15"/>
      <c r="QXW68" s="15"/>
      <c r="QXX68" s="15"/>
      <c r="QXY68" s="15"/>
      <c r="QXZ68" s="15"/>
      <c r="QYA68" s="15"/>
      <c r="QYB68" s="15"/>
      <c r="QYC68" s="15"/>
      <c r="QYD68" s="15"/>
      <c r="QYE68" s="15"/>
      <c r="QYF68" s="15"/>
      <c r="QYG68" s="15"/>
      <c r="QYH68" s="15"/>
      <c r="QYI68" s="15"/>
      <c r="QYJ68" s="15"/>
      <c r="QYK68" s="15"/>
      <c r="QYL68" s="15"/>
      <c r="QYM68" s="15"/>
      <c r="QYN68" s="15"/>
      <c r="QYO68" s="15"/>
      <c r="QYP68" s="15"/>
      <c r="QYQ68" s="15"/>
      <c r="QYR68" s="15"/>
      <c r="QYS68" s="15"/>
      <c r="QYT68" s="15"/>
      <c r="QYU68" s="15"/>
      <c r="QYV68" s="15"/>
      <c r="QYW68" s="15"/>
      <c r="QYX68" s="15"/>
      <c r="QYY68" s="15"/>
      <c r="QYZ68" s="15"/>
      <c r="QZA68" s="15"/>
      <c r="QZB68" s="15"/>
      <c r="QZC68" s="15"/>
      <c r="QZD68" s="15"/>
      <c r="QZE68" s="15"/>
      <c r="QZF68" s="15"/>
      <c r="QZG68" s="15"/>
      <c r="QZH68" s="15"/>
      <c r="QZI68" s="15"/>
      <c r="QZJ68" s="15"/>
      <c r="QZK68" s="15"/>
      <c r="QZL68" s="15"/>
      <c r="QZM68" s="15"/>
      <c r="QZN68" s="15"/>
      <c r="QZO68" s="15"/>
      <c r="QZP68" s="15"/>
      <c r="QZQ68" s="15"/>
      <c r="QZR68" s="15"/>
      <c r="QZS68" s="15"/>
      <c r="QZT68" s="15"/>
      <c r="QZU68" s="15"/>
      <c r="QZV68" s="15"/>
      <c r="QZW68" s="15"/>
      <c r="QZX68" s="15"/>
      <c r="QZY68" s="15"/>
      <c r="QZZ68" s="15"/>
      <c r="RAA68" s="15"/>
      <c r="RAB68" s="15"/>
      <c r="RAC68" s="15"/>
      <c r="RAD68" s="15"/>
      <c r="RAE68" s="15"/>
      <c r="RAF68" s="15"/>
      <c r="RAG68" s="15"/>
      <c r="RAH68" s="15"/>
      <c r="RAI68" s="15"/>
      <c r="RAJ68" s="15"/>
      <c r="RAK68" s="15"/>
      <c r="RAL68" s="15"/>
      <c r="RAM68" s="15"/>
      <c r="RAN68" s="15"/>
      <c r="RAO68" s="15"/>
      <c r="RAP68" s="15"/>
      <c r="RAQ68" s="15"/>
      <c r="RAR68" s="15"/>
      <c r="RAS68" s="15"/>
      <c r="RAT68" s="15"/>
      <c r="RAU68" s="15"/>
      <c r="RAV68" s="15"/>
      <c r="RAW68" s="15"/>
      <c r="RAX68" s="15"/>
      <c r="RAY68" s="15"/>
      <c r="RAZ68" s="15"/>
      <c r="RBA68" s="15"/>
      <c r="RBB68" s="15"/>
      <c r="RBC68" s="15"/>
      <c r="RBD68" s="15"/>
      <c r="RBE68" s="15"/>
      <c r="RBF68" s="15"/>
      <c r="RBG68" s="15"/>
      <c r="RBH68" s="15"/>
      <c r="RBI68" s="15"/>
      <c r="RBJ68" s="15"/>
      <c r="RBK68" s="15"/>
      <c r="RBL68" s="15"/>
      <c r="RBM68" s="15"/>
      <c r="RBN68" s="15"/>
      <c r="RBO68" s="15"/>
      <c r="RBP68" s="15"/>
      <c r="RBQ68" s="15"/>
      <c r="RBR68" s="15"/>
      <c r="RBS68" s="15"/>
      <c r="RBT68" s="15"/>
      <c r="RBU68" s="15"/>
      <c r="RBV68" s="15"/>
      <c r="RBW68" s="15"/>
      <c r="RBX68" s="15"/>
      <c r="RBY68" s="15"/>
      <c r="RBZ68" s="15"/>
      <c r="RCA68" s="15"/>
      <c r="RCB68" s="15"/>
      <c r="RCC68" s="15"/>
      <c r="RCD68" s="15"/>
      <c r="RCE68" s="15"/>
      <c r="RCF68" s="15"/>
      <c r="RCG68" s="15"/>
      <c r="RCH68" s="15"/>
      <c r="RCI68" s="15"/>
      <c r="RCJ68" s="15"/>
      <c r="RCK68" s="15"/>
      <c r="RCL68" s="15"/>
      <c r="RCM68" s="15"/>
      <c r="RCN68" s="15"/>
      <c r="RCO68" s="15"/>
      <c r="RCP68" s="15"/>
      <c r="RCQ68" s="15"/>
      <c r="RCR68" s="15"/>
      <c r="RCS68" s="15"/>
      <c r="RCT68" s="15"/>
      <c r="RCU68" s="15"/>
      <c r="RCV68" s="15"/>
      <c r="RCW68" s="15"/>
      <c r="RCX68" s="15"/>
      <c r="RCY68" s="15"/>
      <c r="RCZ68" s="15"/>
      <c r="RDA68" s="15"/>
      <c r="RDB68" s="15"/>
      <c r="RDC68" s="15"/>
      <c r="RDD68" s="15"/>
      <c r="RDE68" s="15"/>
      <c r="RDF68" s="15"/>
      <c r="RDG68" s="15"/>
      <c r="RDH68" s="15"/>
      <c r="RDI68" s="15"/>
      <c r="RDJ68" s="15"/>
      <c r="RDK68" s="15"/>
      <c r="RDL68" s="15"/>
      <c r="RDM68" s="15"/>
      <c r="RDN68" s="15"/>
      <c r="RDO68" s="15"/>
      <c r="RDP68" s="15"/>
      <c r="RDQ68" s="15"/>
      <c r="RDR68" s="15"/>
      <c r="RDS68" s="15"/>
      <c r="RDT68" s="15"/>
      <c r="RDU68" s="15"/>
      <c r="RDV68" s="15"/>
      <c r="RDW68" s="15"/>
      <c r="RDX68" s="15"/>
      <c r="RDY68" s="15"/>
      <c r="RDZ68" s="15"/>
      <c r="REA68" s="15"/>
      <c r="REB68" s="15"/>
      <c r="REC68" s="15"/>
      <c r="RED68" s="15"/>
      <c r="REE68" s="15"/>
      <c r="REF68" s="15"/>
      <c r="REG68" s="15"/>
      <c r="REH68" s="15"/>
      <c r="REI68" s="15"/>
      <c r="REJ68" s="15"/>
      <c r="REK68" s="15"/>
      <c r="REL68" s="15"/>
      <c r="REM68" s="15"/>
      <c r="REN68" s="15"/>
      <c r="REO68" s="15"/>
      <c r="REP68" s="15"/>
      <c r="REQ68" s="15"/>
      <c r="RER68" s="15"/>
      <c r="RES68" s="15"/>
      <c r="RET68" s="15"/>
      <c r="REU68" s="15"/>
      <c r="REV68" s="15"/>
      <c r="REW68" s="15"/>
      <c r="REX68" s="15"/>
      <c r="REY68" s="15"/>
      <c r="REZ68" s="15"/>
      <c r="RFA68" s="15"/>
      <c r="RFB68" s="15"/>
      <c r="RFC68" s="15"/>
      <c r="RFD68" s="15"/>
      <c r="RFE68" s="15"/>
      <c r="RFF68" s="15"/>
      <c r="RFG68" s="15"/>
      <c r="RFH68" s="15"/>
      <c r="RFI68" s="15"/>
      <c r="RFJ68" s="15"/>
      <c r="RFK68" s="15"/>
      <c r="RFL68" s="15"/>
      <c r="RFM68" s="15"/>
      <c r="RFN68" s="15"/>
      <c r="RFO68" s="15"/>
      <c r="RFP68" s="15"/>
      <c r="RFQ68" s="15"/>
      <c r="RFR68" s="15"/>
      <c r="RFS68" s="15"/>
      <c r="RFT68" s="15"/>
      <c r="RFU68" s="15"/>
      <c r="RFV68" s="15"/>
      <c r="RFW68" s="15"/>
      <c r="RFX68" s="15"/>
      <c r="RFY68" s="15"/>
      <c r="RFZ68" s="15"/>
      <c r="RGA68" s="15"/>
      <c r="RGB68" s="15"/>
      <c r="RGC68" s="15"/>
      <c r="RGD68" s="15"/>
      <c r="RGE68" s="15"/>
      <c r="RGF68" s="15"/>
      <c r="RGG68" s="15"/>
      <c r="RGH68" s="15"/>
      <c r="RGI68" s="15"/>
      <c r="RGJ68" s="15"/>
      <c r="RGK68" s="15"/>
      <c r="RGL68" s="15"/>
      <c r="RGM68" s="15"/>
      <c r="RGN68" s="15"/>
      <c r="RGO68" s="15"/>
      <c r="RGP68" s="15"/>
      <c r="RGQ68" s="15"/>
      <c r="RGR68" s="15"/>
      <c r="RGS68" s="15"/>
      <c r="RGT68" s="15"/>
      <c r="RGU68" s="15"/>
      <c r="RGV68" s="15"/>
      <c r="RGW68" s="15"/>
      <c r="RGX68" s="15"/>
      <c r="RGY68" s="15"/>
      <c r="RGZ68" s="15"/>
      <c r="RHA68" s="15"/>
      <c r="RHB68" s="15"/>
      <c r="RHC68" s="15"/>
      <c r="RHD68" s="15"/>
      <c r="RHE68" s="15"/>
      <c r="RHF68" s="15"/>
      <c r="RHG68" s="15"/>
      <c r="RHH68" s="15"/>
      <c r="RHI68" s="15"/>
      <c r="RHJ68" s="15"/>
      <c r="RHK68" s="15"/>
      <c r="RHL68" s="15"/>
      <c r="RHM68" s="15"/>
      <c r="RHN68" s="15"/>
      <c r="RHO68" s="15"/>
      <c r="RHP68" s="15"/>
      <c r="RHQ68" s="15"/>
      <c r="RHR68" s="15"/>
      <c r="RHS68" s="15"/>
      <c r="RHT68" s="15"/>
      <c r="RHU68" s="15"/>
      <c r="RHV68" s="15"/>
      <c r="RHW68" s="15"/>
      <c r="RHX68" s="15"/>
      <c r="RHY68" s="15"/>
      <c r="RHZ68" s="15"/>
      <c r="RIA68" s="15"/>
      <c r="RIB68" s="15"/>
      <c r="RIC68" s="15"/>
      <c r="RID68" s="15"/>
      <c r="RIE68" s="15"/>
      <c r="RIF68" s="15"/>
      <c r="RIG68" s="15"/>
      <c r="RIH68" s="15"/>
      <c r="RII68" s="15"/>
      <c r="RIJ68" s="15"/>
      <c r="RIK68" s="15"/>
      <c r="RIL68" s="15"/>
      <c r="RIM68" s="15"/>
      <c r="RIN68" s="15"/>
      <c r="RIO68" s="15"/>
      <c r="RIP68" s="15"/>
      <c r="RIQ68" s="15"/>
      <c r="RIR68" s="15"/>
      <c r="RIS68" s="15"/>
      <c r="RIT68" s="15"/>
      <c r="RIU68" s="15"/>
      <c r="RIV68" s="15"/>
      <c r="RIW68" s="15"/>
      <c r="RIX68" s="15"/>
      <c r="RIY68" s="15"/>
      <c r="RIZ68" s="15"/>
      <c r="RJA68" s="15"/>
      <c r="RJB68" s="15"/>
      <c r="RJC68" s="15"/>
      <c r="RJD68" s="15"/>
      <c r="RJE68" s="15"/>
      <c r="RJF68" s="15"/>
      <c r="RJG68" s="15"/>
      <c r="RJH68" s="15"/>
      <c r="RJI68" s="15"/>
      <c r="RJJ68" s="15"/>
      <c r="RJK68" s="15"/>
      <c r="RJL68" s="15"/>
      <c r="RJM68" s="15"/>
      <c r="RJN68" s="15"/>
      <c r="RJO68" s="15"/>
      <c r="RJP68" s="15"/>
      <c r="RJQ68" s="15"/>
      <c r="RJR68" s="15"/>
      <c r="RJS68" s="15"/>
      <c r="RJT68" s="15"/>
      <c r="RJU68" s="15"/>
      <c r="RJV68" s="15"/>
      <c r="RJW68" s="15"/>
      <c r="RJX68" s="15"/>
      <c r="RJY68" s="15"/>
      <c r="RJZ68" s="15"/>
      <c r="RKA68" s="15"/>
      <c r="RKB68" s="15"/>
      <c r="RKC68" s="15"/>
      <c r="RKD68" s="15"/>
      <c r="RKE68" s="15"/>
      <c r="RKF68" s="15"/>
      <c r="RKG68" s="15"/>
      <c r="RKH68" s="15"/>
      <c r="RKI68" s="15"/>
      <c r="RKJ68" s="15"/>
      <c r="RKK68" s="15"/>
      <c r="RKL68" s="15"/>
      <c r="RKM68" s="15"/>
      <c r="RKN68" s="15"/>
      <c r="RKO68" s="15"/>
      <c r="RKP68" s="15"/>
      <c r="RKQ68" s="15"/>
      <c r="RKR68" s="15"/>
      <c r="RKS68" s="15"/>
      <c r="RKT68" s="15"/>
      <c r="RKU68" s="15"/>
      <c r="RKV68" s="15"/>
      <c r="RKW68" s="15"/>
      <c r="RKX68" s="15"/>
      <c r="RKY68" s="15"/>
      <c r="RKZ68" s="15"/>
      <c r="RLA68" s="15"/>
      <c r="RLB68" s="15"/>
      <c r="RLC68" s="15"/>
      <c r="RLD68" s="15"/>
      <c r="RLE68" s="15"/>
      <c r="RLF68" s="15"/>
      <c r="RLG68" s="15"/>
      <c r="RLH68" s="15"/>
      <c r="RLI68" s="15"/>
      <c r="RLJ68" s="15"/>
      <c r="RLK68" s="15"/>
      <c r="RLL68" s="15"/>
      <c r="RLM68" s="15"/>
      <c r="RLN68" s="15"/>
      <c r="RLO68" s="15"/>
      <c r="RLP68" s="15"/>
      <c r="RLQ68" s="15"/>
      <c r="RLR68" s="15"/>
      <c r="RLS68" s="15"/>
      <c r="RLT68" s="15"/>
      <c r="RLU68" s="15"/>
      <c r="RLV68" s="15"/>
      <c r="RLW68" s="15"/>
      <c r="RLX68" s="15"/>
      <c r="RLY68" s="15"/>
      <c r="RLZ68" s="15"/>
      <c r="RMA68" s="15"/>
      <c r="RMB68" s="15"/>
      <c r="RMC68" s="15"/>
      <c r="RMD68" s="15"/>
      <c r="RME68" s="15"/>
      <c r="RMF68" s="15"/>
      <c r="RMG68" s="15"/>
      <c r="RMH68" s="15"/>
      <c r="RMI68" s="15"/>
      <c r="RMJ68" s="15"/>
      <c r="RMK68" s="15"/>
      <c r="RML68" s="15"/>
      <c r="RMM68" s="15"/>
      <c r="RMN68" s="15"/>
      <c r="RMO68" s="15"/>
      <c r="RMP68" s="15"/>
      <c r="RMQ68" s="15"/>
      <c r="RMR68" s="15"/>
      <c r="RMS68" s="15"/>
      <c r="RMT68" s="15"/>
      <c r="RMU68" s="15"/>
      <c r="RMV68" s="15"/>
      <c r="RMW68" s="15"/>
      <c r="RMX68" s="15"/>
      <c r="RMY68" s="15"/>
      <c r="RMZ68" s="15"/>
      <c r="RNA68" s="15"/>
      <c r="RNB68" s="15"/>
      <c r="RNC68" s="15"/>
      <c r="RND68" s="15"/>
      <c r="RNE68" s="15"/>
      <c r="RNF68" s="15"/>
      <c r="RNG68" s="15"/>
      <c r="RNH68" s="15"/>
      <c r="RNI68" s="15"/>
      <c r="RNJ68" s="15"/>
      <c r="RNK68" s="15"/>
      <c r="RNL68" s="15"/>
      <c r="RNM68" s="15"/>
      <c r="RNN68" s="15"/>
      <c r="RNO68" s="15"/>
      <c r="RNP68" s="15"/>
      <c r="RNQ68" s="15"/>
      <c r="RNR68" s="15"/>
      <c r="RNS68" s="15"/>
      <c r="RNT68" s="15"/>
      <c r="RNU68" s="15"/>
      <c r="RNV68" s="15"/>
      <c r="RNW68" s="15"/>
      <c r="RNX68" s="15"/>
      <c r="RNY68" s="15"/>
      <c r="RNZ68" s="15"/>
      <c r="ROA68" s="15"/>
      <c r="ROB68" s="15"/>
      <c r="ROC68" s="15"/>
      <c r="ROD68" s="15"/>
      <c r="ROE68" s="15"/>
      <c r="ROF68" s="15"/>
      <c r="ROG68" s="15"/>
      <c r="ROH68" s="15"/>
      <c r="ROI68" s="15"/>
      <c r="ROJ68" s="15"/>
      <c r="ROK68" s="15"/>
      <c r="ROL68" s="15"/>
      <c r="ROM68" s="15"/>
      <c r="RON68" s="15"/>
      <c r="ROO68" s="15"/>
      <c r="ROP68" s="15"/>
      <c r="ROQ68" s="15"/>
      <c r="ROR68" s="15"/>
      <c r="ROS68" s="15"/>
      <c r="ROT68" s="15"/>
      <c r="ROU68" s="15"/>
      <c r="ROV68" s="15"/>
      <c r="ROW68" s="15"/>
      <c r="ROX68" s="15"/>
      <c r="ROY68" s="15"/>
      <c r="ROZ68" s="15"/>
      <c r="RPA68" s="15"/>
      <c r="RPB68" s="15"/>
      <c r="RPC68" s="15"/>
      <c r="RPD68" s="15"/>
      <c r="RPE68" s="15"/>
      <c r="RPF68" s="15"/>
      <c r="RPG68" s="15"/>
      <c r="RPH68" s="15"/>
      <c r="RPI68" s="15"/>
      <c r="RPJ68" s="15"/>
      <c r="RPK68" s="15"/>
      <c r="RPL68" s="15"/>
      <c r="RPM68" s="15"/>
      <c r="RPN68" s="15"/>
      <c r="RPO68" s="15"/>
      <c r="RPP68" s="15"/>
      <c r="RPQ68" s="15"/>
      <c r="RPR68" s="15"/>
      <c r="RPS68" s="15"/>
      <c r="RPT68" s="15"/>
      <c r="RPU68" s="15"/>
      <c r="RPV68" s="15"/>
      <c r="RPW68" s="15"/>
      <c r="RPX68" s="15"/>
      <c r="RPY68" s="15"/>
      <c r="RPZ68" s="15"/>
      <c r="RQA68" s="15"/>
      <c r="RQB68" s="15"/>
      <c r="RQC68" s="15"/>
      <c r="RQD68" s="15"/>
      <c r="RQE68" s="15"/>
      <c r="RQF68" s="15"/>
      <c r="RQG68" s="15"/>
      <c r="RQH68" s="15"/>
      <c r="RQI68" s="15"/>
      <c r="RQJ68" s="15"/>
      <c r="RQK68" s="15"/>
      <c r="RQL68" s="15"/>
      <c r="RQM68" s="15"/>
      <c r="RQN68" s="15"/>
      <c r="RQO68" s="15"/>
      <c r="RQP68" s="15"/>
      <c r="RQQ68" s="15"/>
      <c r="RQR68" s="15"/>
      <c r="RQS68" s="15"/>
      <c r="RQT68" s="15"/>
      <c r="RQU68" s="15"/>
      <c r="RQV68" s="15"/>
      <c r="RQW68" s="15"/>
      <c r="RQX68" s="15"/>
      <c r="RQY68" s="15"/>
      <c r="RQZ68" s="15"/>
      <c r="RRA68" s="15"/>
      <c r="RRB68" s="15"/>
      <c r="RRC68" s="15"/>
      <c r="RRD68" s="15"/>
      <c r="RRE68" s="15"/>
      <c r="RRF68" s="15"/>
      <c r="RRG68" s="15"/>
      <c r="RRH68" s="15"/>
      <c r="RRI68" s="15"/>
      <c r="RRJ68" s="15"/>
      <c r="RRK68" s="15"/>
      <c r="RRL68" s="15"/>
      <c r="RRM68" s="15"/>
      <c r="RRN68" s="15"/>
      <c r="RRO68" s="15"/>
      <c r="RRP68" s="15"/>
      <c r="RRQ68" s="15"/>
      <c r="RRR68" s="15"/>
      <c r="RRS68" s="15"/>
      <c r="RRT68" s="15"/>
      <c r="RRU68" s="15"/>
      <c r="RRV68" s="15"/>
      <c r="RRW68" s="15"/>
      <c r="RRX68" s="15"/>
      <c r="RRY68" s="15"/>
      <c r="RRZ68" s="15"/>
      <c r="RSA68" s="15"/>
      <c r="RSB68" s="15"/>
      <c r="RSC68" s="15"/>
      <c r="RSD68" s="15"/>
      <c r="RSE68" s="15"/>
      <c r="RSF68" s="15"/>
      <c r="RSG68" s="15"/>
      <c r="RSH68" s="15"/>
      <c r="RSI68" s="15"/>
      <c r="RSJ68" s="15"/>
      <c r="RSK68" s="15"/>
      <c r="RSL68" s="15"/>
      <c r="RSM68" s="15"/>
      <c r="RSN68" s="15"/>
      <c r="RSO68" s="15"/>
      <c r="RSP68" s="15"/>
      <c r="RSQ68" s="15"/>
      <c r="RSR68" s="15"/>
      <c r="RSS68" s="15"/>
      <c r="RST68" s="15"/>
      <c r="RSU68" s="15"/>
      <c r="RSV68" s="15"/>
      <c r="RSW68" s="15"/>
      <c r="RSX68" s="15"/>
      <c r="RSY68" s="15"/>
      <c r="RSZ68" s="15"/>
      <c r="RTA68" s="15"/>
      <c r="RTB68" s="15"/>
      <c r="RTC68" s="15"/>
      <c r="RTD68" s="15"/>
      <c r="RTE68" s="15"/>
      <c r="RTF68" s="15"/>
      <c r="RTG68" s="15"/>
      <c r="RTH68" s="15"/>
      <c r="RTI68" s="15"/>
      <c r="RTJ68" s="15"/>
      <c r="RTK68" s="15"/>
      <c r="RTL68" s="15"/>
      <c r="RTM68" s="15"/>
      <c r="RTN68" s="15"/>
      <c r="RTO68" s="15"/>
      <c r="RTP68" s="15"/>
      <c r="RTQ68" s="15"/>
      <c r="RTR68" s="15"/>
      <c r="RTS68" s="15"/>
      <c r="RTT68" s="15"/>
      <c r="RTU68" s="15"/>
      <c r="RTV68" s="15"/>
      <c r="RTW68" s="15"/>
      <c r="RTX68" s="15"/>
      <c r="RTY68" s="15"/>
      <c r="RTZ68" s="15"/>
      <c r="RUA68" s="15"/>
      <c r="RUB68" s="15"/>
      <c r="RUC68" s="15"/>
      <c r="RUD68" s="15"/>
      <c r="RUE68" s="15"/>
      <c r="RUF68" s="15"/>
      <c r="RUG68" s="15"/>
      <c r="RUH68" s="15"/>
      <c r="RUI68" s="15"/>
      <c r="RUJ68" s="15"/>
      <c r="RUK68" s="15"/>
      <c r="RUL68" s="15"/>
      <c r="RUM68" s="15"/>
      <c r="RUN68" s="15"/>
      <c r="RUO68" s="15"/>
      <c r="RUP68" s="15"/>
      <c r="RUQ68" s="15"/>
      <c r="RUR68" s="15"/>
      <c r="RUS68" s="15"/>
      <c r="RUT68" s="15"/>
      <c r="RUU68" s="15"/>
      <c r="RUV68" s="15"/>
      <c r="RUW68" s="15"/>
      <c r="RUX68" s="15"/>
      <c r="RUY68" s="15"/>
      <c r="RUZ68" s="15"/>
      <c r="RVA68" s="15"/>
      <c r="RVB68" s="15"/>
      <c r="RVC68" s="15"/>
      <c r="RVD68" s="15"/>
      <c r="RVE68" s="15"/>
      <c r="RVF68" s="15"/>
      <c r="RVG68" s="15"/>
      <c r="RVH68" s="15"/>
      <c r="RVI68" s="15"/>
      <c r="RVJ68" s="15"/>
      <c r="RVK68" s="15"/>
      <c r="RVL68" s="15"/>
      <c r="RVM68" s="15"/>
      <c r="RVN68" s="15"/>
      <c r="RVO68" s="15"/>
      <c r="RVP68" s="15"/>
      <c r="RVQ68" s="15"/>
      <c r="RVR68" s="15"/>
      <c r="RVS68" s="15"/>
      <c r="RVT68" s="15"/>
      <c r="RVU68" s="15"/>
      <c r="RVV68" s="15"/>
      <c r="RVW68" s="15"/>
      <c r="RVX68" s="15"/>
      <c r="RVY68" s="15"/>
      <c r="RVZ68" s="15"/>
      <c r="RWA68" s="15"/>
      <c r="RWB68" s="15"/>
      <c r="RWC68" s="15"/>
      <c r="RWD68" s="15"/>
      <c r="RWE68" s="15"/>
      <c r="RWF68" s="15"/>
      <c r="RWG68" s="15"/>
      <c r="RWH68" s="15"/>
      <c r="RWI68" s="15"/>
      <c r="RWJ68" s="15"/>
      <c r="RWK68" s="15"/>
      <c r="RWL68" s="15"/>
      <c r="RWM68" s="15"/>
      <c r="RWN68" s="15"/>
      <c r="RWO68" s="15"/>
      <c r="RWP68" s="15"/>
      <c r="RWQ68" s="15"/>
      <c r="RWR68" s="15"/>
      <c r="RWS68" s="15"/>
      <c r="RWT68" s="15"/>
      <c r="RWU68" s="15"/>
      <c r="RWV68" s="15"/>
      <c r="RWW68" s="15"/>
      <c r="RWX68" s="15"/>
      <c r="RWY68" s="15"/>
      <c r="RWZ68" s="15"/>
      <c r="RXA68" s="15"/>
      <c r="RXB68" s="15"/>
      <c r="RXC68" s="15"/>
      <c r="RXD68" s="15"/>
      <c r="RXE68" s="15"/>
      <c r="RXF68" s="15"/>
      <c r="RXG68" s="15"/>
      <c r="RXH68" s="15"/>
      <c r="RXI68" s="15"/>
      <c r="RXJ68" s="15"/>
      <c r="RXK68" s="15"/>
      <c r="RXL68" s="15"/>
      <c r="RXM68" s="15"/>
      <c r="RXN68" s="15"/>
      <c r="RXO68" s="15"/>
      <c r="RXP68" s="15"/>
      <c r="RXQ68" s="15"/>
      <c r="RXR68" s="15"/>
      <c r="RXS68" s="15"/>
      <c r="RXT68" s="15"/>
      <c r="RXU68" s="15"/>
      <c r="RXV68" s="15"/>
      <c r="RXW68" s="15"/>
      <c r="RXX68" s="15"/>
      <c r="RXY68" s="15"/>
      <c r="RXZ68" s="15"/>
      <c r="RYA68" s="15"/>
      <c r="RYB68" s="15"/>
      <c r="RYC68" s="15"/>
      <c r="RYD68" s="15"/>
      <c r="RYE68" s="15"/>
      <c r="RYF68" s="15"/>
      <c r="RYG68" s="15"/>
      <c r="RYH68" s="15"/>
      <c r="RYI68" s="15"/>
      <c r="RYJ68" s="15"/>
      <c r="RYK68" s="15"/>
      <c r="RYL68" s="15"/>
      <c r="RYM68" s="15"/>
      <c r="RYN68" s="15"/>
      <c r="RYO68" s="15"/>
      <c r="RYP68" s="15"/>
      <c r="RYQ68" s="15"/>
      <c r="RYR68" s="15"/>
      <c r="RYS68" s="15"/>
      <c r="RYT68" s="15"/>
      <c r="RYU68" s="15"/>
      <c r="RYV68" s="15"/>
      <c r="RYW68" s="15"/>
      <c r="RYX68" s="15"/>
      <c r="RYY68" s="15"/>
      <c r="RYZ68" s="15"/>
      <c r="RZA68" s="15"/>
      <c r="RZB68" s="15"/>
      <c r="RZC68" s="15"/>
      <c r="RZD68" s="15"/>
      <c r="RZE68" s="15"/>
      <c r="RZF68" s="15"/>
      <c r="RZG68" s="15"/>
      <c r="RZH68" s="15"/>
      <c r="RZI68" s="15"/>
      <c r="RZJ68" s="15"/>
      <c r="RZK68" s="15"/>
      <c r="RZL68" s="15"/>
      <c r="RZM68" s="15"/>
      <c r="RZN68" s="15"/>
      <c r="RZO68" s="15"/>
      <c r="RZP68" s="15"/>
      <c r="RZQ68" s="15"/>
      <c r="RZR68" s="15"/>
      <c r="RZS68" s="15"/>
      <c r="RZT68" s="15"/>
      <c r="RZU68" s="15"/>
      <c r="RZV68" s="15"/>
      <c r="RZW68" s="15"/>
      <c r="RZX68" s="15"/>
      <c r="RZY68" s="15"/>
      <c r="RZZ68" s="15"/>
      <c r="SAA68" s="15"/>
      <c r="SAB68" s="15"/>
      <c r="SAC68" s="15"/>
      <c r="SAD68" s="15"/>
      <c r="SAE68" s="15"/>
      <c r="SAF68" s="15"/>
      <c r="SAG68" s="15"/>
      <c r="SAH68" s="15"/>
      <c r="SAI68" s="15"/>
      <c r="SAJ68" s="15"/>
      <c r="SAK68" s="15"/>
      <c r="SAL68" s="15"/>
      <c r="SAM68" s="15"/>
      <c r="SAN68" s="15"/>
      <c r="SAO68" s="15"/>
      <c r="SAP68" s="15"/>
      <c r="SAQ68" s="15"/>
      <c r="SAR68" s="15"/>
      <c r="SAS68" s="15"/>
      <c r="SAT68" s="15"/>
      <c r="SAU68" s="15"/>
      <c r="SAV68" s="15"/>
      <c r="SAW68" s="15"/>
      <c r="SAX68" s="15"/>
      <c r="SAY68" s="15"/>
      <c r="SAZ68" s="15"/>
      <c r="SBA68" s="15"/>
      <c r="SBB68" s="15"/>
      <c r="SBC68" s="15"/>
      <c r="SBD68" s="15"/>
      <c r="SBE68" s="15"/>
      <c r="SBF68" s="15"/>
      <c r="SBG68" s="15"/>
      <c r="SBH68" s="15"/>
      <c r="SBI68" s="15"/>
      <c r="SBJ68" s="15"/>
      <c r="SBK68" s="15"/>
      <c r="SBL68" s="15"/>
      <c r="SBM68" s="15"/>
      <c r="SBN68" s="15"/>
      <c r="SBO68" s="15"/>
      <c r="SBP68" s="15"/>
      <c r="SBQ68" s="15"/>
      <c r="SBR68" s="15"/>
      <c r="SBS68" s="15"/>
      <c r="SBT68" s="15"/>
      <c r="SBU68" s="15"/>
      <c r="SBV68" s="15"/>
      <c r="SBW68" s="15"/>
      <c r="SBX68" s="15"/>
      <c r="SBY68" s="15"/>
      <c r="SBZ68" s="15"/>
      <c r="SCA68" s="15"/>
      <c r="SCB68" s="15"/>
      <c r="SCC68" s="15"/>
      <c r="SCD68" s="15"/>
      <c r="SCE68" s="15"/>
      <c r="SCF68" s="15"/>
      <c r="SCG68" s="15"/>
      <c r="SCH68" s="15"/>
      <c r="SCI68" s="15"/>
      <c r="SCJ68" s="15"/>
      <c r="SCK68" s="15"/>
      <c r="SCL68" s="15"/>
      <c r="SCM68" s="15"/>
      <c r="SCN68" s="15"/>
      <c r="SCO68" s="15"/>
      <c r="SCP68" s="15"/>
      <c r="SCQ68" s="15"/>
      <c r="SCR68" s="15"/>
      <c r="SCS68" s="15"/>
      <c r="SCT68" s="15"/>
      <c r="SCU68" s="15"/>
      <c r="SCV68" s="15"/>
      <c r="SCW68" s="15"/>
      <c r="SCX68" s="15"/>
      <c r="SCY68" s="15"/>
      <c r="SCZ68" s="15"/>
      <c r="SDA68" s="15"/>
      <c r="SDB68" s="15"/>
      <c r="SDC68" s="15"/>
      <c r="SDD68" s="15"/>
      <c r="SDE68" s="15"/>
      <c r="SDF68" s="15"/>
      <c r="SDG68" s="15"/>
      <c r="SDH68" s="15"/>
      <c r="SDI68" s="15"/>
      <c r="SDJ68" s="15"/>
      <c r="SDK68" s="15"/>
      <c r="SDL68" s="15"/>
      <c r="SDM68" s="15"/>
      <c r="SDN68" s="15"/>
      <c r="SDO68" s="15"/>
      <c r="SDP68" s="15"/>
      <c r="SDQ68" s="15"/>
      <c r="SDR68" s="15"/>
      <c r="SDS68" s="15"/>
      <c r="SDT68" s="15"/>
      <c r="SDU68" s="15"/>
      <c r="SDV68" s="15"/>
      <c r="SDW68" s="15"/>
      <c r="SDX68" s="15"/>
      <c r="SDY68" s="15"/>
      <c r="SDZ68" s="15"/>
      <c r="SEA68" s="15"/>
      <c r="SEB68" s="15"/>
      <c r="SEC68" s="15"/>
      <c r="SED68" s="15"/>
      <c r="SEE68" s="15"/>
      <c r="SEF68" s="15"/>
      <c r="SEG68" s="15"/>
      <c r="SEH68" s="15"/>
      <c r="SEI68" s="15"/>
      <c r="SEJ68" s="15"/>
      <c r="SEK68" s="15"/>
      <c r="SEL68" s="15"/>
      <c r="SEM68" s="15"/>
      <c r="SEN68" s="15"/>
      <c r="SEO68" s="15"/>
      <c r="SEP68" s="15"/>
      <c r="SEQ68" s="15"/>
      <c r="SER68" s="15"/>
      <c r="SES68" s="15"/>
      <c r="SET68" s="15"/>
      <c r="SEU68" s="15"/>
      <c r="SEV68" s="15"/>
      <c r="SEW68" s="15"/>
      <c r="SEX68" s="15"/>
      <c r="SEY68" s="15"/>
      <c r="SEZ68" s="15"/>
      <c r="SFA68" s="15"/>
      <c r="SFB68" s="15"/>
      <c r="SFC68" s="15"/>
      <c r="SFD68" s="15"/>
      <c r="SFE68" s="15"/>
      <c r="SFF68" s="15"/>
      <c r="SFG68" s="15"/>
      <c r="SFH68" s="15"/>
      <c r="SFI68" s="15"/>
      <c r="SFJ68" s="15"/>
      <c r="SFK68" s="15"/>
      <c r="SFL68" s="15"/>
      <c r="SFM68" s="15"/>
      <c r="SFN68" s="15"/>
      <c r="SFO68" s="15"/>
      <c r="SFP68" s="15"/>
      <c r="SFQ68" s="15"/>
      <c r="SFR68" s="15"/>
      <c r="SFS68" s="15"/>
      <c r="SFT68" s="15"/>
      <c r="SFU68" s="15"/>
      <c r="SFV68" s="15"/>
      <c r="SFW68" s="15"/>
      <c r="SFX68" s="15"/>
      <c r="SFY68" s="15"/>
      <c r="SFZ68" s="15"/>
      <c r="SGA68" s="15"/>
      <c r="SGB68" s="15"/>
      <c r="SGC68" s="15"/>
      <c r="SGD68" s="15"/>
      <c r="SGE68" s="15"/>
      <c r="SGF68" s="15"/>
      <c r="SGG68" s="15"/>
      <c r="SGH68" s="15"/>
      <c r="SGI68" s="15"/>
      <c r="SGJ68" s="15"/>
      <c r="SGK68" s="15"/>
      <c r="SGL68" s="15"/>
      <c r="SGM68" s="15"/>
      <c r="SGN68" s="15"/>
      <c r="SGO68" s="15"/>
      <c r="SGP68" s="15"/>
      <c r="SGQ68" s="15"/>
      <c r="SGR68" s="15"/>
      <c r="SGS68" s="15"/>
      <c r="SGT68" s="15"/>
      <c r="SGU68" s="15"/>
      <c r="SGV68" s="15"/>
      <c r="SGW68" s="15"/>
      <c r="SGX68" s="15"/>
      <c r="SGY68" s="15"/>
      <c r="SGZ68" s="15"/>
      <c r="SHA68" s="15"/>
      <c r="SHB68" s="15"/>
      <c r="SHC68" s="15"/>
      <c r="SHD68" s="15"/>
      <c r="SHE68" s="15"/>
      <c r="SHF68" s="15"/>
      <c r="SHG68" s="15"/>
      <c r="SHH68" s="15"/>
      <c r="SHI68" s="15"/>
      <c r="SHJ68" s="15"/>
      <c r="SHK68" s="15"/>
      <c r="SHL68" s="15"/>
      <c r="SHM68" s="15"/>
      <c r="SHN68" s="15"/>
      <c r="SHO68" s="15"/>
      <c r="SHP68" s="15"/>
      <c r="SHQ68" s="15"/>
      <c r="SHR68" s="15"/>
      <c r="SHS68" s="15"/>
      <c r="SHT68" s="15"/>
      <c r="SHU68" s="15"/>
      <c r="SHV68" s="15"/>
      <c r="SHW68" s="15"/>
      <c r="SHX68" s="15"/>
      <c r="SHY68" s="15"/>
      <c r="SHZ68" s="15"/>
      <c r="SIA68" s="15"/>
      <c r="SIB68" s="15"/>
      <c r="SIC68" s="15"/>
      <c r="SID68" s="15"/>
      <c r="SIE68" s="15"/>
      <c r="SIF68" s="15"/>
      <c r="SIG68" s="15"/>
      <c r="SIH68" s="15"/>
      <c r="SII68" s="15"/>
      <c r="SIJ68" s="15"/>
      <c r="SIK68" s="15"/>
      <c r="SIL68" s="15"/>
      <c r="SIM68" s="15"/>
      <c r="SIN68" s="15"/>
      <c r="SIO68" s="15"/>
      <c r="SIP68" s="15"/>
      <c r="SIQ68" s="15"/>
      <c r="SIR68" s="15"/>
      <c r="SIS68" s="15"/>
      <c r="SIT68" s="15"/>
      <c r="SIU68" s="15"/>
      <c r="SIV68" s="15"/>
      <c r="SIW68" s="15"/>
      <c r="SIX68" s="15"/>
      <c r="SIY68" s="15"/>
      <c r="SIZ68" s="15"/>
      <c r="SJA68" s="15"/>
      <c r="SJB68" s="15"/>
      <c r="SJC68" s="15"/>
      <c r="SJD68" s="15"/>
      <c r="SJE68" s="15"/>
      <c r="SJF68" s="15"/>
      <c r="SJG68" s="15"/>
      <c r="SJH68" s="15"/>
      <c r="SJI68" s="15"/>
      <c r="SJJ68" s="15"/>
      <c r="SJK68" s="15"/>
      <c r="SJL68" s="15"/>
      <c r="SJM68" s="15"/>
      <c r="SJN68" s="15"/>
      <c r="SJO68" s="15"/>
      <c r="SJP68" s="15"/>
      <c r="SJQ68" s="15"/>
      <c r="SJR68" s="15"/>
      <c r="SJS68" s="15"/>
      <c r="SJT68" s="15"/>
      <c r="SJU68" s="15"/>
      <c r="SJV68" s="15"/>
      <c r="SJW68" s="15"/>
      <c r="SJX68" s="15"/>
      <c r="SJY68" s="15"/>
      <c r="SJZ68" s="15"/>
      <c r="SKA68" s="15"/>
      <c r="SKB68" s="15"/>
      <c r="SKC68" s="15"/>
      <c r="SKD68" s="15"/>
      <c r="SKE68" s="15"/>
      <c r="SKF68" s="15"/>
      <c r="SKG68" s="15"/>
      <c r="SKH68" s="15"/>
      <c r="SKI68" s="15"/>
      <c r="SKJ68" s="15"/>
      <c r="SKK68" s="15"/>
      <c r="SKL68" s="15"/>
      <c r="SKM68" s="15"/>
      <c r="SKN68" s="15"/>
      <c r="SKO68" s="15"/>
      <c r="SKP68" s="15"/>
      <c r="SKQ68" s="15"/>
      <c r="SKR68" s="15"/>
      <c r="SKS68" s="15"/>
      <c r="SKT68" s="15"/>
      <c r="SKU68" s="15"/>
      <c r="SKV68" s="15"/>
      <c r="SKW68" s="15"/>
      <c r="SKX68" s="15"/>
      <c r="SKY68" s="15"/>
      <c r="SKZ68" s="15"/>
      <c r="SLA68" s="15"/>
      <c r="SLB68" s="15"/>
      <c r="SLC68" s="15"/>
      <c r="SLD68" s="15"/>
      <c r="SLE68" s="15"/>
      <c r="SLF68" s="15"/>
      <c r="SLG68" s="15"/>
      <c r="SLH68" s="15"/>
      <c r="SLI68" s="15"/>
      <c r="SLJ68" s="15"/>
      <c r="SLK68" s="15"/>
      <c r="SLL68" s="15"/>
      <c r="SLM68" s="15"/>
      <c r="SLN68" s="15"/>
      <c r="SLO68" s="15"/>
      <c r="SLP68" s="15"/>
      <c r="SLQ68" s="15"/>
      <c r="SLR68" s="15"/>
      <c r="SLS68" s="15"/>
      <c r="SLT68" s="15"/>
      <c r="SLU68" s="15"/>
      <c r="SLV68" s="15"/>
      <c r="SLW68" s="15"/>
      <c r="SLX68" s="15"/>
      <c r="SLY68" s="15"/>
      <c r="SLZ68" s="15"/>
      <c r="SMA68" s="15"/>
      <c r="SMB68" s="15"/>
      <c r="SMC68" s="15"/>
      <c r="SMD68" s="15"/>
      <c r="SME68" s="15"/>
      <c r="SMF68" s="15"/>
      <c r="SMG68" s="15"/>
      <c r="SMH68" s="15"/>
      <c r="SMI68" s="15"/>
      <c r="SMJ68" s="15"/>
      <c r="SMK68" s="15"/>
      <c r="SML68" s="15"/>
      <c r="SMM68" s="15"/>
      <c r="SMN68" s="15"/>
      <c r="SMO68" s="15"/>
      <c r="SMP68" s="15"/>
      <c r="SMQ68" s="15"/>
      <c r="SMR68" s="15"/>
      <c r="SMS68" s="15"/>
      <c r="SMT68" s="15"/>
      <c r="SMU68" s="15"/>
      <c r="SMV68" s="15"/>
      <c r="SMW68" s="15"/>
      <c r="SMX68" s="15"/>
      <c r="SMY68" s="15"/>
      <c r="SMZ68" s="15"/>
      <c r="SNA68" s="15"/>
      <c r="SNB68" s="15"/>
      <c r="SNC68" s="15"/>
      <c r="SND68" s="15"/>
      <c r="SNE68" s="15"/>
      <c r="SNF68" s="15"/>
      <c r="SNG68" s="15"/>
      <c r="SNH68" s="15"/>
      <c r="SNI68" s="15"/>
      <c r="SNJ68" s="15"/>
      <c r="SNK68" s="15"/>
      <c r="SNL68" s="15"/>
      <c r="SNM68" s="15"/>
      <c r="SNN68" s="15"/>
      <c r="SNO68" s="15"/>
      <c r="SNP68" s="15"/>
      <c r="SNQ68" s="15"/>
      <c r="SNR68" s="15"/>
      <c r="SNS68" s="15"/>
      <c r="SNT68" s="15"/>
      <c r="SNU68" s="15"/>
      <c r="SNV68" s="15"/>
      <c r="SNW68" s="15"/>
      <c r="SNX68" s="15"/>
      <c r="SNY68" s="15"/>
      <c r="SNZ68" s="15"/>
      <c r="SOA68" s="15"/>
      <c r="SOB68" s="15"/>
      <c r="SOC68" s="15"/>
      <c r="SOD68" s="15"/>
      <c r="SOE68" s="15"/>
      <c r="SOF68" s="15"/>
      <c r="SOG68" s="15"/>
      <c r="SOH68" s="15"/>
      <c r="SOI68" s="15"/>
      <c r="SOJ68" s="15"/>
      <c r="SOK68" s="15"/>
      <c r="SOL68" s="15"/>
      <c r="SOM68" s="15"/>
      <c r="SON68" s="15"/>
      <c r="SOO68" s="15"/>
      <c r="SOP68" s="15"/>
      <c r="SOQ68" s="15"/>
      <c r="SOR68" s="15"/>
      <c r="SOS68" s="15"/>
      <c r="SOT68" s="15"/>
      <c r="SOU68" s="15"/>
      <c r="SOV68" s="15"/>
      <c r="SOW68" s="15"/>
      <c r="SOX68" s="15"/>
      <c r="SOY68" s="15"/>
      <c r="SOZ68" s="15"/>
      <c r="SPA68" s="15"/>
      <c r="SPB68" s="15"/>
      <c r="SPC68" s="15"/>
      <c r="SPD68" s="15"/>
      <c r="SPE68" s="15"/>
      <c r="SPF68" s="15"/>
      <c r="SPG68" s="15"/>
      <c r="SPH68" s="15"/>
      <c r="SPI68" s="15"/>
      <c r="SPJ68" s="15"/>
      <c r="SPK68" s="15"/>
      <c r="SPL68" s="15"/>
      <c r="SPM68" s="15"/>
      <c r="SPN68" s="15"/>
      <c r="SPO68" s="15"/>
      <c r="SPP68" s="15"/>
      <c r="SPQ68" s="15"/>
      <c r="SPR68" s="15"/>
      <c r="SPS68" s="15"/>
      <c r="SPT68" s="15"/>
      <c r="SPU68" s="15"/>
      <c r="SPV68" s="15"/>
      <c r="SPW68" s="15"/>
      <c r="SPX68" s="15"/>
      <c r="SPY68" s="15"/>
      <c r="SPZ68" s="15"/>
      <c r="SQA68" s="15"/>
      <c r="SQB68" s="15"/>
      <c r="SQC68" s="15"/>
      <c r="SQD68" s="15"/>
      <c r="SQE68" s="15"/>
      <c r="SQF68" s="15"/>
      <c r="SQG68" s="15"/>
      <c r="SQH68" s="15"/>
      <c r="SQI68" s="15"/>
      <c r="SQJ68" s="15"/>
      <c r="SQK68" s="15"/>
      <c r="SQL68" s="15"/>
      <c r="SQM68" s="15"/>
      <c r="SQN68" s="15"/>
      <c r="SQO68" s="15"/>
      <c r="SQP68" s="15"/>
      <c r="SQQ68" s="15"/>
      <c r="SQR68" s="15"/>
      <c r="SQS68" s="15"/>
      <c r="SQT68" s="15"/>
      <c r="SQU68" s="15"/>
      <c r="SQV68" s="15"/>
      <c r="SQW68" s="15"/>
      <c r="SQX68" s="15"/>
      <c r="SQY68" s="15"/>
      <c r="SQZ68" s="15"/>
      <c r="SRA68" s="15"/>
      <c r="SRB68" s="15"/>
      <c r="SRC68" s="15"/>
      <c r="SRD68" s="15"/>
      <c r="SRE68" s="15"/>
      <c r="SRF68" s="15"/>
      <c r="SRG68" s="15"/>
      <c r="SRH68" s="15"/>
      <c r="SRI68" s="15"/>
      <c r="SRJ68" s="15"/>
      <c r="SRK68" s="15"/>
      <c r="SRL68" s="15"/>
      <c r="SRM68" s="15"/>
      <c r="SRN68" s="15"/>
      <c r="SRO68" s="15"/>
      <c r="SRP68" s="15"/>
      <c r="SRQ68" s="15"/>
      <c r="SRR68" s="15"/>
      <c r="SRS68" s="15"/>
      <c r="SRT68" s="15"/>
      <c r="SRU68" s="15"/>
      <c r="SRV68" s="15"/>
      <c r="SRW68" s="15"/>
      <c r="SRX68" s="15"/>
      <c r="SRY68" s="15"/>
      <c r="SRZ68" s="15"/>
      <c r="SSA68" s="15"/>
      <c r="SSB68" s="15"/>
      <c r="SSC68" s="15"/>
      <c r="SSD68" s="15"/>
      <c r="SSE68" s="15"/>
      <c r="SSF68" s="15"/>
      <c r="SSG68" s="15"/>
      <c r="SSH68" s="15"/>
      <c r="SSI68" s="15"/>
      <c r="SSJ68" s="15"/>
      <c r="SSK68" s="15"/>
      <c r="SSL68" s="15"/>
      <c r="SSM68" s="15"/>
      <c r="SSN68" s="15"/>
      <c r="SSO68" s="15"/>
      <c r="SSP68" s="15"/>
      <c r="SSQ68" s="15"/>
      <c r="SSR68" s="15"/>
      <c r="SSS68" s="15"/>
      <c r="SST68" s="15"/>
      <c r="SSU68" s="15"/>
      <c r="SSV68" s="15"/>
      <c r="SSW68" s="15"/>
      <c r="SSX68" s="15"/>
      <c r="SSY68" s="15"/>
      <c r="SSZ68" s="15"/>
      <c r="STA68" s="15"/>
      <c r="STB68" s="15"/>
      <c r="STC68" s="15"/>
      <c r="STD68" s="15"/>
      <c r="STE68" s="15"/>
      <c r="STF68" s="15"/>
      <c r="STG68" s="15"/>
      <c r="STH68" s="15"/>
      <c r="STI68" s="15"/>
      <c r="STJ68" s="15"/>
      <c r="STK68" s="15"/>
      <c r="STL68" s="15"/>
      <c r="STM68" s="15"/>
      <c r="STN68" s="15"/>
      <c r="STO68" s="15"/>
      <c r="STP68" s="15"/>
      <c r="STQ68" s="15"/>
      <c r="STR68" s="15"/>
      <c r="STS68" s="15"/>
      <c r="STT68" s="15"/>
      <c r="STU68" s="15"/>
      <c r="STV68" s="15"/>
      <c r="STW68" s="15"/>
      <c r="STX68" s="15"/>
      <c r="STY68" s="15"/>
      <c r="STZ68" s="15"/>
      <c r="SUA68" s="15"/>
      <c r="SUB68" s="15"/>
      <c r="SUC68" s="15"/>
      <c r="SUD68" s="15"/>
      <c r="SUE68" s="15"/>
      <c r="SUF68" s="15"/>
      <c r="SUG68" s="15"/>
      <c r="SUH68" s="15"/>
      <c r="SUI68" s="15"/>
      <c r="SUJ68" s="15"/>
      <c r="SUK68" s="15"/>
      <c r="SUL68" s="15"/>
      <c r="SUM68" s="15"/>
      <c r="SUN68" s="15"/>
      <c r="SUO68" s="15"/>
      <c r="SUP68" s="15"/>
      <c r="SUQ68" s="15"/>
      <c r="SUR68" s="15"/>
      <c r="SUS68" s="15"/>
      <c r="SUT68" s="15"/>
      <c r="SUU68" s="15"/>
      <c r="SUV68" s="15"/>
      <c r="SUW68" s="15"/>
      <c r="SUX68" s="15"/>
      <c r="SUY68" s="15"/>
      <c r="SUZ68" s="15"/>
      <c r="SVA68" s="15"/>
      <c r="SVB68" s="15"/>
      <c r="SVC68" s="15"/>
      <c r="SVD68" s="15"/>
      <c r="SVE68" s="15"/>
      <c r="SVF68" s="15"/>
      <c r="SVG68" s="15"/>
      <c r="SVH68" s="15"/>
      <c r="SVI68" s="15"/>
      <c r="SVJ68" s="15"/>
      <c r="SVK68" s="15"/>
      <c r="SVL68" s="15"/>
      <c r="SVM68" s="15"/>
      <c r="SVN68" s="15"/>
      <c r="SVO68" s="15"/>
      <c r="SVP68" s="15"/>
      <c r="SVQ68" s="15"/>
      <c r="SVR68" s="15"/>
      <c r="SVS68" s="15"/>
      <c r="SVT68" s="15"/>
      <c r="SVU68" s="15"/>
      <c r="SVV68" s="15"/>
      <c r="SVW68" s="15"/>
      <c r="SVX68" s="15"/>
      <c r="SVY68" s="15"/>
      <c r="SVZ68" s="15"/>
      <c r="SWA68" s="15"/>
      <c r="SWB68" s="15"/>
      <c r="SWC68" s="15"/>
      <c r="SWD68" s="15"/>
      <c r="SWE68" s="15"/>
      <c r="SWF68" s="15"/>
      <c r="SWG68" s="15"/>
      <c r="SWH68" s="15"/>
      <c r="SWI68" s="15"/>
      <c r="SWJ68" s="15"/>
      <c r="SWK68" s="15"/>
      <c r="SWL68" s="15"/>
      <c r="SWM68" s="15"/>
      <c r="SWN68" s="15"/>
      <c r="SWO68" s="15"/>
      <c r="SWP68" s="15"/>
      <c r="SWQ68" s="15"/>
      <c r="SWR68" s="15"/>
      <c r="SWS68" s="15"/>
      <c r="SWT68" s="15"/>
      <c r="SWU68" s="15"/>
      <c r="SWV68" s="15"/>
      <c r="SWW68" s="15"/>
      <c r="SWX68" s="15"/>
      <c r="SWY68" s="15"/>
      <c r="SWZ68" s="15"/>
      <c r="SXA68" s="15"/>
      <c r="SXB68" s="15"/>
      <c r="SXC68" s="15"/>
      <c r="SXD68" s="15"/>
      <c r="SXE68" s="15"/>
      <c r="SXF68" s="15"/>
      <c r="SXG68" s="15"/>
      <c r="SXH68" s="15"/>
      <c r="SXI68" s="15"/>
      <c r="SXJ68" s="15"/>
      <c r="SXK68" s="15"/>
      <c r="SXL68" s="15"/>
      <c r="SXM68" s="15"/>
      <c r="SXN68" s="15"/>
      <c r="SXO68" s="15"/>
      <c r="SXP68" s="15"/>
      <c r="SXQ68" s="15"/>
      <c r="SXR68" s="15"/>
      <c r="SXS68" s="15"/>
      <c r="SXT68" s="15"/>
      <c r="SXU68" s="15"/>
      <c r="SXV68" s="15"/>
      <c r="SXW68" s="15"/>
      <c r="SXX68" s="15"/>
      <c r="SXY68" s="15"/>
      <c r="SXZ68" s="15"/>
      <c r="SYA68" s="15"/>
      <c r="SYB68" s="15"/>
      <c r="SYC68" s="15"/>
      <c r="SYD68" s="15"/>
      <c r="SYE68" s="15"/>
      <c r="SYF68" s="15"/>
      <c r="SYG68" s="15"/>
      <c r="SYH68" s="15"/>
      <c r="SYI68" s="15"/>
      <c r="SYJ68" s="15"/>
      <c r="SYK68" s="15"/>
      <c r="SYL68" s="15"/>
      <c r="SYM68" s="15"/>
      <c r="SYN68" s="15"/>
      <c r="SYO68" s="15"/>
      <c r="SYP68" s="15"/>
      <c r="SYQ68" s="15"/>
      <c r="SYR68" s="15"/>
      <c r="SYS68" s="15"/>
      <c r="SYT68" s="15"/>
      <c r="SYU68" s="15"/>
      <c r="SYV68" s="15"/>
      <c r="SYW68" s="15"/>
      <c r="SYX68" s="15"/>
      <c r="SYY68" s="15"/>
      <c r="SYZ68" s="15"/>
      <c r="SZA68" s="15"/>
      <c r="SZB68" s="15"/>
      <c r="SZC68" s="15"/>
      <c r="SZD68" s="15"/>
      <c r="SZE68" s="15"/>
      <c r="SZF68" s="15"/>
      <c r="SZG68" s="15"/>
      <c r="SZH68" s="15"/>
      <c r="SZI68" s="15"/>
      <c r="SZJ68" s="15"/>
      <c r="SZK68" s="15"/>
      <c r="SZL68" s="15"/>
      <c r="SZM68" s="15"/>
      <c r="SZN68" s="15"/>
      <c r="SZO68" s="15"/>
      <c r="SZP68" s="15"/>
      <c r="SZQ68" s="15"/>
      <c r="SZR68" s="15"/>
      <c r="SZS68" s="15"/>
      <c r="SZT68" s="15"/>
      <c r="SZU68" s="15"/>
      <c r="SZV68" s="15"/>
      <c r="SZW68" s="15"/>
      <c r="SZX68" s="15"/>
      <c r="SZY68" s="15"/>
      <c r="SZZ68" s="15"/>
      <c r="TAA68" s="15"/>
      <c r="TAB68" s="15"/>
      <c r="TAC68" s="15"/>
      <c r="TAD68" s="15"/>
      <c r="TAE68" s="15"/>
      <c r="TAF68" s="15"/>
      <c r="TAG68" s="15"/>
      <c r="TAH68" s="15"/>
      <c r="TAI68" s="15"/>
      <c r="TAJ68" s="15"/>
      <c r="TAK68" s="15"/>
      <c r="TAL68" s="15"/>
      <c r="TAM68" s="15"/>
      <c r="TAN68" s="15"/>
      <c r="TAO68" s="15"/>
      <c r="TAP68" s="15"/>
      <c r="TAQ68" s="15"/>
      <c r="TAR68" s="15"/>
      <c r="TAS68" s="15"/>
      <c r="TAT68" s="15"/>
      <c r="TAU68" s="15"/>
      <c r="TAV68" s="15"/>
      <c r="TAW68" s="15"/>
      <c r="TAX68" s="15"/>
      <c r="TAY68" s="15"/>
      <c r="TAZ68" s="15"/>
      <c r="TBA68" s="15"/>
      <c r="TBB68" s="15"/>
      <c r="TBC68" s="15"/>
      <c r="TBD68" s="15"/>
      <c r="TBE68" s="15"/>
      <c r="TBF68" s="15"/>
      <c r="TBG68" s="15"/>
      <c r="TBH68" s="15"/>
      <c r="TBI68" s="15"/>
      <c r="TBJ68" s="15"/>
      <c r="TBK68" s="15"/>
      <c r="TBL68" s="15"/>
      <c r="TBM68" s="15"/>
      <c r="TBN68" s="15"/>
      <c r="TBO68" s="15"/>
      <c r="TBP68" s="15"/>
      <c r="TBQ68" s="15"/>
      <c r="TBR68" s="15"/>
      <c r="TBS68" s="15"/>
      <c r="TBT68" s="15"/>
      <c r="TBU68" s="15"/>
      <c r="TBV68" s="15"/>
      <c r="TBW68" s="15"/>
      <c r="TBX68" s="15"/>
      <c r="TBY68" s="15"/>
      <c r="TBZ68" s="15"/>
      <c r="TCA68" s="15"/>
      <c r="TCB68" s="15"/>
      <c r="TCC68" s="15"/>
      <c r="TCD68" s="15"/>
      <c r="TCE68" s="15"/>
      <c r="TCF68" s="15"/>
      <c r="TCG68" s="15"/>
      <c r="TCH68" s="15"/>
      <c r="TCI68" s="15"/>
      <c r="TCJ68" s="15"/>
      <c r="TCK68" s="15"/>
      <c r="TCL68" s="15"/>
      <c r="TCM68" s="15"/>
      <c r="TCN68" s="15"/>
      <c r="TCO68" s="15"/>
      <c r="TCP68" s="15"/>
      <c r="TCQ68" s="15"/>
      <c r="TCR68" s="15"/>
      <c r="TCS68" s="15"/>
      <c r="TCT68" s="15"/>
      <c r="TCU68" s="15"/>
      <c r="TCV68" s="15"/>
      <c r="TCW68" s="15"/>
      <c r="TCX68" s="15"/>
      <c r="TCY68" s="15"/>
      <c r="TCZ68" s="15"/>
      <c r="TDA68" s="15"/>
      <c r="TDB68" s="15"/>
      <c r="TDC68" s="15"/>
      <c r="TDD68" s="15"/>
      <c r="TDE68" s="15"/>
      <c r="TDF68" s="15"/>
      <c r="TDG68" s="15"/>
      <c r="TDH68" s="15"/>
      <c r="TDI68" s="15"/>
      <c r="TDJ68" s="15"/>
      <c r="TDK68" s="15"/>
      <c r="TDL68" s="15"/>
      <c r="TDM68" s="15"/>
      <c r="TDN68" s="15"/>
      <c r="TDO68" s="15"/>
      <c r="TDP68" s="15"/>
      <c r="TDQ68" s="15"/>
      <c r="TDR68" s="15"/>
      <c r="TDS68" s="15"/>
      <c r="TDT68" s="15"/>
      <c r="TDU68" s="15"/>
      <c r="TDV68" s="15"/>
      <c r="TDW68" s="15"/>
      <c r="TDX68" s="15"/>
      <c r="TDY68" s="15"/>
      <c r="TDZ68" s="15"/>
      <c r="TEA68" s="15"/>
      <c r="TEB68" s="15"/>
      <c r="TEC68" s="15"/>
      <c r="TED68" s="15"/>
      <c r="TEE68" s="15"/>
      <c r="TEF68" s="15"/>
      <c r="TEG68" s="15"/>
      <c r="TEH68" s="15"/>
      <c r="TEI68" s="15"/>
      <c r="TEJ68" s="15"/>
      <c r="TEK68" s="15"/>
      <c r="TEL68" s="15"/>
      <c r="TEM68" s="15"/>
      <c r="TEN68" s="15"/>
      <c r="TEO68" s="15"/>
      <c r="TEP68" s="15"/>
      <c r="TEQ68" s="15"/>
      <c r="TER68" s="15"/>
      <c r="TES68" s="15"/>
      <c r="TET68" s="15"/>
      <c r="TEU68" s="15"/>
      <c r="TEV68" s="15"/>
      <c r="TEW68" s="15"/>
      <c r="TEX68" s="15"/>
      <c r="TEY68" s="15"/>
      <c r="TEZ68" s="15"/>
      <c r="TFA68" s="15"/>
      <c r="TFB68" s="15"/>
      <c r="TFC68" s="15"/>
      <c r="TFD68" s="15"/>
      <c r="TFE68" s="15"/>
      <c r="TFF68" s="15"/>
      <c r="TFG68" s="15"/>
      <c r="TFH68" s="15"/>
      <c r="TFI68" s="15"/>
      <c r="TFJ68" s="15"/>
      <c r="TFK68" s="15"/>
      <c r="TFL68" s="15"/>
      <c r="TFM68" s="15"/>
      <c r="TFN68" s="15"/>
      <c r="TFO68" s="15"/>
      <c r="TFP68" s="15"/>
      <c r="TFQ68" s="15"/>
      <c r="TFR68" s="15"/>
      <c r="TFS68" s="15"/>
      <c r="TFT68" s="15"/>
      <c r="TFU68" s="15"/>
      <c r="TFV68" s="15"/>
      <c r="TFW68" s="15"/>
      <c r="TFX68" s="15"/>
      <c r="TFY68" s="15"/>
      <c r="TFZ68" s="15"/>
      <c r="TGA68" s="15"/>
      <c r="TGB68" s="15"/>
      <c r="TGC68" s="15"/>
      <c r="TGD68" s="15"/>
      <c r="TGE68" s="15"/>
      <c r="TGF68" s="15"/>
      <c r="TGG68" s="15"/>
      <c r="TGH68" s="15"/>
      <c r="TGI68" s="15"/>
      <c r="TGJ68" s="15"/>
      <c r="TGK68" s="15"/>
      <c r="TGL68" s="15"/>
      <c r="TGM68" s="15"/>
      <c r="TGN68" s="15"/>
      <c r="TGO68" s="15"/>
      <c r="TGP68" s="15"/>
      <c r="TGQ68" s="15"/>
      <c r="TGR68" s="15"/>
      <c r="TGS68" s="15"/>
      <c r="TGT68" s="15"/>
      <c r="TGU68" s="15"/>
      <c r="TGV68" s="15"/>
      <c r="TGW68" s="15"/>
      <c r="TGX68" s="15"/>
      <c r="TGY68" s="15"/>
      <c r="TGZ68" s="15"/>
      <c r="THA68" s="15"/>
      <c r="THB68" s="15"/>
      <c r="THC68" s="15"/>
      <c r="THD68" s="15"/>
      <c r="THE68" s="15"/>
      <c r="THF68" s="15"/>
      <c r="THG68" s="15"/>
      <c r="THH68" s="15"/>
      <c r="THI68" s="15"/>
      <c r="THJ68" s="15"/>
      <c r="THK68" s="15"/>
      <c r="THL68" s="15"/>
      <c r="THM68" s="15"/>
      <c r="THN68" s="15"/>
      <c r="THO68" s="15"/>
      <c r="THP68" s="15"/>
      <c r="THQ68" s="15"/>
      <c r="THR68" s="15"/>
      <c r="THS68" s="15"/>
      <c r="THT68" s="15"/>
      <c r="THU68" s="15"/>
      <c r="THV68" s="15"/>
      <c r="THW68" s="15"/>
      <c r="THX68" s="15"/>
      <c r="THY68" s="15"/>
      <c r="THZ68" s="15"/>
      <c r="TIA68" s="15"/>
      <c r="TIB68" s="15"/>
      <c r="TIC68" s="15"/>
      <c r="TID68" s="15"/>
      <c r="TIE68" s="15"/>
      <c r="TIF68" s="15"/>
      <c r="TIG68" s="15"/>
      <c r="TIH68" s="15"/>
      <c r="TII68" s="15"/>
      <c r="TIJ68" s="15"/>
      <c r="TIK68" s="15"/>
      <c r="TIL68" s="15"/>
      <c r="TIM68" s="15"/>
      <c r="TIN68" s="15"/>
      <c r="TIO68" s="15"/>
      <c r="TIP68" s="15"/>
      <c r="TIQ68" s="15"/>
      <c r="TIR68" s="15"/>
      <c r="TIS68" s="15"/>
      <c r="TIT68" s="15"/>
      <c r="TIU68" s="15"/>
      <c r="TIV68" s="15"/>
      <c r="TIW68" s="15"/>
      <c r="TIX68" s="15"/>
      <c r="TIY68" s="15"/>
      <c r="TIZ68" s="15"/>
      <c r="TJA68" s="15"/>
      <c r="TJB68" s="15"/>
      <c r="TJC68" s="15"/>
      <c r="TJD68" s="15"/>
      <c r="TJE68" s="15"/>
      <c r="TJF68" s="15"/>
      <c r="TJG68" s="15"/>
      <c r="TJH68" s="15"/>
      <c r="TJI68" s="15"/>
      <c r="TJJ68" s="15"/>
      <c r="TJK68" s="15"/>
      <c r="TJL68" s="15"/>
      <c r="TJM68" s="15"/>
      <c r="TJN68" s="15"/>
      <c r="TJO68" s="15"/>
      <c r="TJP68" s="15"/>
      <c r="TJQ68" s="15"/>
      <c r="TJR68" s="15"/>
      <c r="TJS68" s="15"/>
      <c r="TJT68" s="15"/>
      <c r="TJU68" s="15"/>
      <c r="TJV68" s="15"/>
      <c r="TJW68" s="15"/>
      <c r="TJX68" s="15"/>
      <c r="TJY68" s="15"/>
      <c r="TJZ68" s="15"/>
      <c r="TKA68" s="15"/>
      <c r="TKB68" s="15"/>
      <c r="TKC68" s="15"/>
      <c r="TKD68" s="15"/>
      <c r="TKE68" s="15"/>
      <c r="TKF68" s="15"/>
      <c r="TKG68" s="15"/>
      <c r="TKH68" s="15"/>
      <c r="TKI68" s="15"/>
      <c r="TKJ68" s="15"/>
      <c r="TKK68" s="15"/>
      <c r="TKL68" s="15"/>
      <c r="TKM68" s="15"/>
      <c r="TKN68" s="15"/>
      <c r="TKO68" s="15"/>
      <c r="TKP68" s="15"/>
      <c r="TKQ68" s="15"/>
      <c r="TKR68" s="15"/>
      <c r="TKS68" s="15"/>
      <c r="TKT68" s="15"/>
      <c r="TKU68" s="15"/>
      <c r="TKV68" s="15"/>
      <c r="TKW68" s="15"/>
      <c r="TKX68" s="15"/>
      <c r="TKY68" s="15"/>
      <c r="TKZ68" s="15"/>
      <c r="TLA68" s="15"/>
      <c r="TLB68" s="15"/>
      <c r="TLC68" s="15"/>
      <c r="TLD68" s="15"/>
      <c r="TLE68" s="15"/>
      <c r="TLF68" s="15"/>
      <c r="TLG68" s="15"/>
      <c r="TLH68" s="15"/>
      <c r="TLI68" s="15"/>
      <c r="TLJ68" s="15"/>
      <c r="TLK68" s="15"/>
      <c r="TLL68" s="15"/>
      <c r="TLM68" s="15"/>
      <c r="TLN68" s="15"/>
      <c r="TLO68" s="15"/>
      <c r="TLP68" s="15"/>
      <c r="TLQ68" s="15"/>
      <c r="TLR68" s="15"/>
      <c r="TLS68" s="15"/>
      <c r="TLT68" s="15"/>
      <c r="TLU68" s="15"/>
      <c r="TLV68" s="15"/>
      <c r="TLW68" s="15"/>
      <c r="TLX68" s="15"/>
      <c r="TLY68" s="15"/>
      <c r="TLZ68" s="15"/>
      <c r="TMA68" s="15"/>
      <c r="TMB68" s="15"/>
      <c r="TMC68" s="15"/>
      <c r="TMD68" s="15"/>
      <c r="TME68" s="15"/>
      <c r="TMF68" s="15"/>
      <c r="TMG68" s="15"/>
      <c r="TMH68" s="15"/>
      <c r="TMI68" s="15"/>
      <c r="TMJ68" s="15"/>
      <c r="TMK68" s="15"/>
      <c r="TML68" s="15"/>
      <c r="TMM68" s="15"/>
      <c r="TMN68" s="15"/>
      <c r="TMO68" s="15"/>
      <c r="TMP68" s="15"/>
      <c r="TMQ68" s="15"/>
      <c r="TMR68" s="15"/>
      <c r="TMS68" s="15"/>
      <c r="TMT68" s="15"/>
      <c r="TMU68" s="15"/>
      <c r="TMV68" s="15"/>
      <c r="TMW68" s="15"/>
      <c r="TMX68" s="15"/>
      <c r="TMY68" s="15"/>
      <c r="TMZ68" s="15"/>
      <c r="TNA68" s="15"/>
      <c r="TNB68" s="15"/>
      <c r="TNC68" s="15"/>
      <c r="TND68" s="15"/>
      <c r="TNE68" s="15"/>
      <c r="TNF68" s="15"/>
      <c r="TNG68" s="15"/>
      <c r="TNH68" s="15"/>
      <c r="TNI68" s="15"/>
      <c r="TNJ68" s="15"/>
      <c r="TNK68" s="15"/>
      <c r="TNL68" s="15"/>
      <c r="TNM68" s="15"/>
      <c r="TNN68" s="15"/>
      <c r="TNO68" s="15"/>
      <c r="TNP68" s="15"/>
      <c r="TNQ68" s="15"/>
      <c r="TNR68" s="15"/>
      <c r="TNS68" s="15"/>
      <c r="TNT68" s="15"/>
      <c r="TNU68" s="15"/>
      <c r="TNV68" s="15"/>
      <c r="TNW68" s="15"/>
      <c r="TNX68" s="15"/>
      <c r="TNY68" s="15"/>
      <c r="TNZ68" s="15"/>
      <c r="TOA68" s="15"/>
      <c r="TOB68" s="15"/>
      <c r="TOC68" s="15"/>
      <c r="TOD68" s="15"/>
      <c r="TOE68" s="15"/>
      <c r="TOF68" s="15"/>
      <c r="TOG68" s="15"/>
      <c r="TOH68" s="15"/>
      <c r="TOI68" s="15"/>
      <c r="TOJ68" s="15"/>
      <c r="TOK68" s="15"/>
      <c r="TOL68" s="15"/>
      <c r="TOM68" s="15"/>
      <c r="TON68" s="15"/>
      <c r="TOO68" s="15"/>
      <c r="TOP68" s="15"/>
      <c r="TOQ68" s="15"/>
      <c r="TOR68" s="15"/>
      <c r="TOS68" s="15"/>
      <c r="TOT68" s="15"/>
      <c r="TOU68" s="15"/>
      <c r="TOV68" s="15"/>
      <c r="TOW68" s="15"/>
      <c r="TOX68" s="15"/>
      <c r="TOY68" s="15"/>
      <c r="TOZ68" s="15"/>
      <c r="TPA68" s="15"/>
      <c r="TPB68" s="15"/>
      <c r="TPC68" s="15"/>
      <c r="TPD68" s="15"/>
      <c r="TPE68" s="15"/>
      <c r="TPF68" s="15"/>
      <c r="TPG68" s="15"/>
      <c r="TPH68" s="15"/>
      <c r="TPI68" s="15"/>
      <c r="TPJ68" s="15"/>
      <c r="TPK68" s="15"/>
      <c r="TPL68" s="15"/>
      <c r="TPM68" s="15"/>
      <c r="TPN68" s="15"/>
      <c r="TPO68" s="15"/>
      <c r="TPP68" s="15"/>
      <c r="TPQ68" s="15"/>
      <c r="TPR68" s="15"/>
      <c r="TPS68" s="15"/>
      <c r="TPT68" s="15"/>
      <c r="TPU68" s="15"/>
      <c r="TPV68" s="15"/>
      <c r="TPW68" s="15"/>
      <c r="TPX68" s="15"/>
      <c r="TPY68" s="15"/>
      <c r="TPZ68" s="15"/>
      <c r="TQA68" s="15"/>
      <c r="TQB68" s="15"/>
      <c r="TQC68" s="15"/>
      <c r="TQD68" s="15"/>
      <c r="TQE68" s="15"/>
      <c r="TQF68" s="15"/>
      <c r="TQG68" s="15"/>
      <c r="TQH68" s="15"/>
      <c r="TQI68" s="15"/>
      <c r="TQJ68" s="15"/>
      <c r="TQK68" s="15"/>
      <c r="TQL68" s="15"/>
      <c r="TQM68" s="15"/>
      <c r="TQN68" s="15"/>
      <c r="TQO68" s="15"/>
      <c r="TQP68" s="15"/>
      <c r="TQQ68" s="15"/>
      <c r="TQR68" s="15"/>
      <c r="TQS68" s="15"/>
      <c r="TQT68" s="15"/>
      <c r="TQU68" s="15"/>
      <c r="TQV68" s="15"/>
      <c r="TQW68" s="15"/>
      <c r="TQX68" s="15"/>
      <c r="TQY68" s="15"/>
      <c r="TQZ68" s="15"/>
      <c r="TRA68" s="15"/>
      <c r="TRB68" s="15"/>
      <c r="TRC68" s="15"/>
      <c r="TRD68" s="15"/>
      <c r="TRE68" s="15"/>
      <c r="TRF68" s="15"/>
      <c r="TRG68" s="15"/>
      <c r="TRH68" s="15"/>
      <c r="TRI68" s="15"/>
      <c r="TRJ68" s="15"/>
      <c r="TRK68" s="15"/>
      <c r="TRL68" s="15"/>
      <c r="TRM68" s="15"/>
      <c r="TRN68" s="15"/>
      <c r="TRO68" s="15"/>
      <c r="TRP68" s="15"/>
      <c r="TRQ68" s="15"/>
      <c r="TRR68" s="15"/>
      <c r="TRS68" s="15"/>
      <c r="TRT68" s="15"/>
      <c r="TRU68" s="15"/>
      <c r="TRV68" s="15"/>
      <c r="TRW68" s="15"/>
      <c r="TRX68" s="15"/>
      <c r="TRY68" s="15"/>
      <c r="TRZ68" s="15"/>
      <c r="TSA68" s="15"/>
      <c r="TSB68" s="15"/>
      <c r="TSC68" s="15"/>
      <c r="TSD68" s="15"/>
      <c r="TSE68" s="15"/>
      <c r="TSF68" s="15"/>
      <c r="TSG68" s="15"/>
      <c r="TSH68" s="15"/>
      <c r="TSI68" s="15"/>
      <c r="TSJ68" s="15"/>
      <c r="TSK68" s="15"/>
      <c r="TSL68" s="15"/>
      <c r="TSM68" s="15"/>
      <c r="TSN68" s="15"/>
      <c r="TSO68" s="15"/>
      <c r="TSP68" s="15"/>
      <c r="TSQ68" s="15"/>
      <c r="TSR68" s="15"/>
      <c r="TSS68" s="15"/>
      <c r="TST68" s="15"/>
      <c r="TSU68" s="15"/>
      <c r="TSV68" s="15"/>
      <c r="TSW68" s="15"/>
      <c r="TSX68" s="15"/>
      <c r="TSY68" s="15"/>
      <c r="TSZ68" s="15"/>
      <c r="TTA68" s="15"/>
      <c r="TTB68" s="15"/>
      <c r="TTC68" s="15"/>
      <c r="TTD68" s="15"/>
      <c r="TTE68" s="15"/>
      <c r="TTF68" s="15"/>
      <c r="TTG68" s="15"/>
      <c r="TTH68" s="15"/>
      <c r="TTI68" s="15"/>
      <c r="TTJ68" s="15"/>
      <c r="TTK68" s="15"/>
      <c r="TTL68" s="15"/>
      <c r="TTM68" s="15"/>
      <c r="TTN68" s="15"/>
      <c r="TTO68" s="15"/>
      <c r="TTP68" s="15"/>
      <c r="TTQ68" s="15"/>
      <c r="TTR68" s="15"/>
      <c r="TTS68" s="15"/>
      <c r="TTT68" s="15"/>
      <c r="TTU68" s="15"/>
      <c r="TTV68" s="15"/>
      <c r="TTW68" s="15"/>
      <c r="TTX68" s="15"/>
      <c r="TTY68" s="15"/>
      <c r="TTZ68" s="15"/>
      <c r="TUA68" s="15"/>
      <c r="TUB68" s="15"/>
      <c r="TUC68" s="15"/>
      <c r="TUD68" s="15"/>
      <c r="TUE68" s="15"/>
      <c r="TUF68" s="15"/>
      <c r="TUG68" s="15"/>
      <c r="TUH68" s="15"/>
      <c r="TUI68" s="15"/>
      <c r="TUJ68" s="15"/>
      <c r="TUK68" s="15"/>
      <c r="TUL68" s="15"/>
      <c r="TUM68" s="15"/>
      <c r="TUN68" s="15"/>
      <c r="TUO68" s="15"/>
      <c r="TUP68" s="15"/>
      <c r="TUQ68" s="15"/>
      <c r="TUR68" s="15"/>
      <c r="TUS68" s="15"/>
      <c r="TUT68" s="15"/>
      <c r="TUU68" s="15"/>
      <c r="TUV68" s="15"/>
      <c r="TUW68" s="15"/>
      <c r="TUX68" s="15"/>
      <c r="TUY68" s="15"/>
      <c r="TUZ68" s="15"/>
      <c r="TVA68" s="15"/>
      <c r="TVB68" s="15"/>
      <c r="TVC68" s="15"/>
      <c r="TVD68" s="15"/>
      <c r="TVE68" s="15"/>
      <c r="TVF68" s="15"/>
      <c r="TVG68" s="15"/>
      <c r="TVH68" s="15"/>
      <c r="TVI68" s="15"/>
      <c r="TVJ68" s="15"/>
      <c r="TVK68" s="15"/>
      <c r="TVL68" s="15"/>
      <c r="TVM68" s="15"/>
      <c r="TVN68" s="15"/>
      <c r="TVO68" s="15"/>
      <c r="TVP68" s="15"/>
      <c r="TVQ68" s="15"/>
      <c r="TVR68" s="15"/>
      <c r="TVS68" s="15"/>
      <c r="TVT68" s="15"/>
      <c r="TVU68" s="15"/>
      <c r="TVV68" s="15"/>
      <c r="TVW68" s="15"/>
      <c r="TVX68" s="15"/>
      <c r="TVY68" s="15"/>
      <c r="TVZ68" s="15"/>
      <c r="TWA68" s="15"/>
      <c r="TWB68" s="15"/>
      <c r="TWC68" s="15"/>
      <c r="TWD68" s="15"/>
      <c r="TWE68" s="15"/>
      <c r="TWF68" s="15"/>
      <c r="TWG68" s="15"/>
      <c r="TWH68" s="15"/>
      <c r="TWI68" s="15"/>
      <c r="TWJ68" s="15"/>
      <c r="TWK68" s="15"/>
      <c r="TWL68" s="15"/>
      <c r="TWM68" s="15"/>
      <c r="TWN68" s="15"/>
      <c r="TWO68" s="15"/>
      <c r="TWP68" s="15"/>
      <c r="TWQ68" s="15"/>
      <c r="TWR68" s="15"/>
      <c r="TWS68" s="15"/>
      <c r="TWT68" s="15"/>
      <c r="TWU68" s="15"/>
      <c r="TWV68" s="15"/>
      <c r="TWW68" s="15"/>
      <c r="TWX68" s="15"/>
      <c r="TWY68" s="15"/>
      <c r="TWZ68" s="15"/>
      <c r="TXA68" s="15"/>
      <c r="TXB68" s="15"/>
      <c r="TXC68" s="15"/>
      <c r="TXD68" s="15"/>
      <c r="TXE68" s="15"/>
      <c r="TXF68" s="15"/>
      <c r="TXG68" s="15"/>
      <c r="TXH68" s="15"/>
      <c r="TXI68" s="15"/>
      <c r="TXJ68" s="15"/>
      <c r="TXK68" s="15"/>
      <c r="TXL68" s="15"/>
      <c r="TXM68" s="15"/>
      <c r="TXN68" s="15"/>
      <c r="TXO68" s="15"/>
      <c r="TXP68" s="15"/>
      <c r="TXQ68" s="15"/>
      <c r="TXR68" s="15"/>
      <c r="TXS68" s="15"/>
      <c r="TXT68" s="15"/>
      <c r="TXU68" s="15"/>
      <c r="TXV68" s="15"/>
      <c r="TXW68" s="15"/>
      <c r="TXX68" s="15"/>
      <c r="TXY68" s="15"/>
      <c r="TXZ68" s="15"/>
      <c r="TYA68" s="15"/>
      <c r="TYB68" s="15"/>
      <c r="TYC68" s="15"/>
      <c r="TYD68" s="15"/>
      <c r="TYE68" s="15"/>
      <c r="TYF68" s="15"/>
      <c r="TYG68" s="15"/>
      <c r="TYH68" s="15"/>
      <c r="TYI68" s="15"/>
      <c r="TYJ68" s="15"/>
      <c r="TYK68" s="15"/>
      <c r="TYL68" s="15"/>
      <c r="TYM68" s="15"/>
      <c r="TYN68" s="15"/>
      <c r="TYO68" s="15"/>
      <c r="TYP68" s="15"/>
      <c r="TYQ68" s="15"/>
      <c r="TYR68" s="15"/>
      <c r="TYS68" s="15"/>
      <c r="TYT68" s="15"/>
      <c r="TYU68" s="15"/>
      <c r="TYV68" s="15"/>
      <c r="TYW68" s="15"/>
      <c r="TYX68" s="15"/>
      <c r="TYY68" s="15"/>
      <c r="TYZ68" s="15"/>
      <c r="TZA68" s="15"/>
      <c r="TZB68" s="15"/>
      <c r="TZC68" s="15"/>
      <c r="TZD68" s="15"/>
      <c r="TZE68" s="15"/>
      <c r="TZF68" s="15"/>
      <c r="TZG68" s="15"/>
      <c r="TZH68" s="15"/>
      <c r="TZI68" s="15"/>
      <c r="TZJ68" s="15"/>
      <c r="TZK68" s="15"/>
      <c r="TZL68" s="15"/>
      <c r="TZM68" s="15"/>
      <c r="TZN68" s="15"/>
      <c r="TZO68" s="15"/>
      <c r="TZP68" s="15"/>
      <c r="TZQ68" s="15"/>
      <c r="TZR68" s="15"/>
      <c r="TZS68" s="15"/>
      <c r="TZT68" s="15"/>
      <c r="TZU68" s="15"/>
      <c r="TZV68" s="15"/>
      <c r="TZW68" s="15"/>
      <c r="TZX68" s="15"/>
      <c r="TZY68" s="15"/>
      <c r="TZZ68" s="15"/>
      <c r="UAA68" s="15"/>
      <c r="UAB68" s="15"/>
      <c r="UAC68" s="15"/>
      <c r="UAD68" s="15"/>
      <c r="UAE68" s="15"/>
      <c r="UAF68" s="15"/>
      <c r="UAG68" s="15"/>
      <c r="UAH68" s="15"/>
      <c r="UAI68" s="15"/>
      <c r="UAJ68" s="15"/>
      <c r="UAK68" s="15"/>
      <c r="UAL68" s="15"/>
      <c r="UAM68" s="15"/>
      <c r="UAN68" s="15"/>
      <c r="UAO68" s="15"/>
      <c r="UAP68" s="15"/>
      <c r="UAQ68" s="15"/>
      <c r="UAR68" s="15"/>
      <c r="UAS68" s="15"/>
      <c r="UAT68" s="15"/>
      <c r="UAU68" s="15"/>
      <c r="UAV68" s="15"/>
      <c r="UAW68" s="15"/>
      <c r="UAX68" s="15"/>
      <c r="UAY68" s="15"/>
      <c r="UAZ68" s="15"/>
      <c r="UBA68" s="15"/>
      <c r="UBB68" s="15"/>
      <c r="UBC68" s="15"/>
      <c r="UBD68" s="15"/>
      <c r="UBE68" s="15"/>
      <c r="UBF68" s="15"/>
      <c r="UBG68" s="15"/>
      <c r="UBH68" s="15"/>
      <c r="UBI68" s="15"/>
      <c r="UBJ68" s="15"/>
      <c r="UBK68" s="15"/>
      <c r="UBL68" s="15"/>
      <c r="UBM68" s="15"/>
      <c r="UBN68" s="15"/>
      <c r="UBO68" s="15"/>
      <c r="UBP68" s="15"/>
      <c r="UBQ68" s="15"/>
      <c r="UBR68" s="15"/>
      <c r="UBS68" s="15"/>
      <c r="UBT68" s="15"/>
      <c r="UBU68" s="15"/>
      <c r="UBV68" s="15"/>
      <c r="UBW68" s="15"/>
      <c r="UBX68" s="15"/>
      <c r="UBY68" s="15"/>
      <c r="UBZ68" s="15"/>
      <c r="UCA68" s="15"/>
      <c r="UCB68" s="15"/>
      <c r="UCC68" s="15"/>
      <c r="UCD68" s="15"/>
      <c r="UCE68" s="15"/>
      <c r="UCF68" s="15"/>
      <c r="UCG68" s="15"/>
      <c r="UCH68" s="15"/>
      <c r="UCI68" s="15"/>
      <c r="UCJ68" s="15"/>
      <c r="UCK68" s="15"/>
      <c r="UCL68" s="15"/>
      <c r="UCM68" s="15"/>
      <c r="UCN68" s="15"/>
      <c r="UCO68" s="15"/>
      <c r="UCP68" s="15"/>
      <c r="UCQ68" s="15"/>
      <c r="UCR68" s="15"/>
      <c r="UCS68" s="15"/>
      <c r="UCT68" s="15"/>
      <c r="UCU68" s="15"/>
      <c r="UCV68" s="15"/>
      <c r="UCW68" s="15"/>
      <c r="UCX68" s="15"/>
      <c r="UCY68" s="15"/>
      <c r="UCZ68" s="15"/>
      <c r="UDA68" s="15"/>
      <c r="UDB68" s="15"/>
      <c r="UDC68" s="15"/>
      <c r="UDD68" s="15"/>
      <c r="UDE68" s="15"/>
      <c r="UDF68" s="15"/>
      <c r="UDG68" s="15"/>
      <c r="UDH68" s="15"/>
      <c r="UDI68" s="15"/>
      <c r="UDJ68" s="15"/>
      <c r="UDK68" s="15"/>
      <c r="UDL68" s="15"/>
      <c r="UDM68" s="15"/>
      <c r="UDN68" s="15"/>
      <c r="UDO68" s="15"/>
      <c r="UDP68" s="15"/>
      <c r="UDQ68" s="15"/>
      <c r="UDR68" s="15"/>
      <c r="UDS68" s="15"/>
      <c r="UDT68" s="15"/>
      <c r="UDU68" s="15"/>
      <c r="UDV68" s="15"/>
      <c r="UDW68" s="15"/>
      <c r="UDX68" s="15"/>
      <c r="UDY68" s="15"/>
      <c r="UDZ68" s="15"/>
      <c r="UEA68" s="15"/>
      <c r="UEB68" s="15"/>
      <c r="UEC68" s="15"/>
      <c r="UED68" s="15"/>
      <c r="UEE68" s="15"/>
      <c r="UEF68" s="15"/>
      <c r="UEG68" s="15"/>
      <c r="UEH68" s="15"/>
      <c r="UEI68" s="15"/>
      <c r="UEJ68" s="15"/>
      <c r="UEK68" s="15"/>
      <c r="UEL68" s="15"/>
      <c r="UEM68" s="15"/>
      <c r="UEN68" s="15"/>
      <c r="UEO68" s="15"/>
      <c r="UEP68" s="15"/>
      <c r="UEQ68" s="15"/>
      <c r="UER68" s="15"/>
      <c r="UES68" s="15"/>
      <c r="UET68" s="15"/>
      <c r="UEU68" s="15"/>
      <c r="UEV68" s="15"/>
      <c r="UEW68" s="15"/>
      <c r="UEX68" s="15"/>
      <c r="UEY68" s="15"/>
      <c r="UEZ68" s="15"/>
      <c r="UFA68" s="15"/>
      <c r="UFB68" s="15"/>
      <c r="UFC68" s="15"/>
      <c r="UFD68" s="15"/>
      <c r="UFE68" s="15"/>
      <c r="UFF68" s="15"/>
      <c r="UFG68" s="15"/>
      <c r="UFH68" s="15"/>
      <c r="UFI68" s="15"/>
      <c r="UFJ68" s="15"/>
      <c r="UFK68" s="15"/>
      <c r="UFL68" s="15"/>
      <c r="UFM68" s="15"/>
      <c r="UFN68" s="15"/>
      <c r="UFO68" s="15"/>
      <c r="UFP68" s="15"/>
      <c r="UFQ68" s="15"/>
      <c r="UFR68" s="15"/>
      <c r="UFS68" s="15"/>
      <c r="UFT68" s="15"/>
      <c r="UFU68" s="15"/>
      <c r="UFV68" s="15"/>
      <c r="UFW68" s="15"/>
      <c r="UFX68" s="15"/>
      <c r="UFY68" s="15"/>
      <c r="UFZ68" s="15"/>
      <c r="UGA68" s="15"/>
      <c r="UGB68" s="15"/>
      <c r="UGC68" s="15"/>
      <c r="UGD68" s="15"/>
      <c r="UGE68" s="15"/>
      <c r="UGF68" s="15"/>
      <c r="UGG68" s="15"/>
      <c r="UGH68" s="15"/>
      <c r="UGI68" s="15"/>
      <c r="UGJ68" s="15"/>
      <c r="UGK68" s="15"/>
      <c r="UGL68" s="15"/>
      <c r="UGM68" s="15"/>
      <c r="UGN68" s="15"/>
      <c r="UGO68" s="15"/>
      <c r="UGP68" s="15"/>
      <c r="UGQ68" s="15"/>
      <c r="UGR68" s="15"/>
      <c r="UGS68" s="15"/>
      <c r="UGT68" s="15"/>
      <c r="UGU68" s="15"/>
      <c r="UGV68" s="15"/>
      <c r="UGW68" s="15"/>
      <c r="UGX68" s="15"/>
      <c r="UGY68" s="15"/>
      <c r="UGZ68" s="15"/>
      <c r="UHA68" s="15"/>
      <c r="UHB68" s="15"/>
      <c r="UHC68" s="15"/>
      <c r="UHD68" s="15"/>
      <c r="UHE68" s="15"/>
      <c r="UHF68" s="15"/>
      <c r="UHG68" s="15"/>
      <c r="UHH68" s="15"/>
      <c r="UHI68" s="15"/>
      <c r="UHJ68" s="15"/>
      <c r="UHK68" s="15"/>
      <c r="UHL68" s="15"/>
      <c r="UHM68" s="15"/>
      <c r="UHN68" s="15"/>
      <c r="UHO68" s="15"/>
      <c r="UHP68" s="15"/>
      <c r="UHQ68" s="15"/>
      <c r="UHR68" s="15"/>
      <c r="UHS68" s="15"/>
      <c r="UHT68" s="15"/>
      <c r="UHU68" s="15"/>
      <c r="UHV68" s="15"/>
      <c r="UHW68" s="15"/>
      <c r="UHX68" s="15"/>
      <c r="UHY68" s="15"/>
      <c r="UHZ68" s="15"/>
      <c r="UIA68" s="15"/>
      <c r="UIB68" s="15"/>
      <c r="UIC68" s="15"/>
      <c r="UID68" s="15"/>
      <c r="UIE68" s="15"/>
      <c r="UIF68" s="15"/>
      <c r="UIG68" s="15"/>
      <c r="UIH68" s="15"/>
      <c r="UII68" s="15"/>
      <c r="UIJ68" s="15"/>
      <c r="UIK68" s="15"/>
      <c r="UIL68" s="15"/>
      <c r="UIM68" s="15"/>
      <c r="UIN68" s="15"/>
      <c r="UIO68" s="15"/>
      <c r="UIP68" s="15"/>
      <c r="UIQ68" s="15"/>
      <c r="UIR68" s="15"/>
      <c r="UIS68" s="15"/>
      <c r="UIT68" s="15"/>
      <c r="UIU68" s="15"/>
      <c r="UIV68" s="15"/>
      <c r="UIW68" s="15"/>
      <c r="UIX68" s="15"/>
      <c r="UIY68" s="15"/>
      <c r="UIZ68" s="15"/>
      <c r="UJA68" s="15"/>
      <c r="UJB68" s="15"/>
      <c r="UJC68" s="15"/>
      <c r="UJD68" s="15"/>
      <c r="UJE68" s="15"/>
      <c r="UJF68" s="15"/>
      <c r="UJG68" s="15"/>
      <c r="UJH68" s="15"/>
      <c r="UJI68" s="15"/>
      <c r="UJJ68" s="15"/>
      <c r="UJK68" s="15"/>
      <c r="UJL68" s="15"/>
      <c r="UJM68" s="15"/>
      <c r="UJN68" s="15"/>
      <c r="UJO68" s="15"/>
      <c r="UJP68" s="15"/>
      <c r="UJQ68" s="15"/>
      <c r="UJR68" s="15"/>
      <c r="UJS68" s="15"/>
      <c r="UJT68" s="15"/>
      <c r="UJU68" s="15"/>
      <c r="UJV68" s="15"/>
      <c r="UJW68" s="15"/>
      <c r="UJX68" s="15"/>
      <c r="UJY68" s="15"/>
      <c r="UJZ68" s="15"/>
      <c r="UKA68" s="15"/>
      <c r="UKB68" s="15"/>
      <c r="UKC68" s="15"/>
      <c r="UKD68" s="15"/>
      <c r="UKE68" s="15"/>
      <c r="UKF68" s="15"/>
      <c r="UKG68" s="15"/>
      <c r="UKH68" s="15"/>
      <c r="UKI68" s="15"/>
      <c r="UKJ68" s="15"/>
      <c r="UKK68" s="15"/>
      <c r="UKL68" s="15"/>
      <c r="UKM68" s="15"/>
      <c r="UKN68" s="15"/>
      <c r="UKO68" s="15"/>
      <c r="UKP68" s="15"/>
      <c r="UKQ68" s="15"/>
      <c r="UKR68" s="15"/>
      <c r="UKS68" s="15"/>
      <c r="UKT68" s="15"/>
      <c r="UKU68" s="15"/>
      <c r="UKV68" s="15"/>
      <c r="UKW68" s="15"/>
      <c r="UKX68" s="15"/>
      <c r="UKY68" s="15"/>
      <c r="UKZ68" s="15"/>
      <c r="ULA68" s="15"/>
      <c r="ULB68" s="15"/>
      <c r="ULC68" s="15"/>
      <c r="ULD68" s="15"/>
      <c r="ULE68" s="15"/>
      <c r="ULF68" s="15"/>
      <c r="ULG68" s="15"/>
      <c r="ULH68" s="15"/>
      <c r="ULI68" s="15"/>
      <c r="ULJ68" s="15"/>
      <c r="ULK68" s="15"/>
      <c r="ULL68" s="15"/>
      <c r="ULM68" s="15"/>
      <c r="ULN68" s="15"/>
      <c r="ULO68" s="15"/>
      <c r="ULP68" s="15"/>
      <c r="ULQ68" s="15"/>
      <c r="ULR68" s="15"/>
      <c r="ULS68" s="15"/>
      <c r="ULT68" s="15"/>
      <c r="ULU68" s="15"/>
      <c r="ULV68" s="15"/>
      <c r="ULW68" s="15"/>
      <c r="ULX68" s="15"/>
      <c r="ULY68" s="15"/>
      <c r="ULZ68" s="15"/>
      <c r="UMA68" s="15"/>
      <c r="UMB68" s="15"/>
      <c r="UMC68" s="15"/>
      <c r="UMD68" s="15"/>
      <c r="UME68" s="15"/>
      <c r="UMF68" s="15"/>
      <c r="UMG68" s="15"/>
      <c r="UMH68" s="15"/>
      <c r="UMI68" s="15"/>
      <c r="UMJ68" s="15"/>
      <c r="UMK68" s="15"/>
      <c r="UML68" s="15"/>
      <c r="UMM68" s="15"/>
      <c r="UMN68" s="15"/>
      <c r="UMO68" s="15"/>
      <c r="UMP68" s="15"/>
      <c r="UMQ68" s="15"/>
      <c r="UMR68" s="15"/>
      <c r="UMS68" s="15"/>
      <c r="UMT68" s="15"/>
      <c r="UMU68" s="15"/>
      <c r="UMV68" s="15"/>
      <c r="UMW68" s="15"/>
      <c r="UMX68" s="15"/>
      <c r="UMY68" s="15"/>
      <c r="UMZ68" s="15"/>
      <c r="UNA68" s="15"/>
      <c r="UNB68" s="15"/>
      <c r="UNC68" s="15"/>
      <c r="UND68" s="15"/>
      <c r="UNE68" s="15"/>
      <c r="UNF68" s="15"/>
      <c r="UNG68" s="15"/>
      <c r="UNH68" s="15"/>
      <c r="UNI68" s="15"/>
      <c r="UNJ68" s="15"/>
      <c r="UNK68" s="15"/>
      <c r="UNL68" s="15"/>
      <c r="UNM68" s="15"/>
      <c r="UNN68" s="15"/>
      <c r="UNO68" s="15"/>
      <c r="UNP68" s="15"/>
      <c r="UNQ68" s="15"/>
      <c r="UNR68" s="15"/>
      <c r="UNS68" s="15"/>
      <c r="UNT68" s="15"/>
      <c r="UNU68" s="15"/>
      <c r="UNV68" s="15"/>
      <c r="UNW68" s="15"/>
      <c r="UNX68" s="15"/>
      <c r="UNY68" s="15"/>
      <c r="UNZ68" s="15"/>
      <c r="UOA68" s="15"/>
      <c r="UOB68" s="15"/>
      <c r="UOC68" s="15"/>
      <c r="UOD68" s="15"/>
      <c r="UOE68" s="15"/>
      <c r="UOF68" s="15"/>
      <c r="UOG68" s="15"/>
      <c r="UOH68" s="15"/>
      <c r="UOI68" s="15"/>
      <c r="UOJ68" s="15"/>
      <c r="UOK68" s="15"/>
      <c r="UOL68" s="15"/>
      <c r="UOM68" s="15"/>
      <c r="UON68" s="15"/>
      <c r="UOO68" s="15"/>
      <c r="UOP68" s="15"/>
      <c r="UOQ68" s="15"/>
      <c r="UOR68" s="15"/>
      <c r="UOS68" s="15"/>
      <c r="UOT68" s="15"/>
      <c r="UOU68" s="15"/>
      <c r="UOV68" s="15"/>
      <c r="UOW68" s="15"/>
      <c r="UOX68" s="15"/>
      <c r="UOY68" s="15"/>
      <c r="UOZ68" s="15"/>
      <c r="UPA68" s="15"/>
      <c r="UPB68" s="15"/>
      <c r="UPC68" s="15"/>
      <c r="UPD68" s="15"/>
      <c r="UPE68" s="15"/>
      <c r="UPF68" s="15"/>
      <c r="UPG68" s="15"/>
      <c r="UPH68" s="15"/>
      <c r="UPI68" s="15"/>
      <c r="UPJ68" s="15"/>
      <c r="UPK68" s="15"/>
      <c r="UPL68" s="15"/>
      <c r="UPM68" s="15"/>
      <c r="UPN68" s="15"/>
      <c r="UPO68" s="15"/>
      <c r="UPP68" s="15"/>
      <c r="UPQ68" s="15"/>
      <c r="UPR68" s="15"/>
      <c r="UPS68" s="15"/>
      <c r="UPT68" s="15"/>
      <c r="UPU68" s="15"/>
      <c r="UPV68" s="15"/>
      <c r="UPW68" s="15"/>
      <c r="UPX68" s="15"/>
      <c r="UPY68" s="15"/>
      <c r="UPZ68" s="15"/>
      <c r="UQA68" s="15"/>
      <c r="UQB68" s="15"/>
      <c r="UQC68" s="15"/>
      <c r="UQD68" s="15"/>
      <c r="UQE68" s="15"/>
      <c r="UQF68" s="15"/>
      <c r="UQG68" s="15"/>
      <c r="UQH68" s="15"/>
      <c r="UQI68" s="15"/>
      <c r="UQJ68" s="15"/>
      <c r="UQK68" s="15"/>
      <c r="UQL68" s="15"/>
      <c r="UQM68" s="15"/>
      <c r="UQN68" s="15"/>
      <c r="UQO68" s="15"/>
      <c r="UQP68" s="15"/>
      <c r="UQQ68" s="15"/>
      <c r="UQR68" s="15"/>
      <c r="UQS68" s="15"/>
      <c r="UQT68" s="15"/>
      <c r="UQU68" s="15"/>
      <c r="UQV68" s="15"/>
      <c r="UQW68" s="15"/>
      <c r="UQX68" s="15"/>
      <c r="UQY68" s="15"/>
      <c r="UQZ68" s="15"/>
      <c r="URA68" s="15"/>
      <c r="URB68" s="15"/>
      <c r="URC68" s="15"/>
      <c r="URD68" s="15"/>
      <c r="URE68" s="15"/>
      <c r="URF68" s="15"/>
      <c r="URG68" s="15"/>
      <c r="URH68" s="15"/>
      <c r="URI68" s="15"/>
      <c r="URJ68" s="15"/>
      <c r="URK68" s="15"/>
      <c r="URL68" s="15"/>
      <c r="URM68" s="15"/>
      <c r="URN68" s="15"/>
      <c r="URO68" s="15"/>
      <c r="URP68" s="15"/>
      <c r="URQ68" s="15"/>
      <c r="URR68" s="15"/>
      <c r="URS68" s="15"/>
      <c r="URT68" s="15"/>
      <c r="URU68" s="15"/>
      <c r="URV68" s="15"/>
      <c r="URW68" s="15"/>
      <c r="URX68" s="15"/>
      <c r="URY68" s="15"/>
      <c r="URZ68" s="15"/>
      <c r="USA68" s="15"/>
      <c r="USB68" s="15"/>
      <c r="USC68" s="15"/>
      <c r="USD68" s="15"/>
      <c r="USE68" s="15"/>
      <c r="USF68" s="15"/>
      <c r="USG68" s="15"/>
      <c r="USH68" s="15"/>
      <c r="USI68" s="15"/>
      <c r="USJ68" s="15"/>
      <c r="USK68" s="15"/>
      <c r="USL68" s="15"/>
      <c r="USM68" s="15"/>
      <c r="USN68" s="15"/>
      <c r="USO68" s="15"/>
      <c r="USP68" s="15"/>
      <c r="USQ68" s="15"/>
      <c r="USR68" s="15"/>
      <c r="USS68" s="15"/>
      <c r="UST68" s="15"/>
      <c r="USU68" s="15"/>
      <c r="USV68" s="15"/>
      <c r="USW68" s="15"/>
      <c r="USX68" s="15"/>
      <c r="USY68" s="15"/>
      <c r="USZ68" s="15"/>
      <c r="UTA68" s="15"/>
      <c r="UTB68" s="15"/>
      <c r="UTC68" s="15"/>
      <c r="UTD68" s="15"/>
      <c r="UTE68" s="15"/>
      <c r="UTF68" s="15"/>
      <c r="UTG68" s="15"/>
      <c r="UTH68" s="15"/>
      <c r="UTI68" s="15"/>
      <c r="UTJ68" s="15"/>
      <c r="UTK68" s="15"/>
      <c r="UTL68" s="15"/>
      <c r="UTM68" s="15"/>
      <c r="UTN68" s="15"/>
      <c r="UTO68" s="15"/>
      <c r="UTP68" s="15"/>
      <c r="UTQ68" s="15"/>
      <c r="UTR68" s="15"/>
      <c r="UTS68" s="15"/>
      <c r="UTT68" s="15"/>
      <c r="UTU68" s="15"/>
      <c r="UTV68" s="15"/>
      <c r="UTW68" s="15"/>
      <c r="UTX68" s="15"/>
      <c r="UTY68" s="15"/>
      <c r="UTZ68" s="15"/>
      <c r="UUA68" s="15"/>
      <c r="UUB68" s="15"/>
      <c r="UUC68" s="15"/>
      <c r="UUD68" s="15"/>
      <c r="UUE68" s="15"/>
      <c r="UUF68" s="15"/>
      <c r="UUG68" s="15"/>
      <c r="UUH68" s="15"/>
      <c r="UUI68" s="15"/>
      <c r="UUJ68" s="15"/>
      <c r="UUK68" s="15"/>
      <c r="UUL68" s="15"/>
      <c r="UUM68" s="15"/>
      <c r="UUN68" s="15"/>
      <c r="UUO68" s="15"/>
      <c r="UUP68" s="15"/>
      <c r="UUQ68" s="15"/>
      <c r="UUR68" s="15"/>
      <c r="UUS68" s="15"/>
      <c r="UUT68" s="15"/>
      <c r="UUU68" s="15"/>
      <c r="UUV68" s="15"/>
      <c r="UUW68" s="15"/>
      <c r="UUX68" s="15"/>
      <c r="UUY68" s="15"/>
      <c r="UUZ68" s="15"/>
      <c r="UVA68" s="15"/>
      <c r="UVB68" s="15"/>
      <c r="UVC68" s="15"/>
      <c r="UVD68" s="15"/>
      <c r="UVE68" s="15"/>
      <c r="UVF68" s="15"/>
      <c r="UVG68" s="15"/>
      <c r="UVH68" s="15"/>
      <c r="UVI68" s="15"/>
      <c r="UVJ68" s="15"/>
      <c r="UVK68" s="15"/>
      <c r="UVL68" s="15"/>
      <c r="UVM68" s="15"/>
      <c r="UVN68" s="15"/>
      <c r="UVO68" s="15"/>
      <c r="UVP68" s="15"/>
      <c r="UVQ68" s="15"/>
      <c r="UVR68" s="15"/>
      <c r="UVS68" s="15"/>
      <c r="UVT68" s="15"/>
      <c r="UVU68" s="15"/>
      <c r="UVV68" s="15"/>
      <c r="UVW68" s="15"/>
      <c r="UVX68" s="15"/>
      <c r="UVY68" s="15"/>
      <c r="UVZ68" s="15"/>
      <c r="UWA68" s="15"/>
      <c r="UWB68" s="15"/>
      <c r="UWC68" s="15"/>
      <c r="UWD68" s="15"/>
      <c r="UWE68" s="15"/>
      <c r="UWF68" s="15"/>
      <c r="UWG68" s="15"/>
      <c r="UWH68" s="15"/>
      <c r="UWI68" s="15"/>
      <c r="UWJ68" s="15"/>
      <c r="UWK68" s="15"/>
      <c r="UWL68" s="15"/>
      <c r="UWM68" s="15"/>
      <c r="UWN68" s="15"/>
      <c r="UWO68" s="15"/>
      <c r="UWP68" s="15"/>
      <c r="UWQ68" s="15"/>
      <c r="UWR68" s="15"/>
      <c r="UWS68" s="15"/>
      <c r="UWT68" s="15"/>
      <c r="UWU68" s="15"/>
      <c r="UWV68" s="15"/>
      <c r="UWW68" s="15"/>
      <c r="UWX68" s="15"/>
      <c r="UWY68" s="15"/>
      <c r="UWZ68" s="15"/>
      <c r="UXA68" s="15"/>
      <c r="UXB68" s="15"/>
      <c r="UXC68" s="15"/>
      <c r="UXD68" s="15"/>
      <c r="UXE68" s="15"/>
      <c r="UXF68" s="15"/>
      <c r="UXG68" s="15"/>
      <c r="UXH68" s="15"/>
      <c r="UXI68" s="15"/>
      <c r="UXJ68" s="15"/>
      <c r="UXK68" s="15"/>
      <c r="UXL68" s="15"/>
      <c r="UXM68" s="15"/>
      <c r="UXN68" s="15"/>
      <c r="UXO68" s="15"/>
      <c r="UXP68" s="15"/>
      <c r="UXQ68" s="15"/>
      <c r="UXR68" s="15"/>
      <c r="UXS68" s="15"/>
      <c r="UXT68" s="15"/>
      <c r="UXU68" s="15"/>
      <c r="UXV68" s="15"/>
      <c r="UXW68" s="15"/>
      <c r="UXX68" s="15"/>
      <c r="UXY68" s="15"/>
      <c r="UXZ68" s="15"/>
      <c r="UYA68" s="15"/>
      <c r="UYB68" s="15"/>
      <c r="UYC68" s="15"/>
      <c r="UYD68" s="15"/>
      <c r="UYE68" s="15"/>
      <c r="UYF68" s="15"/>
      <c r="UYG68" s="15"/>
      <c r="UYH68" s="15"/>
      <c r="UYI68" s="15"/>
      <c r="UYJ68" s="15"/>
      <c r="UYK68" s="15"/>
      <c r="UYL68" s="15"/>
      <c r="UYM68" s="15"/>
      <c r="UYN68" s="15"/>
      <c r="UYO68" s="15"/>
      <c r="UYP68" s="15"/>
      <c r="UYQ68" s="15"/>
      <c r="UYR68" s="15"/>
      <c r="UYS68" s="15"/>
      <c r="UYT68" s="15"/>
      <c r="UYU68" s="15"/>
      <c r="UYV68" s="15"/>
      <c r="UYW68" s="15"/>
      <c r="UYX68" s="15"/>
      <c r="UYY68" s="15"/>
      <c r="UYZ68" s="15"/>
      <c r="UZA68" s="15"/>
      <c r="UZB68" s="15"/>
      <c r="UZC68" s="15"/>
      <c r="UZD68" s="15"/>
      <c r="UZE68" s="15"/>
      <c r="UZF68" s="15"/>
      <c r="UZG68" s="15"/>
      <c r="UZH68" s="15"/>
      <c r="UZI68" s="15"/>
      <c r="UZJ68" s="15"/>
      <c r="UZK68" s="15"/>
      <c r="UZL68" s="15"/>
      <c r="UZM68" s="15"/>
      <c r="UZN68" s="15"/>
      <c r="UZO68" s="15"/>
      <c r="UZP68" s="15"/>
      <c r="UZQ68" s="15"/>
      <c r="UZR68" s="15"/>
      <c r="UZS68" s="15"/>
      <c r="UZT68" s="15"/>
      <c r="UZU68" s="15"/>
      <c r="UZV68" s="15"/>
      <c r="UZW68" s="15"/>
      <c r="UZX68" s="15"/>
      <c r="UZY68" s="15"/>
      <c r="UZZ68" s="15"/>
      <c r="VAA68" s="15"/>
      <c r="VAB68" s="15"/>
      <c r="VAC68" s="15"/>
      <c r="VAD68" s="15"/>
      <c r="VAE68" s="15"/>
      <c r="VAF68" s="15"/>
      <c r="VAG68" s="15"/>
      <c r="VAH68" s="15"/>
      <c r="VAI68" s="15"/>
      <c r="VAJ68" s="15"/>
      <c r="VAK68" s="15"/>
      <c r="VAL68" s="15"/>
      <c r="VAM68" s="15"/>
      <c r="VAN68" s="15"/>
      <c r="VAO68" s="15"/>
      <c r="VAP68" s="15"/>
      <c r="VAQ68" s="15"/>
      <c r="VAR68" s="15"/>
      <c r="VAS68" s="15"/>
      <c r="VAT68" s="15"/>
      <c r="VAU68" s="15"/>
      <c r="VAV68" s="15"/>
      <c r="VAW68" s="15"/>
      <c r="VAX68" s="15"/>
      <c r="VAY68" s="15"/>
      <c r="VAZ68" s="15"/>
      <c r="VBA68" s="15"/>
      <c r="VBB68" s="15"/>
      <c r="VBC68" s="15"/>
      <c r="VBD68" s="15"/>
      <c r="VBE68" s="15"/>
      <c r="VBF68" s="15"/>
      <c r="VBG68" s="15"/>
      <c r="VBH68" s="15"/>
      <c r="VBI68" s="15"/>
      <c r="VBJ68" s="15"/>
      <c r="VBK68" s="15"/>
      <c r="VBL68" s="15"/>
      <c r="VBM68" s="15"/>
      <c r="VBN68" s="15"/>
      <c r="VBO68" s="15"/>
      <c r="VBP68" s="15"/>
      <c r="VBQ68" s="15"/>
      <c r="VBR68" s="15"/>
      <c r="VBS68" s="15"/>
      <c r="VBT68" s="15"/>
      <c r="VBU68" s="15"/>
      <c r="VBV68" s="15"/>
      <c r="VBW68" s="15"/>
      <c r="VBX68" s="15"/>
      <c r="VBY68" s="15"/>
      <c r="VBZ68" s="15"/>
      <c r="VCA68" s="15"/>
      <c r="VCB68" s="15"/>
      <c r="VCC68" s="15"/>
      <c r="VCD68" s="15"/>
      <c r="VCE68" s="15"/>
      <c r="VCF68" s="15"/>
      <c r="VCG68" s="15"/>
      <c r="VCH68" s="15"/>
      <c r="VCI68" s="15"/>
      <c r="VCJ68" s="15"/>
      <c r="VCK68" s="15"/>
      <c r="VCL68" s="15"/>
      <c r="VCM68" s="15"/>
      <c r="VCN68" s="15"/>
      <c r="VCO68" s="15"/>
      <c r="VCP68" s="15"/>
      <c r="VCQ68" s="15"/>
      <c r="VCR68" s="15"/>
      <c r="VCS68" s="15"/>
      <c r="VCT68" s="15"/>
      <c r="VCU68" s="15"/>
      <c r="VCV68" s="15"/>
      <c r="VCW68" s="15"/>
      <c r="VCX68" s="15"/>
      <c r="VCY68" s="15"/>
      <c r="VCZ68" s="15"/>
      <c r="VDA68" s="15"/>
      <c r="VDB68" s="15"/>
      <c r="VDC68" s="15"/>
      <c r="VDD68" s="15"/>
      <c r="VDE68" s="15"/>
      <c r="VDF68" s="15"/>
      <c r="VDG68" s="15"/>
      <c r="VDH68" s="15"/>
      <c r="VDI68" s="15"/>
      <c r="VDJ68" s="15"/>
      <c r="VDK68" s="15"/>
      <c r="VDL68" s="15"/>
      <c r="VDM68" s="15"/>
      <c r="VDN68" s="15"/>
      <c r="VDO68" s="15"/>
      <c r="VDP68" s="15"/>
      <c r="VDQ68" s="15"/>
      <c r="VDR68" s="15"/>
      <c r="VDS68" s="15"/>
      <c r="VDT68" s="15"/>
      <c r="VDU68" s="15"/>
      <c r="VDV68" s="15"/>
      <c r="VDW68" s="15"/>
      <c r="VDX68" s="15"/>
      <c r="VDY68" s="15"/>
      <c r="VDZ68" s="15"/>
      <c r="VEA68" s="15"/>
      <c r="VEB68" s="15"/>
      <c r="VEC68" s="15"/>
      <c r="VED68" s="15"/>
      <c r="VEE68" s="15"/>
      <c r="VEF68" s="15"/>
      <c r="VEG68" s="15"/>
      <c r="VEH68" s="15"/>
      <c r="VEI68" s="15"/>
      <c r="VEJ68" s="15"/>
      <c r="VEK68" s="15"/>
      <c r="VEL68" s="15"/>
      <c r="VEM68" s="15"/>
      <c r="VEN68" s="15"/>
      <c r="VEO68" s="15"/>
      <c r="VEP68" s="15"/>
      <c r="VEQ68" s="15"/>
      <c r="VER68" s="15"/>
      <c r="VES68" s="15"/>
      <c r="VET68" s="15"/>
      <c r="VEU68" s="15"/>
      <c r="VEV68" s="15"/>
      <c r="VEW68" s="15"/>
      <c r="VEX68" s="15"/>
      <c r="VEY68" s="15"/>
      <c r="VEZ68" s="15"/>
      <c r="VFA68" s="15"/>
      <c r="VFB68" s="15"/>
      <c r="VFC68" s="15"/>
      <c r="VFD68" s="15"/>
      <c r="VFE68" s="15"/>
      <c r="VFF68" s="15"/>
      <c r="VFG68" s="15"/>
      <c r="VFH68" s="15"/>
      <c r="VFI68" s="15"/>
      <c r="VFJ68" s="15"/>
      <c r="VFK68" s="15"/>
      <c r="VFL68" s="15"/>
      <c r="VFM68" s="15"/>
      <c r="VFN68" s="15"/>
      <c r="VFO68" s="15"/>
      <c r="VFP68" s="15"/>
      <c r="VFQ68" s="15"/>
      <c r="VFR68" s="15"/>
      <c r="VFS68" s="15"/>
      <c r="VFT68" s="15"/>
      <c r="VFU68" s="15"/>
      <c r="VFV68" s="15"/>
      <c r="VFW68" s="15"/>
      <c r="VFX68" s="15"/>
      <c r="VFY68" s="15"/>
      <c r="VFZ68" s="15"/>
      <c r="VGA68" s="15"/>
      <c r="VGB68" s="15"/>
      <c r="VGC68" s="15"/>
      <c r="VGD68" s="15"/>
      <c r="VGE68" s="15"/>
      <c r="VGF68" s="15"/>
      <c r="VGG68" s="15"/>
      <c r="VGH68" s="15"/>
      <c r="VGI68" s="15"/>
      <c r="VGJ68" s="15"/>
      <c r="VGK68" s="15"/>
      <c r="VGL68" s="15"/>
      <c r="VGM68" s="15"/>
      <c r="VGN68" s="15"/>
      <c r="VGO68" s="15"/>
      <c r="VGP68" s="15"/>
      <c r="VGQ68" s="15"/>
      <c r="VGR68" s="15"/>
      <c r="VGS68" s="15"/>
      <c r="VGT68" s="15"/>
      <c r="VGU68" s="15"/>
      <c r="VGV68" s="15"/>
      <c r="VGW68" s="15"/>
      <c r="VGX68" s="15"/>
      <c r="VGY68" s="15"/>
      <c r="VGZ68" s="15"/>
      <c r="VHA68" s="15"/>
      <c r="VHB68" s="15"/>
      <c r="VHC68" s="15"/>
      <c r="VHD68" s="15"/>
      <c r="VHE68" s="15"/>
      <c r="VHF68" s="15"/>
      <c r="VHG68" s="15"/>
      <c r="VHH68" s="15"/>
      <c r="VHI68" s="15"/>
      <c r="VHJ68" s="15"/>
      <c r="VHK68" s="15"/>
      <c r="VHL68" s="15"/>
      <c r="VHM68" s="15"/>
      <c r="VHN68" s="15"/>
      <c r="VHO68" s="15"/>
      <c r="VHP68" s="15"/>
      <c r="VHQ68" s="15"/>
      <c r="VHR68" s="15"/>
      <c r="VHS68" s="15"/>
      <c r="VHT68" s="15"/>
      <c r="VHU68" s="15"/>
      <c r="VHV68" s="15"/>
      <c r="VHW68" s="15"/>
      <c r="VHX68" s="15"/>
      <c r="VHY68" s="15"/>
      <c r="VHZ68" s="15"/>
      <c r="VIA68" s="15"/>
      <c r="VIB68" s="15"/>
      <c r="VIC68" s="15"/>
      <c r="VID68" s="15"/>
      <c r="VIE68" s="15"/>
      <c r="VIF68" s="15"/>
      <c r="VIG68" s="15"/>
      <c r="VIH68" s="15"/>
      <c r="VII68" s="15"/>
      <c r="VIJ68" s="15"/>
      <c r="VIK68" s="15"/>
      <c r="VIL68" s="15"/>
      <c r="VIM68" s="15"/>
      <c r="VIN68" s="15"/>
      <c r="VIO68" s="15"/>
      <c r="VIP68" s="15"/>
      <c r="VIQ68" s="15"/>
      <c r="VIR68" s="15"/>
      <c r="VIS68" s="15"/>
      <c r="VIT68" s="15"/>
      <c r="VIU68" s="15"/>
      <c r="VIV68" s="15"/>
      <c r="VIW68" s="15"/>
      <c r="VIX68" s="15"/>
      <c r="VIY68" s="15"/>
      <c r="VIZ68" s="15"/>
      <c r="VJA68" s="15"/>
      <c r="VJB68" s="15"/>
      <c r="VJC68" s="15"/>
      <c r="VJD68" s="15"/>
      <c r="VJE68" s="15"/>
      <c r="VJF68" s="15"/>
      <c r="VJG68" s="15"/>
      <c r="VJH68" s="15"/>
      <c r="VJI68" s="15"/>
      <c r="VJJ68" s="15"/>
      <c r="VJK68" s="15"/>
      <c r="VJL68" s="15"/>
      <c r="VJM68" s="15"/>
      <c r="VJN68" s="15"/>
      <c r="VJO68" s="15"/>
      <c r="VJP68" s="15"/>
      <c r="VJQ68" s="15"/>
      <c r="VJR68" s="15"/>
      <c r="VJS68" s="15"/>
      <c r="VJT68" s="15"/>
      <c r="VJU68" s="15"/>
      <c r="VJV68" s="15"/>
      <c r="VJW68" s="15"/>
      <c r="VJX68" s="15"/>
      <c r="VJY68" s="15"/>
      <c r="VJZ68" s="15"/>
      <c r="VKA68" s="15"/>
      <c r="VKB68" s="15"/>
      <c r="VKC68" s="15"/>
      <c r="VKD68" s="15"/>
      <c r="VKE68" s="15"/>
      <c r="VKF68" s="15"/>
      <c r="VKG68" s="15"/>
      <c r="VKH68" s="15"/>
      <c r="VKI68" s="15"/>
      <c r="VKJ68" s="15"/>
      <c r="VKK68" s="15"/>
      <c r="VKL68" s="15"/>
      <c r="VKM68" s="15"/>
      <c r="VKN68" s="15"/>
      <c r="VKO68" s="15"/>
      <c r="VKP68" s="15"/>
      <c r="VKQ68" s="15"/>
      <c r="VKR68" s="15"/>
      <c r="VKS68" s="15"/>
      <c r="VKT68" s="15"/>
      <c r="VKU68" s="15"/>
      <c r="VKV68" s="15"/>
      <c r="VKW68" s="15"/>
      <c r="VKX68" s="15"/>
      <c r="VKY68" s="15"/>
      <c r="VKZ68" s="15"/>
      <c r="VLA68" s="15"/>
      <c r="VLB68" s="15"/>
      <c r="VLC68" s="15"/>
      <c r="VLD68" s="15"/>
      <c r="VLE68" s="15"/>
      <c r="VLF68" s="15"/>
      <c r="VLG68" s="15"/>
      <c r="VLH68" s="15"/>
      <c r="VLI68" s="15"/>
      <c r="VLJ68" s="15"/>
      <c r="VLK68" s="15"/>
      <c r="VLL68" s="15"/>
      <c r="VLM68" s="15"/>
      <c r="VLN68" s="15"/>
      <c r="VLO68" s="15"/>
      <c r="VLP68" s="15"/>
      <c r="VLQ68" s="15"/>
      <c r="VLR68" s="15"/>
      <c r="VLS68" s="15"/>
      <c r="VLT68" s="15"/>
      <c r="VLU68" s="15"/>
      <c r="VLV68" s="15"/>
      <c r="VLW68" s="15"/>
      <c r="VLX68" s="15"/>
      <c r="VLY68" s="15"/>
      <c r="VLZ68" s="15"/>
      <c r="VMA68" s="15"/>
      <c r="VMB68" s="15"/>
      <c r="VMC68" s="15"/>
      <c r="VMD68" s="15"/>
      <c r="VME68" s="15"/>
      <c r="VMF68" s="15"/>
      <c r="VMG68" s="15"/>
      <c r="VMH68" s="15"/>
      <c r="VMI68" s="15"/>
      <c r="VMJ68" s="15"/>
      <c r="VMK68" s="15"/>
      <c r="VML68" s="15"/>
      <c r="VMM68" s="15"/>
      <c r="VMN68" s="15"/>
      <c r="VMO68" s="15"/>
      <c r="VMP68" s="15"/>
      <c r="VMQ68" s="15"/>
      <c r="VMR68" s="15"/>
      <c r="VMS68" s="15"/>
      <c r="VMT68" s="15"/>
      <c r="VMU68" s="15"/>
      <c r="VMV68" s="15"/>
      <c r="VMW68" s="15"/>
      <c r="VMX68" s="15"/>
      <c r="VMY68" s="15"/>
      <c r="VMZ68" s="15"/>
      <c r="VNA68" s="15"/>
      <c r="VNB68" s="15"/>
      <c r="VNC68" s="15"/>
      <c r="VND68" s="15"/>
      <c r="VNE68" s="15"/>
      <c r="VNF68" s="15"/>
      <c r="VNG68" s="15"/>
      <c r="VNH68" s="15"/>
      <c r="VNI68" s="15"/>
      <c r="VNJ68" s="15"/>
      <c r="VNK68" s="15"/>
      <c r="VNL68" s="15"/>
      <c r="VNM68" s="15"/>
      <c r="VNN68" s="15"/>
      <c r="VNO68" s="15"/>
      <c r="VNP68" s="15"/>
      <c r="VNQ68" s="15"/>
      <c r="VNR68" s="15"/>
      <c r="VNS68" s="15"/>
      <c r="VNT68" s="15"/>
      <c r="VNU68" s="15"/>
      <c r="VNV68" s="15"/>
      <c r="VNW68" s="15"/>
      <c r="VNX68" s="15"/>
      <c r="VNY68" s="15"/>
      <c r="VNZ68" s="15"/>
      <c r="VOA68" s="15"/>
      <c r="VOB68" s="15"/>
      <c r="VOC68" s="15"/>
      <c r="VOD68" s="15"/>
      <c r="VOE68" s="15"/>
      <c r="VOF68" s="15"/>
      <c r="VOG68" s="15"/>
      <c r="VOH68" s="15"/>
      <c r="VOI68" s="15"/>
      <c r="VOJ68" s="15"/>
      <c r="VOK68" s="15"/>
      <c r="VOL68" s="15"/>
      <c r="VOM68" s="15"/>
      <c r="VON68" s="15"/>
      <c r="VOO68" s="15"/>
      <c r="VOP68" s="15"/>
      <c r="VOQ68" s="15"/>
      <c r="VOR68" s="15"/>
      <c r="VOS68" s="15"/>
      <c r="VOT68" s="15"/>
      <c r="VOU68" s="15"/>
      <c r="VOV68" s="15"/>
      <c r="VOW68" s="15"/>
      <c r="VOX68" s="15"/>
      <c r="VOY68" s="15"/>
      <c r="VOZ68" s="15"/>
      <c r="VPA68" s="15"/>
      <c r="VPB68" s="15"/>
      <c r="VPC68" s="15"/>
      <c r="VPD68" s="15"/>
      <c r="VPE68" s="15"/>
      <c r="VPF68" s="15"/>
      <c r="VPG68" s="15"/>
      <c r="VPH68" s="15"/>
      <c r="VPI68" s="15"/>
      <c r="VPJ68" s="15"/>
      <c r="VPK68" s="15"/>
      <c r="VPL68" s="15"/>
      <c r="VPM68" s="15"/>
      <c r="VPN68" s="15"/>
      <c r="VPO68" s="15"/>
      <c r="VPP68" s="15"/>
      <c r="VPQ68" s="15"/>
      <c r="VPR68" s="15"/>
      <c r="VPS68" s="15"/>
      <c r="VPT68" s="15"/>
      <c r="VPU68" s="15"/>
      <c r="VPV68" s="15"/>
      <c r="VPW68" s="15"/>
      <c r="VPX68" s="15"/>
      <c r="VPY68" s="15"/>
      <c r="VPZ68" s="15"/>
      <c r="VQA68" s="15"/>
      <c r="VQB68" s="15"/>
      <c r="VQC68" s="15"/>
      <c r="VQD68" s="15"/>
      <c r="VQE68" s="15"/>
      <c r="VQF68" s="15"/>
      <c r="VQG68" s="15"/>
      <c r="VQH68" s="15"/>
      <c r="VQI68" s="15"/>
      <c r="VQJ68" s="15"/>
      <c r="VQK68" s="15"/>
      <c r="VQL68" s="15"/>
      <c r="VQM68" s="15"/>
      <c r="VQN68" s="15"/>
      <c r="VQO68" s="15"/>
      <c r="VQP68" s="15"/>
      <c r="VQQ68" s="15"/>
      <c r="VQR68" s="15"/>
      <c r="VQS68" s="15"/>
      <c r="VQT68" s="15"/>
      <c r="VQU68" s="15"/>
      <c r="VQV68" s="15"/>
      <c r="VQW68" s="15"/>
      <c r="VQX68" s="15"/>
      <c r="VQY68" s="15"/>
      <c r="VQZ68" s="15"/>
      <c r="VRA68" s="15"/>
      <c r="VRB68" s="15"/>
      <c r="VRC68" s="15"/>
      <c r="VRD68" s="15"/>
      <c r="VRE68" s="15"/>
      <c r="VRF68" s="15"/>
      <c r="VRG68" s="15"/>
      <c r="VRH68" s="15"/>
      <c r="VRI68" s="15"/>
      <c r="VRJ68" s="15"/>
      <c r="VRK68" s="15"/>
      <c r="VRL68" s="15"/>
      <c r="VRM68" s="15"/>
      <c r="VRN68" s="15"/>
      <c r="VRO68" s="15"/>
      <c r="VRP68" s="15"/>
      <c r="VRQ68" s="15"/>
      <c r="VRR68" s="15"/>
      <c r="VRS68" s="15"/>
      <c r="VRT68" s="15"/>
      <c r="VRU68" s="15"/>
      <c r="VRV68" s="15"/>
      <c r="VRW68" s="15"/>
      <c r="VRX68" s="15"/>
      <c r="VRY68" s="15"/>
      <c r="VRZ68" s="15"/>
      <c r="VSA68" s="15"/>
      <c r="VSB68" s="15"/>
      <c r="VSC68" s="15"/>
      <c r="VSD68" s="15"/>
      <c r="VSE68" s="15"/>
      <c r="VSF68" s="15"/>
      <c r="VSG68" s="15"/>
      <c r="VSH68" s="15"/>
      <c r="VSI68" s="15"/>
      <c r="VSJ68" s="15"/>
      <c r="VSK68" s="15"/>
      <c r="VSL68" s="15"/>
      <c r="VSM68" s="15"/>
      <c r="VSN68" s="15"/>
      <c r="VSO68" s="15"/>
      <c r="VSP68" s="15"/>
      <c r="VSQ68" s="15"/>
      <c r="VSR68" s="15"/>
      <c r="VSS68" s="15"/>
      <c r="VST68" s="15"/>
      <c r="VSU68" s="15"/>
      <c r="VSV68" s="15"/>
      <c r="VSW68" s="15"/>
      <c r="VSX68" s="15"/>
      <c r="VSY68" s="15"/>
      <c r="VSZ68" s="15"/>
      <c r="VTA68" s="15"/>
      <c r="VTB68" s="15"/>
      <c r="VTC68" s="15"/>
      <c r="VTD68" s="15"/>
      <c r="VTE68" s="15"/>
      <c r="VTF68" s="15"/>
      <c r="VTG68" s="15"/>
      <c r="VTH68" s="15"/>
      <c r="VTI68" s="15"/>
      <c r="VTJ68" s="15"/>
      <c r="VTK68" s="15"/>
      <c r="VTL68" s="15"/>
      <c r="VTM68" s="15"/>
      <c r="VTN68" s="15"/>
      <c r="VTO68" s="15"/>
      <c r="VTP68" s="15"/>
      <c r="VTQ68" s="15"/>
      <c r="VTR68" s="15"/>
      <c r="VTS68" s="15"/>
      <c r="VTT68" s="15"/>
      <c r="VTU68" s="15"/>
      <c r="VTV68" s="15"/>
      <c r="VTW68" s="15"/>
      <c r="VTX68" s="15"/>
      <c r="VTY68" s="15"/>
      <c r="VTZ68" s="15"/>
      <c r="VUA68" s="15"/>
      <c r="VUB68" s="15"/>
      <c r="VUC68" s="15"/>
      <c r="VUD68" s="15"/>
      <c r="VUE68" s="15"/>
      <c r="VUF68" s="15"/>
      <c r="VUG68" s="15"/>
      <c r="VUH68" s="15"/>
      <c r="VUI68" s="15"/>
      <c r="VUJ68" s="15"/>
      <c r="VUK68" s="15"/>
      <c r="VUL68" s="15"/>
      <c r="VUM68" s="15"/>
      <c r="VUN68" s="15"/>
      <c r="VUO68" s="15"/>
      <c r="VUP68" s="15"/>
      <c r="VUQ68" s="15"/>
      <c r="VUR68" s="15"/>
      <c r="VUS68" s="15"/>
      <c r="VUT68" s="15"/>
      <c r="VUU68" s="15"/>
      <c r="VUV68" s="15"/>
      <c r="VUW68" s="15"/>
      <c r="VUX68" s="15"/>
      <c r="VUY68" s="15"/>
      <c r="VUZ68" s="15"/>
      <c r="VVA68" s="15"/>
      <c r="VVB68" s="15"/>
      <c r="VVC68" s="15"/>
      <c r="VVD68" s="15"/>
      <c r="VVE68" s="15"/>
      <c r="VVF68" s="15"/>
      <c r="VVG68" s="15"/>
      <c r="VVH68" s="15"/>
      <c r="VVI68" s="15"/>
      <c r="VVJ68" s="15"/>
      <c r="VVK68" s="15"/>
      <c r="VVL68" s="15"/>
      <c r="VVM68" s="15"/>
      <c r="VVN68" s="15"/>
      <c r="VVO68" s="15"/>
      <c r="VVP68" s="15"/>
      <c r="VVQ68" s="15"/>
      <c r="VVR68" s="15"/>
      <c r="VVS68" s="15"/>
      <c r="VVT68" s="15"/>
      <c r="VVU68" s="15"/>
      <c r="VVV68" s="15"/>
      <c r="VVW68" s="15"/>
      <c r="VVX68" s="15"/>
      <c r="VVY68" s="15"/>
      <c r="VVZ68" s="15"/>
      <c r="VWA68" s="15"/>
      <c r="VWB68" s="15"/>
      <c r="VWC68" s="15"/>
      <c r="VWD68" s="15"/>
      <c r="VWE68" s="15"/>
      <c r="VWF68" s="15"/>
      <c r="VWG68" s="15"/>
      <c r="VWH68" s="15"/>
      <c r="VWI68" s="15"/>
      <c r="VWJ68" s="15"/>
      <c r="VWK68" s="15"/>
      <c r="VWL68" s="15"/>
      <c r="VWM68" s="15"/>
      <c r="VWN68" s="15"/>
      <c r="VWO68" s="15"/>
      <c r="VWP68" s="15"/>
      <c r="VWQ68" s="15"/>
      <c r="VWR68" s="15"/>
      <c r="VWS68" s="15"/>
      <c r="VWT68" s="15"/>
      <c r="VWU68" s="15"/>
      <c r="VWV68" s="15"/>
      <c r="VWW68" s="15"/>
      <c r="VWX68" s="15"/>
      <c r="VWY68" s="15"/>
      <c r="VWZ68" s="15"/>
      <c r="VXA68" s="15"/>
      <c r="VXB68" s="15"/>
      <c r="VXC68" s="15"/>
      <c r="VXD68" s="15"/>
      <c r="VXE68" s="15"/>
      <c r="VXF68" s="15"/>
      <c r="VXG68" s="15"/>
      <c r="VXH68" s="15"/>
      <c r="VXI68" s="15"/>
      <c r="VXJ68" s="15"/>
      <c r="VXK68" s="15"/>
      <c r="VXL68" s="15"/>
      <c r="VXM68" s="15"/>
      <c r="VXN68" s="15"/>
      <c r="VXO68" s="15"/>
      <c r="VXP68" s="15"/>
      <c r="VXQ68" s="15"/>
      <c r="VXR68" s="15"/>
      <c r="VXS68" s="15"/>
      <c r="VXT68" s="15"/>
      <c r="VXU68" s="15"/>
      <c r="VXV68" s="15"/>
      <c r="VXW68" s="15"/>
      <c r="VXX68" s="15"/>
      <c r="VXY68" s="15"/>
      <c r="VXZ68" s="15"/>
      <c r="VYA68" s="15"/>
      <c r="VYB68" s="15"/>
      <c r="VYC68" s="15"/>
      <c r="VYD68" s="15"/>
      <c r="VYE68" s="15"/>
      <c r="VYF68" s="15"/>
      <c r="VYG68" s="15"/>
      <c r="VYH68" s="15"/>
      <c r="VYI68" s="15"/>
      <c r="VYJ68" s="15"/>
      <c r="VYK68" s="15"/>
      <c r="VYL68" s="15"/>
      <c r="VYM68" s="15"/>
      <c r="VYN68" s="15"/>
      <c r="VYO68" s="15"/>
      <c r="VYP68" s="15"/>
      <c r="VYQ68" s="15"/>
      <c r="VYR68" s="15"/>
      <c r="VYS68" s="15"/>
      <c r="VYT68" s="15"/>
      <c r="VYU68" s="15"/>
      <c r="VYV68" s="15"/>
      <c r="VYW68" s="15"/>
      <c r="VYX68" s="15"/>
      <c r="VYY68" s="15"/>
      <c r="VYZ68" s="15"/>
      <c r="VZA68" s="15"/>
      <c r="VZB68" s="15"/>
      <c r="VZC68" s="15"/>
      <c r="VZD68" s="15"/>
      <c r="VZE68" s="15"/>
      <c r="VZF68" s="15"/>
      <c r="VZG68" s="15"/>
      <c r="VZH68" s="15"/>
      <c r="VZI68" s="15"/>
      <c r="VZJ68" s="15"/>
      <c r="VZK68" s="15"/>
      <c r="VZL68" s="15"/>
      <c r="VZM68" s="15"/>
      <c r="VZN68" s="15"/>
      <c r="VZO68" s="15"/>
      <c r="VZP68" s="15"/>
      <c r="VZQ68" s="15"/>
      <c r="VZR68" s="15"/>
      <c r="VZS68" s="15"/>
      <c r="VZT68" s="15"/>
      <c r="VZU68" s="15"/>
      <c r="VZV68" s="15"/>
      <c r="VZW68" s="15"/>
      <c r="VZX68" s="15"/>
      <c r="VZY68" s="15"/>
      <c r="VZZ68" s="15"/>
      <c r="WAA68" s="15"/>
      <c r="WAB68" s="15"/>
      <c r="WAC68" s="15"/>
      <c r="WAD68" s="15"/>
      <c r="WAE68" s="15"/>
      <c r="WAF68" s="15"/>
      <c r="WAG68" s="15"/>
      <c r="WAH68" s="15"/>
      <c r="WAI68" s="15"/>
      <c r="WAJ68" s="15"/>
      <c r="WAK68" s="15"/>
      <c r="WAL68" s="15"/>
      <c r="WAM68" s="15"/>
      <c r="WAN68" s="15"/>
      <c r="WAO68" s="15"/>
      <c r="WAP68" s="15"/>
      <c r="WAQ68" s="15"/>
      <c r="WAR68" s="15"/>
      <c r="WAS68" s="15"/>
      <c r="WAT68" s="15"/>
      <c r="WAU68" s="15"/>
      <c r="WAV68" s="15"/>
      <c r="WAW68" s="15"/>
      <c r="WAX68" s="15"/>
      <c r="WAY68" s="15"/>
      <c r="WAZ68" s="15"/>
      <c r="WBA68" s="15"/>
      <c r="WBB68" s="15"/>
      <c r="WBC68" s="15"/>
      <c r="WBD68" s="15"/>
      <c r="WBE68" s="15"/>
      <c r="WBF68" s="15"/>
      <c r="WBG68" s="15"/>
      <c r="WBH68" s="15"/>
      <c r="WBI68" s="15"/>
      <c r="WBJ68" s="15"/>
      <c r="WBK68" s="15"/>
      <c r="WBL68" s="15"/>
      <c r="WBM68" s="15"/>
      <c r="WBN68" s="15"/>
      <c r="WBO68" s="15"/>
      <c r="WBP68" s="15"/>
      <c r="WBQ68" s="15"/>
      <c r="WBR68" s="15"/>
      <c r="WBS68" s="15"/>
      <c r="WBT68" s="15"/>
      <c r="WBU68" s="15"/>
      <c r="WBV68" s="15"/>
      <c r="WBW68" s="15"/>
      <c r="WBX68" s="15"/>
      <c r="WBY68" s="15"/>
      <c r="WBZ68" s="15"/>
      <c r="WCA68" s="15"/>
      <c r="WCB68" s="15"/>
      <c r="WCC68" s="15"/>
      <c r="WCD68" s="15"/>
      <c r="WCE68" s="15"/>
      <c r="WCF68" s="15"/>
      <c r="WCG68" s="15"/>
      <c r="WCH68" s="15"/>
      <c r="WCI68" s="15"/>
      <c r="WCJ68" s="15"/>
      <c r="WCK68" s="15"/>
      <c r="WCL68" s="15"/>
      <c r="WCM68" s="15"/>
      <c r="WCN68" s="15"/>
      <c r="WCO68" s="15"/>
      <c r="WCP68" s="15"/>
      <c r="WCQ68" s="15"/>
      <c r="WCR68" s="15"/>
      <c r="WCS68" s="15"/>
      <c r="WCT68" s="15"/>
      <c r="WCU68" s="15"/>
      <c r="WCV68" s="15"/>
      <c r="WCW68" s="15"/>
      <c r="WCX68" s="15"/>
      <c r="WCY68" s="15"/>
      <c r="WCZ68" s="15"/>
      <c r="WDA68" s="15"/>
      <c r="WDB68" s="15"/>
      <c r="WDC68" s="15"/>
      <c r="WDD68" s="15"/>
      <c r="WDE68" s="15"/>
      <c r="WDF68" s="15"/>
      <c r="WDG68" s="15"/>
      <c r="WDH68" s="15"/>
      <c r="WDI68" s="15"/>
      <c r="WDJ68" s="15"/>
      <c r="WDK68" s="15"/>
      <c r="WDL68" s="15"/>
      <c r="WDM68" s="15"/>
      <c r="WDN68" s="15"/>
      <c r="WDO68" s="15"/>
      <c r="WDP68" s="15"/>
      <c r="WDQ68" s="15"/>
      <c r="WDR68" s="15"/>
      <c r="WDS68" s="15"/>
      <c r="WDT68" s="15"/>
      <c r="WDU68" s="15"/>
      <c r="WDV68" s="15"/>
      <c r="WDW68" s="15"/>
      <c r="WDX68" s="15"/>
      <c r="WDY68" s="15"/>
      <c r="WDZ68" s="15"/>
      <c r="WEA68" s="15"/>
      <c r="WEB68" s="15"/>
      <c r="WEC68" s="15"/>
      <c r="WED68" s="15"/>
      <c r="WEE68" s="15"/>
      <c r="WEF68" s="15"/>
      <c r="WEG68" s="15"/>
      <c r="WEH68" s="15"/>
      <c r="WEI68" s="15"/>
      <c r="WEJ68" s="15"/>
      <c r="WEK68" s="15"/>
      <c r="WEL68" s="15"/>
      <c r="WEM68" s="15"/>
      <c r="WEN68" s="15"/>
      <c r="WEO68" s="15"/>
      <c r="WEP68" s="15"/>
      <c r="WEQ68" s="15"/>
      <c r="WER68" s="15"/>
      <c r="WES68" s="15"/>
      <c r="WET68" s="15"/>
      <c r="WEU68" s="15"/>
      <c r="WEV68" s="15"/>
      <c r="WEW68" s="15"/>
      <c r="WEX68" s="15"/>
      <c r="WEY68" s="15"/>
      <c r="WEZ68" s="15"/>
      <c r="WFA68" s="15"/>
      <c r="WFB68" s="15"/>
      <c r="WFC68" s="15"/>
      <c r="WFD68" s="15"/>
      <c r="WFE68" s="15"/>
      <c r="WFF68" s="15"/>
      <c r="WFG68" s="15"/>
      <c r="WFH68" s="15"/>
      <c r="WFI68" s="15"/>
      <c r="WFJ68" s="15"/>
      <c r="WFK68" s="15"/>
      <c r="WFL68" s="15"/>
      <c r="WFM68" s="15"/>
      <c r="WFN68" s="15"/>
      <c r="WFO68" s="15"/>
      <c r="WFP68" s="15"/>
      <c r="WFQ68" s="15"/>
      <c r="WFR68" s="15"/>
      <c r="WFS68" s="15"/>
      <c r="WFT68" s="15"/>
      <c r="WFU68" s="15"/>
      <c r="WFV68" s="15"/>
      <c r="WFW68" s="15"/>
      <c r="WFX68" s="15"/>
      <c r="WFY68" s="15"/>
      <c r="WFZ68" s="15"/>
      <c r="WGA68" s="15"/>
      <c r="WGB68" s="15"/>
      <c r="WGC68" s="15"/>
      <c r="WGD68" s="15"/>
      <c r="WGE68" s="15"/>
      <c r="WGF68" s="15"/>
      <c r="WGG68" s="15"/>
      <c r="WGH68" s="15"/>
      <c r="WGI68" s="15"/>
      <c r="WGJ68" s="15"/>
      <c r="WGK68" s="15"/>
      <c r="WGL68" s="15"/>
      <c r="WGM68" s="15"/>
      <c r="WGN68" s="15"/>
      <c r="WGO68" s="15"/>
      <c r="WGP68" s="15"/>
      <c r="WGQ68" s="15"/>
      <c r="WGR68" s="15"/>
      <c r="WGS68" s="15"/>
      <c r="WGT68" s="15"/>
      <c r="WGU68" s="15"/>
      <c r="WGV68" s="15"/>
      <c r="WGW68" s="15"/>
      <c r="WGX68" s="15"/>
      <c r="WGY68" s="15"/>
      <c r="WGZ68" s="15"/>
      <c r="WHA68" s="15"/>
      <c r="WHB68" s="15"/>
      <c r="WHC68" s="15"/>
      <c r="WHD68" s="15"/>
      <c r="WHE68" s="15"/>
      <c r="WHF68" s="15"/>
      <c r="WHG68" s="15"/>
      <c r="WHH68" s="15"/>
      <c r="WHI68" s="15"/>
      <c r="WHJ68" s="15"/>
      <c r="WHK68" s="15"/>
      <c r="WHL68" s="15"/>
      <c r="WHM68" s="15"/>
      <c r="WHN68" s="15"/>
      <c r="WHO68" s="15"/>
      <c r="WHP68" s="15"/>
      <c r="WHQ68" s="15"/>
      <c r="WHR68" s="15"/>
      <c r="WHS68" s="15"/>
      <c r="WHT68" s="15"/>
      <c r="WHU68" s="15"/>
      <c r="WHV68" s="15"/>
      <c r="WHW68" s="15"/>
      <c r="WHX68" s="15"/>
      <c r="WHY68" s="15"/>
      <c r="WHZ68" s="15"/>
      <c r="WIA68" s="15"/>
      <c r="WIB68" s="15"/>
      <c r="WIC68" s="15"/>
      <c r="WID68" s="15"/>
      <c r="WIE68" s="15"/>
      <c r="WIF68" s="15"/>
      <c r="WIG68" s="15"/>
      <c r="WIH68" s="15"/>
      <c r="WII68" s="15"/>
      <c r="WIJ68" s="15"/>
      <c r="WIK68" s="15"/>
      <c r="WIL68" s="15"/>
      <c r="WIM68" s="15"/>
      <c r="WIN68" s="15"/>
      <c r="WIO68" s="15"/>
      <c r="WIP68" s="15"/>
      <c r="WIQ68" s="15"/>
      <c r="WIR68" s="15"/>
      <c r="WIS68" s="15"/>
      <c r="WIT68" s="15"/>
      <c r="WIU68" s="15"/>
      <c r="WIV68" s="15"/>
      <c r="WIW68" s="15"/>
      <c r="WIX68" s="15"/>
      <c r="WIY68" s="15"/>
      <c r="WIZ68" s="15"/>
      <c r="WJA68" s="15"/>
      <c r="WJB68" s="15"/>
      <c r="WJC68" s="15"/>
      <c r="WJD68" s="15"/>
      <c r="WJE68" s="15"/>
      <c r="WJF68" s="15"/>
      <c r="WJG68" s="15"/>
      <c r="WJH68" s="15"/>
      <c r="WJI68" s="15"/>
      <c r="WJJ68" s="15"/>
      <c r="WJK68" s="15"/>
      <c r="WJL68" s="15"/>
      <c r="WJM68" s="15"/>
      <c r="WJN68" s="15"/>
      <c r="WJO68" s="15"/>
      <c r="WJP68" s="15"/>
      <c r="WJQ68" s="15"/>
      <c r="WJR68" s="15"/>
      <c r="WJS68" s="15"/>
      <c r="WJT68" s="15"/>
      <c r="WJU68" s="15"/>
      <c r="WJV68" s="15"/>
      <c r="WJW68" s="15"/>
      <c r="WJX68" s="15"/>
      <c r="WJY68" s="15"/>
      <c r="WJZ68" s="15"/>
      <c r="WKA68" s="15"/>
      <c r="WKB68" s="15"/>
      <c r="WKC68" s="15"/>
      <c r="WKD68" s="15"/>
      <c r="WKE68" s="15"/>
      <c r="WKF68" s="15"/>
      <c r="WKG68" s="15"/>
      <c r="WKH68" s="15"/>
      <c r="WKI68" s="15"/>
      <c r="WKJ68" s="15"/>
      <c r="WKK68" s="15"/>
      <c r="WKL68" s="15"/>
      <c r="WKM68" s="15"/>
      <c r="WKN68" s="15"/>
      <c r="WKO68" s="15"/>
      <c r="WKP68" s="15"/>
      <c r="WKQ68" s="15"/>
      <c r="WKR68" s="15"/>
      <c r="WKS68" s="15"/>
      <c r="WKT68" s="15"/>
      <c r="WKU68" s="15"/>
      <c r="WKV68" s="15"/>
      <c r="WKW68" s="15"/>
      <c r="WKX68" s="15"/>
      <c r="WKY68" s="15"/>
      <c r="WKZ68" s="15"/>
      <c r="WLA68" s="15"/>
      <c r="WLB68" s="15"/>
      <c r="WLC68" s="15"/>
      <c r="WLD68" s="15"/>
      <c r="WLE68" s="15"/>
      <c r="WLF68" s="15"/>
      <c r="WLG68" s="15"/>
      <c r="WLH68" s="15"/>
      <c r="WLI68" s="15"/>
      <c r="WLJ68" s="15"/>
      <c r="WLK68" s="15"/>
      <c r="WLL68" s="15"/>
      <c r="WLM68" s="15"/>
      <c r="WLN68" s="15"/>
      <c r="WLO68" s="15"/>
      <c r="WLP68" s="15"/>
      <c r="WLQ68" s="15"/>
      <c r="WLR68" s="15"/>
      <c r="WLS68" s="15"/>
      <c r="WLT68" s="15"/>
      <c r="WLU68" s="15"/>
      <c r="WLV68" s="15"/>
      <c r="WLW68" s="15"/>
      <c r="WLX68" s="15"/>
      <c r="WLY68" s="15"/>
      <c r="WLZ68" s="15"/>
      <c r="WMA68" s="15"/>
      <c r="WMB68" s="15"/>
      <c r="WMC68" s="15"/>
      <c r="WMD68" s="15"/>
      <c r="WME68" s="15"/>
      <c r="WMF68" s="15"/>
      <c r="WMG68" s="15"/>
      <c r="WMH68" s="15"/>
      <c r="WMI68" s="15"/>
      <c r="WMJ68" s="15"/>
      <c r="WMK68" s="15"/>
      <c r="WML68" s="15"/>
      <c r="WMM68" s="15"/>
      <c r="WMN68" s="15"/>
      <c r="WMO68" s="15"/>
      <c r="WMP68" s="15"/>
      <c r="WMQ68" s="15"/>
      <c r="WMR68" s="15"/>
      <c r="WMS68" s="15"/>
      <c r="WMT68" s="15"/>
      <c r="WMU68" s="15"/>
      <c r="WMV68" s="15"/>
      <c r="WMW68" s="15"/>
      <c r="WMX68" s="15"/>
      <c r="WMY68" s="15"/>
      <c r="WMZ68" s="15"/>
      <c r="WNA68" s="15"/>
      <c r="WNB68" s="15"/>
      <c r="WNC68" s="15"/>
      <c r="WND68" s="15"/>
      <c r="WNE68" s="15"/>
      <c r="WNF68" s="15"/>
      <c r="WNG68" s="15"/>
      <c r="WNH68" s="15"/>
      <c r="WNI68" s="15"/>
      <c r="WNJ68" s="15"/>
      <c r="WNK68" s="15"/>
      <c r="WNL68" s="15"/>
      <c r="WNM68" s="15"/>
      <c r="WNN68" s="15"/>
      <c r="WNO68" s="15"/>
      <c r="WNP68" s="15"/>
      <c r="WNQ68" s="15"/>
      <c r="WNR68" s="15"/>
      <c r="WNS68" s="15"/>
      <c r="WNT68" s="15"/>
      <c r="WNU68" s="15"/>
      <c r="WNV68" s="15"/>
      <c r="WNW68" s="15"/>
      <c r="WNX68" s="15"/>
      <c r="WNY68" s="15"/>
      <c r="WNZ68" s="15"/>
      <c r="WOA68" s="15"/>
      <c r="WOB68" s="15"/>
      <c r="WOC68" s="15"/>
      <c r="WOD68" s="15"/>
      <c r="WOE68" s="15"/>
      <c r="WOF68" s="15"/>
      <c r="WOG68" s="15"/>
      <c r="WOH68" s="15"/>
      <c r="WOI68" s="15"/>
      <c r="WOJ68" s="15"/>
      <c r="WOK68" s="15"/>
      <c r="WOL68" s="15"/>
      <c r="WOM68" s="15"/>
      <c r="WON68" s="15"/>
      <c r="WOO68" s="15"/>
      <c r="WOP68" s="15"/>
      <c r="WOQ68" s="15"/>
      <c r="WOR68" s="15"/>
      <c r="WOS68" s="15"/>
      <c r="WOT68" s="15"/>
      <c r="WOU68" s="15"/>
      <c r="WOV68" s="15"/>
      <c r="WOW68" s="15"/>
      <c r="WOX68" s="15"/>
      <c r="WOY68" s="15"/>
      <c r="WOZ68" s="15"/>
      <c r="WPA68" s="15"/>
      <c r="WPB68" s="15"/>
      <c r="WPC68" s="15"/>
      <c r="WPD68" s="15"/>
      <c r="WPE68" s="15"/>
      <c r="WPF68" s="15"/>
      <c r="WPG68" s="15"/>
      <c r="WPH68" s="15"/>
      <c r="WPI68" s="15"/>
      <c r="WPJ68" s="15"/>
      <c r="WPK68" s="15"/>
      <c r="WPL68" s="15"/>
      <c r="WPM68" s="15"/>
      <c r="WPN68" s="15"/>
      <c r="WPO68" s="15"/>
      <c r="WPP68" s="15"/>
      <c r="WPQ68" s="15"/>
      <c r="WPR68" s="15"/>
      <c r="WPS68" s="15"/>
      <c r="WPT68" s="15"/>
      <c r="WPU68" s="15"/>
      <c r="WPV68" s="15"/>
      <c r="WPW68" s="15"/>
      <c r="WPX68" s="15"/>
      <c r="WPY68" s="15"/>
      <c r="WPZ68" s="15"/>
      <c r="WQA68" s="15"/>
      <c r="WQB68" s="15"/>
      <c r="WQC68" s="15"/>
      <c r="WQD68" s="15"/>
      <c r="WQE68" s="15"/>
      <c r="WQF68" s="15"/>
      <c r="WQG68" s="15"/>
      <c r="WQH68" s="15"/>
      <c r="WQI68" s="15"/>
      <c r="WQJ68" s="15"/>
      <c r="WQK68" s="15"/>
      <c r="WQL68" s="15"/>
      <c r="WQM68" s="15"/>
      <c r="WQN68" s="15"/>
      <c r="WQO68" s="15"/>
      <c r="WQP68" s="15"/>
      <c r="WQQ68" s="15"/>
      <c r="WQR68" s="15"/>
      <c r="WQS68" s="15"/>
      <c r="WQT68" s="15"/>
      <c r="WQU68" s="15"/>
      <c r="WQV68" s="15"/>
      <c r="WQW68" s="15"/>
      <c r="WQX68" s="15"/>
      <c r="WQY68" s="15"/>
      <c r="WQZ68" s="15"/>
      <c r="WRA68" s="15"/>
      <c r="WRB68" s="15"/>
      <c r="WRC68" s="15"/>
      <c r="WRD68" s="15"/>
      <c r="WRE68" s="15"/>
      <c r="WRF68" s="15"/>
      <c r="WRG68" s="15"/>
      <c r="WRH68" s="15"/>
      <c r="WRI68" s="15"/>
      <c r="WRJ68" s="15"/>
      <c r="WRK68" s="15"/>
      <c r="WRL68" s="15"/>
      <c r="WRM68" s="15"/>
      <c r="WRN68" s="15"/>
      <c r="WRO68" s="15"/>
      <c r="WRP68" s="15"/>
      <c r="WRQ68" s="15"/>
      <c r="WRR68" s="15"/>
      <c r="WRS68" s="15"/>
      <c r="WRT68" s="15"/>
      <c r="WRU68" s="15"/>
      <c r="WRV68" s="15"/>
      <c r="WRW68" s="15"/>
      <c r="WRX68" s="15"/>
      <c r="WRY68" s="15"/>
      <c r="WRZ68" s="15"/>
      <c r="WSA68" s="15"/>
      <c r="WSB68" s="15"/>
      <c r="WSC68" s="15"/>
      <c r="WSD68" s="15"/>
      <c r="WSE68" s="15"/>
      <c r="WSF68" s="15"/>
      <c r="WSG68" s="15"/>
      <c r="WSH68" s="15"/>
      <c r="WSI68" s="15"/>
      <c r="WSJ68" s="15"/>
      <c r="WSK68" s="15"/>
      <c r="WSL68" s="15"/>
      <c r="WSM68" s="15"/>
      <c r="WSN68" s="15"/>
      <c r="WSO68" s="15"/>
      <c r="WSP68" s="15"/>
      <c r="WSQ68" s="15"/>
      <c r="WSR68" s="15"/>
      <c r="WSS68" s="15"/>
      <c r="WST68" s="15"/>
      <c r="WSU68" s="15"/>
      <c r="WSV68" s="15"/>
      <c r="WSW68" s="15"/>
      <c r="WSX68" s="15"/>
      <c r="WSY68" s="15"/>
      <c r="WSZ68" s="15"/>
      <c r="WTA68" s="15"/>
      <c r="WTB68" s="15"/>
      <c r="WTC68" s="15"/>
      <c r="WTD68" s="15"/>
      <c r="WTE68" s="15"/>
      <c r="WTF68" s="15"/>
      <c r="WTG68" s="15"/>
      <c r="WTH68" s="15"/>
      <c r="WTI68" s="15"/>
      <c r="WTJ68" s="15"/>
      <c r="WTK68" s="15"/>
      <c r="WTL68" s="15"/>
      <c r="WTM68" s="15"/>
      <c r="WTN68" s="15"/>
      <c r="WTO68" s="15"/>
      <c r="WTP68" s="15"/>
      <c r="WTQ68" s="15"/>
      <c r="WTR68" s="15"/>
      <c r="WTS68" s="15"/>
      <c r="WTT68" s="15"/>
      <c r="WTU68" s="15"/>
      <c r="WTV68" s="15"/>
      <c r="WTW68" s="15"/>
      <c r="WTX68" s="15"/>
      <c r="WTY68" s="15"/>
      <c r="WTZ68" s="15"/>
      <c r="WUA68" s="15"/>
      <c r="WUB68" s="15"/>
      <c r="WUC68" s="15"/>
      <c r="WUD68" s="15"/>
      <c r="WUE68" s="15"/>
      <c r="WUF68" s="15"/>
      <c r="WUG68" s="15"/>
      <c r="WUH68" s="15"/>
      <c r="WUI68" s="15"/>
      <c r="WUJ68" s="15"/>
      <c r="WUK68" s="15"/>
      <c r="WUL68" s="15"/>
      <c r="WUM68" s="15"/>
      <c r="WUN68" s="15"/>
      <c r="WUO68" s="15"/>
      <c r="WUP68" s="15"/>
      <c r="WUQ68" s="15"/>
      <c r="WUR68" s="15"/>
      <c r="WUS68" s="15"/>
      <c r="WUT68" s="15"/>
      <c r="WUU68" s="15"/>
      <c r="WUV68" s="15"/>
      <c r="WUW68" s="15"/>
      <c r="WUX68" s="15"/>
      <c r="WUY68" s="15"/>
      <c r="WUZ68" s="15"/>
      <c r="WVA68" s="15"/>
      <c r="WVB68" s="15"/>
      <c r="WVC68" s="15"/>
      <c r="WVD68" s="15"/>
      <c r="WVE68" s="15"/>
      <c r="WVF68" s="15"/>
      <c r="WVG68" s="15"/>
      <c r="WVH68" s="15"/>
      <c r="WVI68" s="15"/>
      <c r="WVJ68" s="15"/>
      <c r="WVK68" s="15"/>
      <c r="WVL68" s="15"/>
      <c r="WVM68" s="15"/>
      <c r="WVN68" s="15"/>
      <c r="WVO68" s="15"/>
      <c r="WVP68" s="15"/>
      <c r="WVQ68" s="15"/>
      <c r="WVR68" s="15"/>
      <c r="WVS68" s="15"/>
      <c r="WVT68" s="15"/>
      <c r="WVU68" s="15"/>
      <c r="WVV68" s="15"/>
      <c r="WVW68" s="15"/>
      <c r="WVX68" s="15"/>
      <c r="WVY68" s="15"/>
      <c r="WVZ68" s="15"/>
      <c r="WWA68" s="15"/>
      <c r="WWB68" s="15"/>
      <c r="WWC68" s="15"/>
      <c r="WWD68" s="15"/>
      <c r="WWE68" s="15"/>
      <c r="WWF68" s="15"/>
      <c r="WWG68" s="15"/>
      <c r="WWH68" s="15"/>
      <c r="WWI68" s="15"/>
      <c r="WWJ68" s="15"/>
      <c r="WWK68" s="15"/>
      <c r="WWL68" s="15"/>
      <c r="WWM68" s="15"/>
      <c r="WWN68" s="15"/>
      <c r="WWO68" s="15"/>
      <c r="WWP68" s="15"/>
      <c r="WWQ68" s="15"/>
      <c r="WWR68" s="15"/>
      <c r="WWS68" s="15"/>
      <c r="WWT68" s="15"/>
      <c r="WWU68" s="15"/>
      <c r="WWV68" s="15"/>
      <c r="WWW68" s="15"/>
      <c r="WWX68" s="15"/>
      <c r="WWY68" s="15"/>
      <c r="WWZ68" s="15"/>
      <c r="WXA68" s="15"/>
      <c r="WXB68" s="15"/>
      <c r="WXC68" s="15"/>
      <c r="WXD68" s="15"/>
      <c r="WXE68" s="15"/>
      <c r="WXF68" s="15"/>
      <c r="WXG68" s="15"/>
      <c r="WXH68" s="15"/>
      <c r="WXI68" s="15"/>
      <c r="WXJ68" s="15"/>
      <c r="WXK68" s="15"/>
      <c r="WXL68" s="15"/>
      <c r="WXM68" s="15"/>
      <c r="WXN68" s="15"/>
      <c r="WXO68" s="15"/>
      <c r="WXP68" s="15"/>
      <c r="WXQ68" s="15"/>
      <c r="WXR68" s="15"/>
      <c r="WXS68" s="15"/>
      <c r="WXT68" s="15"/>
      <c r="WXU68" s="15"/>
      <c r="WXV68" s="15"/>
      <c r="WXW68" s="15"/>
      <c r="WXX68" s="15"/>
      <c r="WXY68" s="15"/>
      <c r="WXZ68" s="15"/>
      <c r="WYA68" s="15"/>
      <c r="WYB68" s="15"/>
      <c r="WYC68" s="15"/>
      <c r="WYD68" s="15"/>
      <c r="WYE68" s="15"/>
      <c r="WYF68" s="15"/>
      <c r="WYG68" s="15"/>
      <c r="WYH68" s="15"/>
      <c r="WYI68" s="15"/>
      <c r="WYJ68" s="15"/>
      <c r="WYK68" s="15"/>
      <c r="WYL68" s="15"/>
      <c r="WYM68" s="15"/>
      <c r="WYN68" s="15"/>
      <c r="WYO68" s="15"/>
      <c r="WYP68" s="15"/>
      <c r="WYQ68" s="15"/>
      <c r="WYR68" s="15"/>
      <c r="WYS68" s="15"/>
      <c r="WYT68" s="15"/>
      <c r="WYU68" s="15"/>
      <c r="WYV68" s="15"/>
      <c r="WYW68" s="15"/>
      <c r="WYX68" s="15"/>
      <c r="WYY68" s="15"/>
      <c r="WYZ68" s="15"/>
      <c r="WZA68" s="15"/>
      <c r="WZB68" s="15"/>
      <c r="WZC68" s="15"/>
      <c r="WZD68" s="15"/>
      <c r="WZE68" s="15"/>
      <c r="WZF68" s="15"/>
      <c r="WZG68" s="15"/>
      <c r="WZH68" s="15"/>
      <c r="WZI68" s="15"/>
      <c r="WZJ68" s="15"/>
      <c r="WZK68" s="15"/>
      <c r="WZL68" s="15"/>
      <c r="WZM68" s="15"/>
      <c r="WZN68" s="15"/>
      <c r="WZO68" s="15"/>
      <c r="WZP68" s="15"/>
      <c r="WZQ68" s="15"/>
      <c r="WZR68" s="15"/>
      <c r="WZS68" s="15"/>
      <c r="WZT68" s="15"/>
      <c r="WZU68" s="15"/>
      <c r="WZV68" s="15"/>
      <c r="WZW68" s="15"/>
      <c r="WZX68" s="15"/>
      <c r="WZY68" s="15"/>
      <c r="WZZ68" s="15"/>
      <c r="XAA68" s="15"/>
      <c r="XAB68" s="15"/>
      <c r="XAC68" s="15"/>
      <c r="XAD68" s="15"/>
      <c r="XAE68" s="15"/>
      <c r="XAF68" s="15"/>
      <c r="XAG68" s="15"/>
      <c r="XAH68" s="15"/>
      <c r="XAI68" s="15"/>
      <c r="XAJ68" s="15"/>
      <c r="XAK68" s="15"/>
      <c r="XAL68" s="15"/>
      <c r="XAM68" s="15"/>
      <c r="XAN68" s="15"/>
      <c r="XAO68" s="15"/>
      <c r="XAP68" s="15"/>
      <c r="XAQ68" s="15"/>
      <c r="XAR68" s="15"/>
      <c r="XAS68" s="15"/>
      <c r="XAT68" s="15"/>
      <c r="XAU68" s="15"/>
      <c r="XAV68" s="15"/>
      <c r="XAW68" s="15"/>
      <c r="XAX68" s="15"/>
      <c r="XAY68" s="15"/>
      <c r="XAZ68" s="15"/>
      <c r="XBA68" s="15"/>
      <c r="XBB68" s="15"/>
      <c r="XBC68" s="15"/>
      <c r="XBD68" s="15"/>
      <c r="XBE68" s="15"/>
      <c r="XBF68" s="15"/>
      <c r="XBG68" s="15"/>
      <c r="XBH68" s="15"/>
      <c r="XBI68" s="15"/>
      <c r="XBJ68" s="15"/>
      <c r="XBK68" s="15"/>
      <c r="XBL68" s="15"/>
      <c r="XBM68" s="15"/>
      <c r="XBN68" s="15"/>
      <c r="XBO68" s="15"/>
      <c r="XBP68" s="15"/>
      <c r="XBQ68" s="15"/>
      <c r="XBR68" s="15"/>
      <c r="XBS68" s="15"/>
      <c r="XBT68" s="15"/>
      <c r="XBU68" s="15"/>
      <c r="XBV68" s="15"/>
      <c r="XBW68" s="15"/>
      <c r="XBX68" s="15"/>
      <c r="XBY68" s="15"/>
      <c r="XBZ68" s="15"/>
      <c r="XCA68" s="15"/>
      <c r="XCB68" s="15"/>
      <c r="XCC68" s="15"/>
      <c r="XCD68" s="15"/>
      <c r="XCE68" s="15"/>
      <c r="XCF68" s="15"/>
      <c r="XCG68" s="15"/>
      <c r="XCH68" s="15"/>
      <c r="XCI68" s="15"/>
      <c r="XCJ68" s="15"/>
      <c r="XCK68" s="15"/>
      <c r="XCL68" s="15"/>
      <c r="XCM68" s="15"/>
      <c r="XCN68" s="15"/>
      <c r="XCO68" s="15"/>
      <c r="XCP68" s="15"/>
      <c r="XCQ68" s="15"/>
      <c r="XCR68" s="15"/>
      <c r="XCS68" s="15"/>
      <c r="XCT68" s="15"/>
      <c r="XCU68" s="15"/>
      <c r="XCV68" s="15"/>
      <c r="XCW68" s="15"/>
      <c r="XCX68" s="15"/>
      <c r="XCY68" s="15"/>
      <c r="XCZ68" s="15"/>
      <c r="XDA68" s="15"/>
      <c r="XDB68" s="15"/>
      <c r="XDC68" s="15"/>
      <c r="XDD68" s="15"/>
      <c r="XDE68" s="15"/>
      <c r="XDF68" s="15"/>
      <c r="XDG68" s="15"/>
      <c r="XDH68" s="15"/>
      <c r="XDI68" s="15"/>
      <c r="XDJ68" s="15"/>
      <c r="XDK68" s="15"/>
      <c r="XDL68" s="15"/>
      <c r="XDM68" s="15"/>
      <c r="XDN68" s="15"/>
      <c r="XDO68" s="15"/>
      <c r="XDP68" s="15"/>
      <c r="XDQ68" s="15"/>
      <c r="XDR68" s="15"/>
      <c r="XDS68" s="15"/>
      <c r="XDT68" s="15"/>
      <c r="XDU68" s="15"/>
      <c r="XDV68" s="15"/>
      <c r="XDW68" s="15"/>
      <c r="XDX68" s="15"/>
      <c r="XDY68" s="15"/>
      <c r="XDZ68" s="15"/>
      <c r="XEA68" s="15"/>
      <c r="XEB68" s="15"/>
      <c r="XEC68" s="15"/>
      <c r="XED68" s="15"/>
      <c r="XEE68" s="15"/>
      <c r="XEF68" s="15"/>
      <c r="XEG68" s="15"/>
      <c r="XEH68" s="15"/>
      <c r="XEI68" s="15"/>
      <c r="XEJ68" s="15"/>
      <c r="XEK68" s="15"/>
      <c r="XEL68" s="15"/>
      <c r="XEM68" s="15"/>
      <c r="XEN68" s="15"/>
      <c r="XEO68" s="15"/>
      <c r="XEP68" s="15"/>
      <c r="XEQ68" s="15"/>
      <c r="XER68" s="15"/>
      <c r="XES68" s="15"/>
      <c r="XET68" s="15"/>
      <c r="XEU68" s="15"/>
      <c r="XEV68" s="15"/>
      <c r="XEW68" s="15"/>
      <c r="XEX68" s="15"/>
      <c r="XEY68" s="15"/>
      <c r="XEZ68" s="15"/>
      <c r="XFA68" s="15"/>
      <c r="XFB68" s="15"/>
      <c r="XFC68" s="15"/>
    </row>
    <row r="69" spans="2:16383" s="15" customFormat="1">
      <c r="B69" s="15" t="s">
        <v>28</v>
      </c>
      <c r="D69" s="117" t="str">
        <f t="shared" ref="D69:M69" ca="1" si="10">IFERROR(IF(C68&lt;0,"na",D68/C68-1),"na")</f>
        <v>na</v>
      </c>
      <c r="E69" s="117" t="str">
        <f t="shared" ca="1" si="10"/>
        <v>na</v>
      </c>
      <c r="F69" s="117" t="str">
        <f t="shared" ca="1" si="10"/>
        <v>na</v>
      </c>
      <c r="G69" s="117" t="str">
        <f t="shared" ca="1" si="10"/>
        <v>na</v>
      </c>
      <c r="H69" s="117" t="str">
        <f t="shared" ca="1" si="10"/>
        <v>na</v>
      </c>
      <c r="I69" s="117" t="str">
        <f t="shared" ca="1" si="10"/>
        <v>na</v>
      </c>
      <c r="J69" s="117">
        <f t="shared" ca="1" si="10"/>
        <v>2.2622117437560179</v>
      </c>
      <c r="K69" s="117">
        <f t="shared" ca="1" si="10"/>
        <v>0.68039656983895935</v>
      </c>
      <c r="L69" s="117">
        <f t="shared" ca="1" si="10"/>
        <v>0.39351879137892554</v>
      </c>
      <c r="M69" s="117">
        <f t="shared" ca="1" si="10"/>
        <v>-0.10499801826264432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  <c r="CG69"/>
      <c r="CH69"/>
      <c r="CI69"/>
      <c r="CJ69"/>
      <c r="CK69"/>
      <c r="CL69"/>
      <c r="CM69"/>
      <c r="CN69"/>
      <c r="CO69"/>
      <c r="CP69"/>
      <c r="CQ69"/>
      <c r="CR69"/>
      <c r="CS69"/>
      <c r="CT69"/>
      <c r="CU69"/>
      <c r="CV69"/>
      <c r="CW69"/>
      <c r="CX69"/>
      <c r="CY69"/>
      <c r="CZ69"/>
      <c r="DA69"/>
      <c r="DB69"/>
      <c r="DC69"/>
      <c r="DD69"/>
      <c r="DE69"/>
      <c r="DF69"/>
      <c r="DG69"/>
      <c r="DH69"/>
      <c r="DI69"/>
      <c r="DJ69"/>
      <c r="DK69"/>
      <c r="DL69"/>
      <c r="DM69"/>
      <c r="DN69"/>
      <c r="DO69"/>
      <c r="DP69"/>
      <c r="DQ69"/>
      <c r="DR69"/>
      <c r="DS69"/>
      <c r="DT69"/>
      <c r="DU69"/>
      <c r="DV69"/>
      <c r="DW69"/>
      <c r="DX69"/>
      <c r="DY69"/>
      <c r="DZ69"/>
      <c r="EA69"/>
      <c r="EB69"/>
      <c r="EC69"/>
      <c r="ED69"/>
      <c r="EE69"/>
      <c r="EF69"/>
      <c r="EG69"/>
      <c r="EH69"/>
      <c r="EI69"/>
      <c r="EJ69"/>
      <c r="EK69"/>
      <c r="EL69"/>
      <c r="EM69"/>
      <c r="EN69"/>
      <c r="EO69"/>
      <c r="EP69"/>
      <c r="EQ69"/>
      <c r="ER69"/>
      <c r="ES69"/>
      <c r="ET69"/>
      <c r="EU69"/>
      <c r="EV69"/>
      <c r="EW69"/>
      <c r="EX69"/>
      <c r="EY69"/>
      <c r="EZ69"/>
      <c r="FA69"/>
      <c r="FB69"/>
      <c r="FC69"/>
      <c r="FD69"/>
      <c r="FE69"/>
      <c r="FF69"/>
      <c r="FG69"/>
      <c r="FH69"/>
      <c r="FI69"/>
      <c r="FJ69"/>
      <c r="FK69"/>
      <c r="FL69"/>
      <c r="FM69"/>
      <c r="FN69"/>
      <c r="FO69"/>
      <c r="FP69"/>
      <c r="FQ69"/>
      <c r="FR69"/>
      <c r="FS69"/>
      <c r="FT69"/>
      <c r="FU69"/>
      <c r="FV69"/>
      <c r="FW69"/>
      <c r="FX69"/>
      <c r="FY69"/>
      <c r="FZ69"/>
      <c r="GA69"/>
      <c r="GB69"/>
      <c r="GC69"/>
      <c r="GD69"/>
      <c r="GE69"/>
      <c r="GF69"/>
      <c r="GG69"/>
      <c r="GH69"/>
      <c r="GI69"/>
      <c r="GJ69"/>
      <c r="GK69"/>
      <c r="GL69"/>
      <c r="GM69"/>
      <c r="GN69"/>
      <c r="GO69"/>
      <c r="GP69"/>
      <c r="GQ69"/>
      <c r="GR69"/>
      <c r="GS69"/>
      <c r="GT69"/>
      <c r="GU69"/>
      <c r="GV69"/>
      <c r="GW69"/>
      <c r="GX69"/>
      <c r="GY69"/>
      <c r="GZ69"/>
      <c r="HA69"/>
      <c r="HB69"/>
      <c r="HC69"/>
      <c r="HD69"/>
      <c r="HE69"/>
      <c r="HF69"/>
      <c r="HG69"/>
      <c r="HH69"/>
      <c r="HI69"/>
      <c r="HJ69"/>
      <c r="HK69"/>
      <c r="HL69"/>
      <c r="HM69"/>
      <c r="HN69"/>
      <c r="HO69"/>
      <c r="HP69"/>
      <c r="HQ69"/>
      <c r="HR69"/>
      <c r="HS69"/>
      <c r="HT69"/>
      <c r="HU69"/>
      <c r="HV69"/>
      <c r="HW69"/>
      <c r="HX69"/>
      <c r="HY69"/>
      <c r="HZ69"/>
      <c r="IA69"/>
      <c r="IB69"/>
      <c r="IC69"/>
      <c r="ID69"/>
      <c r="IE69"/>
      <c r="IF69"/>
      <c r="IG69"/>
      <c r="IH69"/>
      <c r="II69"/>
      <c r="IJ69"/>
      <c r="IK69"/>
      <c r="IL69"/>
      <c r="IM69"/>
      <c r="IN69"/>
      <c r="IO69"/>
      <c r="IP69"/>
      <c r="IQ69"/>
      <c r="IR69"/>
      <c r="IS69"/>
      <c r="IT69"/>
      <c r="IU69"/>
      <c r="IV69"/>
      <c r="IW69"/>
      <c r="IX69"/>
      <c r="IY69"/>
      <c r="IZ69"/>
      <c r="JA69"/>
      <c r="JB69"/>
      <c r="JC69"/>
      <c r="JD69"/>
      <c r="JE69"/>
      <c r="JF69"/>
      <c r="JG69"/>
      <c r="JH69"/>
      <c r="JI69"/>
      <c r="JJ69"/>
      <c r="JK69"/>
      <c r="JL69"/>
      <c r="JM69"/>
      <c r="JN69"/>
      <c r="JO69"/>
      <c r="JP69"/>
      <c r="JQ69"/>
      <c r="JR69"/>
      <c r="JS69"/>
      <c r="JT69"/>
      <c r="JU69"/>
      <c r="JV69"/>
      <c r="JW69"/>
      <c r="JX69"/>
      <c r="JY69"/>
      <c r="JZ69"/>
      <c r="KA69"/>
      <c r="KB69"/>
      <c r="KC69"/>
      <c r="KD69"/>
      <c r="KE69"/>
      <c r="KF69"/>
      <c r="KG69"/>
      <c r="KH69"/>
      <c r="KI69"/>
      <c r="KJ69"/>
      <c r="KK69"/>
      <c r="KL69"/>
      <c r="KM69"/>
      <c r="KN69"/>
      <c r="KO69"/>
      <c r="KP69"/>
      <c r="KQ69"/>
      <c r="KR69"/>
      <c r="KS69"/>
      <c r="KT69"/>
      <c r="KU69"/>
      <c r="KV69"/>
      <c r="KW69"/>
      <c r="KX69"/>
      <c r="KY69"/>
      <c r="KZ69"/>
      <c r="LA69"/>
      <c r="LB69"/>
      <c r="LC69"/>
      <c r="LD69"/>
      <c r="LE69"/>
      <c r="LF69"/>
      <c r="LG69"/>
      <c r="LH69"/>
      <c r="LI69"/>
      <c r="LJ69"/>
      <c r="LK69"/>
      <c r="LL69"/>
      <c r="LM69"/>
      <c r="LN69"/>
      <c r="LO69"/>
      <c r="LP69"/>
      <c r="LQ69"/>
      <c r="LR69"/>
      <c r="LS69"/>
      <c r="LT69"/>
      <c r="LU69"/>
      <c r="LV69"/>
      <c r="LW69"/>
      <c r="LX69"/>
      <c r="LY69"/>
      <c r="LZ69"/>
      <c r="MA69"/>
      <c r="MB69"/>
      <c r="MC69"/>
      <c r="MD69"/>
      <c r="ME69"/>
      <c r="MF69"/>
      <c r="MG69"/>
      <c r="MH69"/>
      <c r="MI69"/>
      <c r="MJ69"/>
      <c r="MK69"/>
      <c r="ML69"/>
      <c r="MM69"/>
      <c r="MN69"/>
      <c r="MO69"/>
      <c r="MP69"/>
      <c r="MQ69"/>
      <c r="MR69"/>
      <c r="MS69"/>
      <c r="MT69"/>
      <c r="MU69"/>
      <c r="MV69"/>
      <c r="MW69"/>
      <c r="MX69"/>
      <c r="MY69"/>
      <c r="MZ69"/>
      <c r="NA69"/>
      <c r="NB69"/>
      <c r="NC69"/>
      <c r="ND69"/>
      <c r="NE69"/>
      <c r="NF69"/>
      <c r="NG69"/>
      <c r="NH69"/>
      <c r="NI69"/>
      <c r="NJ69"/>
      <c r="NK69"/>
      <c r="NL69"/>
      <c r="NM69"/>
      <c r="NN69"/>
      <c r="NO69"/>
      <c r="NP69"/>
      <c r="NQ69"/>
      <c r="NR69"/>
      <c r="NS69"/>
      <c r="NT69"/>
      <c r="NU69"/>
      <c r="NV69"/>
      <c r="NW69"/>
      <c r="NX69"/>
      <c r="NY69"/>
      <c r="NZ69"/>
      <c r="OA69"/>
      <c r="OB69"/>
      <c r="OC69"/>
      <c r="OD69"/>
      <c r="OE69"/>
      <c r="OF69"/>
      <c r="OG69"/>
      <c r="OH69"/>
      <c r="OI69"/>
      <c r="OJ69"/>
      <c r="OK69"/>
      <c r="OL69"/>
      <c r="OM69"/>
      <c r="ON69"/>
      <c r="OO69"/>
      <c r="OP69"/>
      <c r="OQ69"/>
      <c r="OR69"/>
      <c r="OS69"/>
      <c r="OT69"/>
      <c r="OU69"/>
      <c r="OV69"/>
      <c r="OW69"/>
      <c r="OX69"/>
      <c r="OY69"/>
      <c r="OZ69"/>
      <c r="PA69"/>
      <c r="PB69"/>
      <c r="PC69"/>
      <c r="PD69"/>
      <c r="PE69"/>
      <c r="PF69"/>
      <c r="PG69"/>
      <c r="PH69"/>
      <c r="PI69"/>
      <c r="PJ69"/>
      <c r="PK69"/>
      <c r="PL69"/>
      <c r="PM69"/>
      <c r="PN69"/>
      <c r="PO69"/>
      <c r="PP69"/>
      <c r="PQ69"/>
      <c r="PR69"/>
      <c r="PS69"/>
      <c r="PT69"/>
      <c r="PU69"/>
      <c r="PV69"/>
      <c r="PW69"/>
      <c r="PX69"/>
      <c r="PY69"/>
      <c r="PZ69"/>
      <c r="QA69"/>
      <c r="QB69"/>
      <c r="QC69"/>
      <c r="QD69"/>
      <c r="QE69"/>
      <c r="QF69"/>
      <c r="QG69"/>
      <c r="QH69"/>
      <c r="QI69"/>
      <c r="QJ69"/>
      <c r="QK69"/>
      <c r="QL69"/>
      <c r="QM69"/>
      <c r="QN69"/>
      <c r="QO69"/>
      <c r="QP69"/>
      <c r="QQ69"/>
      <c r="QR69"/>
      <c r="QS69"/>
      <c r="QT69"/>
      <c r="QU69"/>
      <c r="QV69"/>
      <c r="QW69"/>
      <c r="QX69"/>
      <c r="QY69"/>
      <c r="QZ69"/>
      <c r="RA69"/>
      <c r="RB69"/>
      <c r="RC69"/>
      <c r="RD69"/>
      <c r="RE69"/>
      <c r="RF69"/>
      <c r="RG69"/>
      <c r="RH69"/>
      <c r="RI69"/>
      <c r="RJ69"/>
      <c r="RK69"/>
      <c r="RL69"/>
      <c r="RM69"/>
      <c r="RN69"/>
      <c r="RO69"/>
      <c r="RP69"/>
      <c r="RQ69"/>
      <c r="RR69"/>
      <c r="RS69"/>
      <c r="RT69"/>
      <c r="RU69"/>
      <c r="RV69"/>
      <c r="RW69"/>
      <c r="RX69"/>
      <c r="RY69"/>
      <c r="RZ69"/>
      <c r="SA69"/>
      <c r="SB69"/>
      <c r="SC69"/>
      <c r="SD69"/>
      <c r="SE69"/>
      <c r="SF69"/>
      <c r="SG69"/>
      <c r="SH69"/>
      <c r="SI69"/>
      <c r="SJ69"/>
      <c r="SK69"/>
      <c r="SL69"/>
      <c r="SM69"/>
      <c r="SN69"/>
      <c r="SO69"/>
      <c r="SP69"/>
      <c r="SQ69"/>
      <c r="SR69"/>
      <c r="SS69"/>
      <c r="ST69"/>
      <c r="SU69"/>
      <c r="SV69"/>
      <c r="SW69"/>
      <c r="SX69"/>
      <c r="SY69"/>
      <c r="SZ69"/>
      <c r="TA69"/>
      <c r="TB69"/>
      <c r="TC69"/>
      <c r="TD69"/>
      <c r="TE69"/>
      <c r="TF69"/>
      <c r="TG69"/>
      <c r="TH69"/>
      <c r="TI69"/>
      <c r="TJ69"/>
      <c r="TK69"/>
      <c r="TL69"/>
      <c r="TM69"/>
      <c r="TN69"/>
      <c r="TO69"/>
      <c r="TP69"/>
      <c r="TQ69"/>
      <c r="TR69"/>
      <c r="TS69"/>
      <c r="TT69"/>
      <c r="TU69"/>
      <c r="TV69"/>
      <c r="TW69"/>
      <c r="TX69"/>
      <c r="TY69"/>
      <c r="TZ69"/>
      <c r="UA69"/>
      <c r="UB69"/>
      <c r="UC69"/>
      <c r="UD69"/>
      <c r="UE69"/>
      <c r="UF69"/>
      <c r="UG69"/>
      <c r="UH69"/>
      <c r="UI69"/>
      <c r="UJ69"/>
      <c r="UK69"/>
      <c r="UL69"/>
      <c r="UM69"/>
      <c r="UN69"/>
      <c r="UO69"/>
      <c r="UP69"/>
      <c r="UQ69"/>
      <c r="UR69"/>
      <c r="US69"/>
      <c r="UT69"/>
      <c r="UU69"/>
      <c r="UV69"/>
      <c r="UW69"/>
      <c r="UX69"/>
      <c r="UY69"/>
      <c r="UZ69"/>
      <c r="VA69"/>
      <c r="VB69"/>
      <c r="VC69"/>
      <c r="VD69"/>
      <c r="VE69"/>
      <c r="VF69"/>
      <c r="VG69"/>
      <c r="VH69"/>
      <c r="VI69"/>
      <c r="VJ69"/>
      <c r="VK69"/>
      <c r="VL69"/>
      <c r="VM69"/>
      <c r="VN69"/>
      <c r="VO69"/>
      <c r="VP69"/>
      <c r="VQ69"/>
      <c r="VR69"/>
      <c r="VS69"/>
      <c r="VT69"/>
      <c r="VU69"/>
      <c r="VV69"/>
      <c r="VW69"/>
      <c r="VX69"/>
      <c r="VY69"/>
      <c r="VZ69"/>
      <c r="WA69"/>
      <c r="WB69"/>
      <c r="WC69"/>
      <c r="WD69"/>
      <c r="WE69"/>
      <c r="WF69"/>
      <c r="WG69"/>
      <c r="WH69"/>
      <c r="WI69"/>
      <c r="WJ69"/>
      <c r="WK69"/>
      <c r="WL69"/>
      <c r="WM69"/>
      <c r="WN69"/>
      <c r="WO69"/>
      <c r="WP69"/>
      <c r="WQ69"/>
      <c r="WR69"/>
      <c r="WS69"/>
      <c r="WT69"/>
      <c r="WU69"/>
      <c r="WV69"/>
      <c r="WW69"/>
      <c r="WX69"/>
      <c r="WY69"/>
      <c r="WZ69"/>
      <c r="XA69"/>
      <c r="XB69"/>
      <c r="XC69"/>
      <c r="XD69"/>
      <c r="XE69"/>
      <c r="XF69"/>
      <c r="XG69"/>
      <c r="XH69"/>
      <c r="XI69"/>
      <c r="XJ69"/>
      <c r="XK69"/>
      <c r="XL69"/>
      <c r="XM69"/>
      <c r="XN69"/>
      <c r="XO69"/>
      <c r="XP69"/>
      <c r="XQ69"/>
      <c r="XR69"/>
      <c r="XS69"/>
      <c r="XT69"/>
      <c r="XU69"/>
      <c r="XV69"/>
      <c r="XW69"/>
      <c r="XX69"/>
      <c r="XY69"/>
      <c r="XZ69"/>
      <c r="YA69"/>
      <c r="YB69"/>
      <c r="YC69"/>
      <c r="YD69"/>
      <c r="YE69"/>
      <c r="YF69"/>
      <c r="YG69"/>
      <c r="YH69"/>
      <c r="YI69"/>
      <c r="YJ69"/>
      <c r="YK69"/>
      <c r="YL69"/>
      <c r="YM69"/>
      <c r="YN69"/>
      <c r="YO69"/>
      <c r="YP69"/>
      <c r="YQ69"/>
      <c r="YR69"/>
      <c r="YS69"/>
      <c r="YT69"/>
      <c r="YU69"/>
      <c r="YV69"/>
      <c r="YW69"/>
      <c r="YX69"/>
      <c r="YY69"/>
      <c r="YZ69"/>
      <c r="ZA69"/>
      <c r="ZB69"/>
      <c r="ZC69"/>
      <c r="ZD69"/>
      <c r="ZE69"/>
      <c r="ZF69"/>
      <c r="ZG69"/>
      <c r="ZH69"/>
      <c r="ZI69"/>
      <c r="ZJ69"/>
      <c r="ZK69"/>
      <c r="ZL69"/>
      <c r="ZM69"/>
      <c r="ZN69"/>
      <c r="ZO69"/>
      <c r="ZP69"/>
      <c r="ZQ69"/>
      <c r="ZR69"/>
      <c r="ZS69"/>
      <c r="ZT69"/>
      <c r="ZU69"/>
      <c r="ZV69"/>
      <c r="ZW69"/>
      <c r="ZX69"/>
      <c r="ZY69"/>
      <c r="ZZ69"/>
      <c r="AAA69"/>
      <c r="AAB69"/>
      <c r="AAC69"/>
      <c r="AAD69"/>
      <c r="AAE69"/>
      <c r="AAF69"/>
      <c r="AAG69"/>
      <c r="AAH69"/>
      <c r="AAI69"/>
      <c r="AAJ69"/>
      <c r="AAK69"/>
      <c r="AAL69"/>
      <c r="AAM69"/>
      <c r="AAN69"/>
      <c r="AAO69"/>
      <c r="AAP69"/>
      <c r="AAQ69"/>
      <c r="AAR69"/>
      <c r="AAS69"/>
      <c r="AAT69"/>
      <c r="AAU69"/>
      <c r="AAV69"/>
      <c r="AAW69"/>
      <c r="AAX69"/>
      <c r="AAY69"/>
      <c r="AAZ69"/>
      <c r="ABA69"/>
      <c r="ABB69"/>
      <c r="ABC69"/>
      <c r="ABD69"/>
      <c r="ABE69"/>
      <c r="ABF69"/>
      <c r="ABG69"/>
      <c r="ABH69"/>
      <c r="ABI69"/>
      <c r="ABJ69"/>
      <c r="ABK69"/>
      <c r="ABL69"/>
      <c r="ABM69"/>
      <c r="ABN69"/>
      <c r="ABO69"/>
      <c r="ABP69"/>
      <c r="ABQ69"/>
      <c r="ABR69"/>
      <c r="ABS69"/>
      <c r="ABT69"/>
      <c r="ABU69"/>
      <c r="ABV69"/>
      <c r="ABW69"/>
      <c r="ABX69"/>
      <c r="ABY69"/>
      <c r="ABZ69"/>
      <c r="ACA69"/>
      <c r="ACB69"/>
      <c r="ACC69"/>
      <c r="ACD69"/>
      <c r="ACE69"/>
      <c r="ACF69"/>
      <c r="ACG69"/>
      <c r="ACH69"/>
      <c r="ACI69"/>
      <c r="ACJ69"/>
      <c r="ACK69"/>
      <c r="ACL69"/>
      <c r="ACM69"/>
      <c r="ACN69"/>
      <c r="ACO69"/>
      <c r="ACP69"/>
      <c r="ACQ69"/>
      <c r="ACR69"/>
      <c r="ACS69"/>
      <c r="ACT69"/>
      <c r="ACU69"/>
      <c r="ACV69"/>
      <c r="ACW69"/>
      <c r="ACX69"/>
      <c r="ACY69"/>
      <c r="ACZ69"/>
      <c r="ADA69"/>
      <c r="ADB69"/>
      <c r="ADC69"/>
      <c r="ADD69"/>
      <c r="ADE69"/>
      <c r="ADF69"/>
      <c r="ADG69"/>
      <c r="ADH69"/>
      <c r="ADI69"/>
      <c r="ADJ69"/>
      <c r="ADK69"/>
      <c r="ADL69"/>
      <c r="ADM69"/>
      <c r="ADN69"/>
      <c r="ADO69"/>
      <c r="ADP69"/>
      <c r="ADQ69"/>
      <c r="ADR69"/>
      <c r="ADS69"/>
      <c r="ADT69"/>
      <c r="ADU69"/>
      <c r="ADV69"/>
      <c r="ADW69"/>
      <c r="ADX69"/>
      <c r="ADY69"/>
      <c r="ADZ69"/>
      <c r="AEA69"/>
      <c r="AEB69"/>
      <c r="AEC69"/>
      <c r="AED69"/>
      <c r="AEE69"/>
      <c r="AEF69"/>
      <c r="AEG69"/>
      <c r="AEH69"/>
      <c r="AEI69"/>
      <c r="AEJ69"/>
      <c r="AEK69"/>
      <c r="AEL69"/>
      <c r="AEM69"/>
      <c r="AEN69"/>
      <c r="AEO69"/>
      <c r="AEP69"/>
      <c r="AEQ69"/>
      <c r="AER69"/>
      <c r="AES69"/>
      <c r="AET69"/>
      <c r="AEU69"/>
      <c r="AEV69"/>
      <c r="AEW69"/>
      <c r="AEX69"/>
      <c r="AEY69"/>
      <c r="AEZ69"/>
      <c r="AFA69"/>
      <c r="AFB69"/>
      <c r="AFC69"/>
      <c r="AFD69"/>
      <c r="AFE69"/>
      <c r="AFF69"/>
      <c r="AFG69"/>
      <c r="AFH69"/>
      <c r="AFI69"/>
      <c r="AFJ69"/>
      <c r="AFK69"/>
      <c r="AFL69"/>
      <c r="AFM69"/>
      <c r="AFN69"/>
      <c r="AFO69"/>
      <c r="AFP69"/>
      <c r="AFQ69"/>
      <c r="AFR69"/>
      <c r="AFS69"/>
      <c r="AFT69"/>
      <c r="AFU69"/>
      <c r="AFV69"/>
      <c r="AFW69"/>
      <c r="AFX69"/>
      <c r="AFY69"/>
      <c r="AFZ69"/>
      <c r="AGA69"/>
      <c r="AGB69"/>
      <c r="AGC69"/>
      <c r="AGD69"/>
      <c r="AGE69"/>
      <c r="AGF69"/>
      <c r="AGG69"/>
      <c r="AGH69"/>
      <c r="AGI69"/>
      <c r="AGJ69"/>
      <c r="AGK69"/>
      <c r="AGL69"/>
      <c r="AGM69"/>
      <c r="AGN69"/>
      <c r="AGO69"/>
      <c r="AGP69"/>
      <c r="AGQ69"/>
      <c r="AGR69"/>
      <c r="AGS69"/>
      <c r="AGT69"/>
      <c r="AGU69"/>
      <c r="AGV69"/>
      <c r="AGW69"/>
      <c r="AGX69"/>
      <c r="AGY69"/>
      <c r="AGZ69"/>
      <c r="AHA69"/>
      <c r="AHB69"/>
      <c r="AHC69"/>
      <c r="AHD69"/>
      <c r="AHE69"/>
      <c r="AHF69"/>
      <c r="AHG69"/>
      <c r="AHH69"/>
      <c r="AHI69"/>
      <c r="AHJ69"/>
      <c r="AHK69"/>
      <c r="AHL69"/>
      <c r="AHM69"/>
      <c r="AHN69"/>
      <c r="AHO69"/>
      <c r="AHP69"/>
      <c r="AHQ69"/>
      <c r="AHR69"/>
      <c r="AHS69"/>
      <c r="AHT69"/>
      <c r="AHU69"/>
      <c r="AHV69"/>
      <c r="AHW69"/>
      <c r="AHX69"/>
      <c r="AHY69"/>
      <c r="AHZ69"/>
      <c r="AIA69"/>
      <c r="AIB69"/>
      <c r="AIC69"/>
      <c r="AID69"/>
      <c r="AIE69"/>
      <c r="AIF69"/>
      <c r="AIG69"/>
      <c r="AIH69"/>
      <c r="AII69"/>
      <c r="AIJ69"/>
      <c r="AIK69"/>
      <c r="AIL69"/>
      <c r="AIM69"/>
      <c r="AIN69"/>
      <c r="AIO69"/>
      <c r="AIP69"/>
      <c r="AIQ69"/>
      <c r="AIR69"/>
      <c r="AIS69"/>
      <c r="AIT69"/>
      <c r="AIU69"/>
      <c r="AIV69"/>
      <c r="AIW69"/>
      <c r="AIX69"/>
      <c r="AIY69"/>
      <c r="AIZ69"/>
      <c r="AJA69"/>
      <c r="AJB69"/>
      <c r="AJC69"/>
      <c r="AJD69"/>
      <c r="AJE69"/>
      <c r="AJF69"/>
      <c r="AJG69"/>
      <c r="AJH69"/>
      <c r="AJI69"/>
      <c r="AJJ69"/>
      <c r="AJK69"/>
      <c r="AJL69"/>
      <c r="AJM69"/>
      <c r="AJN69"/>
      <c r="AJO69"/>
      <c r="AJP69"/>
      <c r="AJQ69"/>
      <c r="AJR69"/>
      <c r="AJS69"/>
      <c r="AJT69"/>
      <c r="AJU69"/>
      <c r="AJV69"/>
      <c r="AJW69"/>
      <c r="AJX69"/>
      <c r="AJY69"/>
      <c r="AJZ69"/>
      <c r="AKA69"/>
      <c r="AKB69"/>
      <c r="AKC69"/>
      <c r="AKD69"/>
      <c r="AKE69"/>
      <c r="AKF69"/>
      <c r="AKG69"/>
      <c r="AKH69"/>
      <c r="AKI69"/>
      <c r="AKJ69"/>
      <c r="AKK69"/>
      <c r="AKL69"/>
      <c r="AKM69"/>
      <c r="AKN69"/>
      <c r="AKO69"/>
      <c r="AKP69"/>
      <c r="AKQ69"/>
      <c r="AKR69"/>
      <c r="AKS69"/>
      <c r="AKT69"/>
      <c r="AKU69"/>
      <c r="AKV69"/>
      <c r="AKW69"/>
      <c r="AKX69"/>
      <c r="AKY69"/>
      <c r="AKZ69"/>
      <c r="ALA69"/>
      <c r="ALB69"/>
      <c r="ALC69"/>
      <c r="ALD69"/>
      <c r="ALE69"/>
      <c r="ALF69"/>
      <c r="ALG69"/>
      <c r="ALH69"/>
      <c r="ALI69"/>
      <c r="ALJ69"/>
      <c r="ALK69"/>
      <c r="ALL69"/>
      <c r="ALM69"/>
      <c r="ALN69"/>
      <c r="ALO69"/>
      <c r="ALP69"/>
      <c r="ALQ69"/>
      <c r="ALR69"/>
      <c r="ALS69"/>
      <c r="ALT69"/>
      <c r="ALU69"/>
      <c r="ALV69"/>
      <c r="ALW69"/>
      <c r="ALX69"/>
      <c r="ALY69"/>
      <c r="ALZ69"/>
      <c r="AMA69"/>
      <c r="AMB69"/>
      <c r="AMC69"/>
      <c r="AMD69"/>
      <c r="AME69"/>
      <c r="AMF69"/>
      <c r="AMG69"/>
      <c r="AMH69"/>
      <c r="AMI69"/>
      <c r="AMJ69"/>
      <c r="AMK69"/>
      <c r="AML69"/>
      <c r="AMM69"/>
      <c r="AMN69"/>
      <c r="AMO69"/>
      <c r="AMP69"/>
      <c r="AMQ69"/>
      <c r="AMR69"/>
      <c r="AMS69"/>
      <c r="AMT69"/>
      <c r="AMU69"/>
      <c r="AMV69"/>
      <c r="AMW69"/>
      <c r="AMX69"/>
      <c r="AMY69"/>
      <c r="AMZ69"/>
      <c r="ANA69"/>
      <c r="ANB69"/>
      <c r="ANC69"/>
      <c r="AND69"/>
      <c r="ANE69"/>
      <c r="ANF69"/>
      <c r="ANG69"/>
      <c r="ANH69"/>
      <c r="ANI69"/>
      <c r="ANJ69"/>
      <c r="ANK69"/>
      <c r="ANL69"/>
      <c r="ANM69"/>
      <c r="ANN69"/>
      <c r="ANO69"/>
      <c r="ANP69"/>
      <c r="ANQ69"/>
      <c r="ANR69"/>
      <c r="ANS69"/>
      <c r="ANT69"/>
      <c r="ANU69"/>
      <c r="ANV69"/>
      <c r="ANW69"/>
      <c r="ANX69"/>
      <c r="ANY69"/>
      <c r="ANZ69"/>
      <c r="AOA69"/>
      <c r="AOB69"/>
      <c r="AOC69"/>
      <c r="AOD69"/>
      <c r="AOE69"/>
      <c r="AOF69"/>
      <c r="AOG69"/>
      <c r="AOH69"/>
      <c r="AOI69"/>
      <c r="AOJ69"/>
      <c r="AOK69"/>
      <c r="AOL69"/>
      <c r="AOM69"/>
      <c r="AON69"/>
      <c r="AOO69"/>
      <c r="AOP69"/>
      <c r="AOQ69"/>
      <c r="AOR69"/>
      <c r="AOS69"/>
      <c r="AOT69"/>
      <c r="AOU69"/>
      <c r="AOV69"/>
      <c r="AOW69"/>
      <c r="AOX69"/>
      <c r="AOY69"/>
      <c r="AOZ69"/>
      <c r="APA69"/>
      <c r="APB69"/>
      <c r="APC69"/>
      <c r="APD69"/>
      <c r="APE69"/>
      <c r="APF69"/>
      <c r="APG69"/>
      <c r="APH69"/>
      <c r="API69"/>
      <c r="APJ69"/>
      <c r="APK69"/>
      <c r="APL69"/>
      <c r="APM69"/>
      <c r="APN69"/>
      <c r="APO69"/>
      <c r="APP69"/>
      <c r="APQ69"/>
      <c r="APR69"/>
      <c r="APS69"/>
      <c r="APT69"/>
      <c r="APU69"/>
      <c r="APV69"/>
      <c r="APW69"/>
      <c r="APX69"/>
      <c r="APY69"/>
      <c r="APZ69"/>
      <c r="AQA69"/>
      <c r="AQB69"/>
      <c r="AQC69"/>
      <c r="AQD69"/>
      <c r="AQE69"/>
      <c r="AQF69"/>
      <c r="AQG69"/>
      <c r="AQH69"/>
      <c r="AQI69"/>
      <c r="AQJ69"/>
      <c r="AQK69"/>
      <c r="AQL69"/>
      <c r="AQM69"/>
      <c r="AQN69"/>
      <c r="AQO69"/>
      <c r="AQP69"/>
      <c r="AQQ69"/>
      <c r="AQR69"/>
      <c r="AQS69"/>
      <c r="AQT69"/>
      <c r="AQU69"/>
      <c r="AQV69"/>
      <c r="AQW69"/>
      <c r="AQX69"/>
      <c r="AQY69"/>
      <c r="AQZ69"/>
      <c r="ARA69"/>
      <c r="ARB69"/>
      <c r="ARC69"/>
      <c r="ARD69"/>
      <c r="ARE69"/>
      <c r="ARF69"/>
      <c r="ARG69"/>
      <c r="ARH69"/>
      <c r="ARI69"/>
      <c r="ARJ69"/>
      <c r="ARK69"/>
      <c r="ARL69"/>
      <c r="ARM69"/>
      <c r="ARN69"/>
      <c r="ARO69"/>
      <c r="ARP69"/>
      <c r="ARQ69"/>
      <c r="ARR69"/>
      <c r="ARS69"/>
      <c r="ART69"/>
      <c r="ARU69"/>
      <c r="ARV69"/>
      <c r="ARW69"/>
      <c r="ARX69"/>
      <c r="ARY69"/>
      <c r="ARZ69"/>
      <c r="ASA69"/>
      <c r="ASB69"/>
      <c r="ASC69"/>
      <c r="ASD69"/>
      <c r="ASE69"/>
      <c r="ASF69"/>
      <c r="ASG69"/>
      <c r="ASH69"/>
      <c r="ASI69"/>
      <c r="ASJ69"/>
      <c r="ASK69"/>
      <c r="ASL69"/>
      <c r="ASM69"/>
      <c r="ASN69"/>
      <c r="ASO69"/>
      <c r="ASP69"/>
      <c r="ASQ69"/>
      <c r="ASR69"/>
      <c r="ASS69"/>
      <c r="AST69"/>
      <c r="ASU69"/>
      <c r="ASV69"/>
      <c r="ASW69"/>
      <c r="ASX69"/>
      <c r="ASY69"/>
      <c r="ASZ69"/>
      <c r="ATA69"/>
      <c r="ATB69"/>
      <c r="ATC69"/>
      <c r="ATD69"/>
      <c r="ATE69"/>
      <c r="ATF69"/>
      <c r="ATG69"/>
      <c r="ATH69"/>
      <c r="ATI69"/>
      <c r="ATJ69"/>
      <c r="ATK69"/>
      <c r="ATL69"/>
      <c r="ATM69"/>
      <c r="ATN69"/>
      <c r="ATO69"/>
      <c r="ATP69"/>
      <c r="ATQ69"/>
      <c r="ATR69"/>
      <c r="ATS69"/>
      <c r="ATT69"/>
      <c r="ATU69"/>
      <c r="ATV69"/>
      <c r="ATW69"/>
      <c r="ATX69"/>
      <c r="ATY69"/>
      <c r="ATZ69"/>
      <c r="AUA69"/>
      <c r="AUB69"/>
      <c r="AUC69"/>
      <c r="AUD69"/>
      <c r="AUE69"/>
      <c r="AUF69"/>
      <c r="AUG69"/>
      <c r="AUH69"/>
      <c r="AUI69"/>
      <c r="AUJ69"/>
      <c r="AUK69"/>
      <c r="AUL69"/>
      <c r="AUM69"/>
      <c r="AUN69"/>
      <c r="AUO69"/>
      <c r="AUP69"/>
      <c r="AUQ69"/>
      <c r="AUR69"/>
      <c r="AUS69"/>
      <c r="AUT69"/>
      <c r="AUU69"/>
      <c r="AUV69"/>
      <c r="AUW69"/>
      <c r="AUX69"/>
      <c r="AUY69"/>
      <c r="AUZ69"/>
      <c r="AVA69"/>
      <c r="AVB69"/>
      <c r="AVC69"/>
      <c r="AVD69"/>
      <c r="AVE69"/>
      <c r="AVF69"/>
      <c r="AVG69"/>
      <c r="AVH69"/>
      <c r="AVI69"/>
      <c r="AVJ69"/>
      <c r="AVK69"/>
      <c r="AVL69"/>
      <c r="AVM69"/>
      <c r="AVN69"/>
      <c r="AVO69"/>
      <c r="AVP69"/>
      <c r="AVQ69"/>
      <c r="AVR69"/>
      <c r="AVS69"/>
      <c r="AVT69"/>
      <c r="AVU69"/>
      <c r="AVV69"/>
      <c r="AVW69"/>
      <c r="AVX69"/>
      <c r="AVY69"/>
      <c r="AVZ69"/>
      <c r="AWA69"/>
      <c r="AWB69"/>
      <c r="AWC69"/>
      <c r="AWD69"/>
      <c r="AWE69"/>
      <c r="AWF69"/>
      <c r="AWG69"/>
      <c r="AWH69"/>
      <c r="AWI69"/>
      <c r="AWJ69"/>
      <c r="AWK69"/>
      <c r="AWL69"/>
      <c r="AWM69"/>
      <c r="AWN69"/>
      <c r="AWO69"/>
      <c r="AWP69"/>
      <c r="AWQ69"/>
      <c r="AWR69"/>
      <c r="AWS69"/>
      <c r="AWT69"/>
      <c r="AWU69"/>
      <c r="AWV69"/>
      <c r="AWW69"/>
      <c r="AWX69"/>
      <c r="AWY69"/>
      <c r="AWZ69"/>
      <c r="AXA69"/>
      <c r="AXB69"/>
      <c r="AXC69"/>
      <c r="AXD69"/>
      <c r="AXE69"/>
      <c r="AXF69"/>
      <c r="AXG69"/>
      <c r="AXH69"/>
      <c r="AXI69"/>
      <c r="AXJ69"/>
      <c r="AXK69"/>
      <c r="AXL69"/>
      <c r="AXM69"/>
      <c r="AXN69"/>
      <c r="AXO69"/>
      <c r="AXP69"/>
      <c r="AXQ69"/>
      <c r="AXR69"/>
      <c r="AXS69"/>
      <c r="AXT69"/>
      <c r="AXU69"/>
      <c r="AXV69"/>
      <c r="AXW69"/>
      <c r="AXX69"/>
      <c r="AXY69"/>
      <c r="AXZ69"/>
      <c r="AYA69"/>
      <c r="AYB69"/>
      <c r="AYC69"/>
      <c r="AYD69"/>
      <c r="AYE69"/>
      <c r="AYF69"/>
      <c r="AYG69"/>
      <c r="AYH69"/>
      <c r="AYI69"/>
      <c r="AYJ69"/>
      <c r="AYK69"/>
      <c r="AYL69"/>
      <c r="AYM69"/>
      <c r="AYN69"/>
      <c r="AYO69"/>
      <c r="AYP69"/>
      <c r="AYQ69"/>
      <c r="AYR69"/>
      <c r="AYS69"/>
      <c r="AYT69"/>
      <c r="AYU69"/>
      <c r="AYV69"/>
      <c r="AYW69"/>
      <c r="AYX69"/>
      <c r="AYY69"/>
      <c r="AYZ69"/>
      <c r="AZA69"/>
      <c r="AZB69"/>
      <c r="AZC69"/>
      <c r="AZD69"/>
      <c r="AZE69"/>
      <c r="AZF69"/>
      <c r="AZG69"/>
      <c r="AZH69"/>
      <c r="AZI69"/>
      <c r="AZJ69"/>
      <c r="AZK69"/>
      <c r="AZL69"/>
      <c r="AZM69"/>
      <c r="AZN69"/>
      <c r="AZO69"/>
      <c r="AZP69"/>
      <c r="AZQ69"/>
      <c r="AZR69"/>
      <c r="AZS69"/>
      <c r="AZT69"/>
      <c r="AZU69"/>
      <c r="AZV69"/>
      <c r="AZW69"/>
      <c r="AZX69"/>
      <c r="AZY69"/>
      <c r="AZZ69"/>
      <c r="BAA69"/>
      <c r="BAB69"/>
      <c r="BAC69"/>
      <c r="BAD69"/>
      <c r="BAE69"/>
      <c r="BAF69"/>
      <c r="BAG69"/>
      <c r="BAH69"/>
      <c r="BAI69"/>
      <c r="BAJ69"/>
      <c r="BAK69"/>
      <c r="BAL69"/>
      <c r="BAM69"/>
      <c r="BAN69"/>
      <c r="BAO69"/>
      <c r="BAP69"/>
      <c r="BAQ69"/>
      <c r="BAR69"/>
      <c r="BAS69"/>
      <c r="BAT69"/>
      <c r="BAU69"/>
      <c r="BAV69"/>
      <c r="BAW69"/>
      <c r="BAX69"/>
      <c r="BAY69"/>
      <c r="BAZ69"/>
      <c r="BBA69"/>
      <c r="BBB69"/>
      <c r="BBC69"/>
      <c r="BBD69"/>
      <c r="BBE69"/>
      <c r="BBF69"/>
      <c r="BBG69"/>
      <c r="BBH69"/>
      <c r="BBI69"/>
      <c r="BBJ69"/>
      <c r="BBK69"/>
      <c r="BBL69"/>
      <c r="BBM69"/>
      <c r="BBN69"/>
      <c r="BBO69"/>
      <c r="BBP69"/>
      <c r="BBQ69"/>
      <c r="BBR69"/>
      <c r="BBS69"/>
      <c r="BBT69"/>
      <c r="BBU69"/>
      <c r="BBV69"/>
      <c r="BBW69"/>
      <c r="BBX69"/>
      <c r="BBY69"/>
      <c r="BBZ69"/>
      <c r="BCA69"/>
      <c r="BCB69"/>
      <c r="BCC69"/>
      <c r="BCD69"/>
      <c r="BCE69"/>
      <c r="BCF69"/>
      <c r="BCG69"/>
      <c r="BCH69"/>
      <c r="BCI69"/>
      <c r="BCJ69"/>
      <c r="BCK69"/>
      <c r="BCL69"/>
      <c r="BCM69"/>
      <c r="BCN69"/>
      <c r="BCO69"/>
      <c r="BCP69"/>
      <c r="BCQ69"/>
      <c r="BCR69"/>
      <c r="BCS69"/>
      <c r="BCT69"/>
      <c r="BCU69"/>
      <c r="BCV69"/>
      <c r="BCW69"/>
      <c r="BCX69"/>
      <c r="BCY69"/>
      <c r="BCZ69"/>
      <c r="BDA69"/>
      <c r="BDB69"/>
      <c r="BDC69"/>
      <c r="BDD69"/>
      <c r="BDE69"/>
      <c r="BDF69"/>
      <c r="BDG69"/>
      <c r="BDH69"/>
      <c r="BDI69"/>
      <c r="BDJ69"/>
      <c r="BDK69"/>
      <c r="BDL69"/>
      <c r="BDM69"/>
      <c r="BDN69"/>
      <c r="BDO69"/>
      <c r="BDP69"/>
      <c r="BDQ69"/>
      <c r="BDR69"/>
      <c r="BDS69"/>
      <c r="BDT69"/>
      <c r="BDU69"/>
      <c r="BDV69"/>
      <c r="BDW69"/>
      <c r="BDX69"/>
      <c r="BDY69"/>
      <c r="BDZ69"/>
      <c r="BEA69"/>
      <c r="BEB69"/>
      <c r="BEC69"/>
      <c r="BED69"/>
      <c r="BEE69"/>
      <c r="BEF69"/>
      <c r="BEG69"/>
      <c r="BEH69"/>
      <c r="BEI69"/>
      <c r="BEJ69"/>
      <c r="BEK69"/>
      <c r="BEL69"/>
      <c r="BEM69"/>
      <c r="BEN69"/>
      <c r="BEO69"/>
      <c r="BEP69"/>
      <c r="BEQ69"/>
      <c r="BER69"/>
      <c r="BES69"/>
      <c r="BET69"/>
      <c r="BEU69"/>
      <c r="BEV69"/>
      <c r="BEW69"/>
      <c r="BEX69"/>
      <c r="BEY69"/>
      <c r="BEZ69"/>
      <c r="BFA69"/>
      <c r="BFB69"/>
      <c r="BFC69"/>
      <c r="BFD69"/>
      <c r="BFE69"/>
      <c r="BFF69"/>
      <c r="BFG69"/>
      <c r="BFH69"/>
      <c r="BFI69"/>
      <c r="BFJ69"/>
      <c r="BFK69"/>
      <c r="BFL69"/>
      <c r="BFM69"/>
      <c r="BFN69"/>
      <c r="BFO69"/>
      <c r="BFP69"/>
      <c r="BFQ69"/>
      <c r="BFR69"/>
      <c r="BFS69"/>
      <c r="BFT69"/>
      <c r="BFU69"/>
      <c r="BFV69"/>
      <c r="BFW69"/>
      <c r="BFX69"/>
      <c r="BFY69"/>
      <c r="BFZ69"/>
      <c r="BGA69"/>
      <c r="BGB69"/>
      <c r="BGC69"/>
      <c r="BGD69"/>
      <c r="BGE69"/>
      <c r="BGF69"/>
      <c r="BGG69"/>
      <c r="BGH69"/>
      <c r="BGI69"/>
      <c r="BGJ69"/>
      <c r="BGK69"/>
      <c r="BGL69"/>
      <c r="BGM69"/>
      <c r="BGN69"/>
      <c r="BGO69"/>
      <c r="BGP69"/>
      <c r="BGQ69"/>
      <c r="BGR69"/>
      <c r="BGS69"/>
      <c r="BGT69"/>
      <c r="BGU69"/>
      <c r="BGV69"/>
      <c r="BGW69"/>
      <c r="BGX69"/>
      <c r="BGY69"/>
      <c r="BGZ69"/>
      <c r="BHA69"/>
      <c r="BHB69"/>
      <c r="BHC69"/>
      <c r="BHD69"/>
      <c r="BHE69"/>
      <c r="BHF69"/>
      <c r="BHG69"/>
      <c r="BHH69"/>
      <c r="BHI69"/>
      <c r="BHJ69"/>
      <c r="BHK69"/>
      <c r="BHL69"/>
      <c r="BHM69"/>
      <c r="BHN69"/>
      <c r="BHO69"/>
      <c r="BHP69"/>
      <c r="BHQ69"/>
      <c r="BHR69"/>
      <c r="BHS69"/>
      <c r="BHT69"/>
      <c r="BHU69"/>
      <c r="BHV69"/>
      <c r="BHW69"/>
      <c r="BHX69"/>
      <c r="BHY69"/>
      <c r="BHZ69"/>
      <c r="BIA69"/>
      <c r="BIB69"/>
      <c r="BIC69"/>
      <c r="BID69"/>
      <c r="BIE69"/>
      <c r="BIF69"/>
      <c r="BIG69"/>
      <c r="BIH69"/>
      <c r="BII69"/>
      <c r="BIJ69"/>
      <c r="BIK69"/>
      <c r="BIL69"/>
      <c r="BIM69"/>
      <c r="BIN69"/>
      <c r="BIO69"/>
      <c r="BIP69"/>
      <c r="BIQ69"/>
      <c r="BIR69"/>
      <c r="BIS69"/>
      <c r="BIT69"/>
      <c r="BIU69"/>
      <c r="BIV69"/>
      <c r="BIW69"/>
      <c r="BIX69"/>
      <c r="BIY69"/>
      <c r="BIZ69"/>
      <c r="BJA69"/>
      <c r="BJB69"/>
      <c r="BJC69"/>
      <c r="BJD69"/>
      <c r="BJE69"/>
      <c r="BJF69"/>
      <c r="BJG69"/>
      <c r="BJH69"/>
      <c r="BJI69"/>
      <c r="BJJ69"/>
      <c r="BJK69"/>
      <c r="BJL69"/>
      <c r="BJM69"/>
      <c r="BJN69"/>
      <c r="BJO69"/>
      <c r="BJP69"/>
      <c r="BJQ69"/>
      <c r="BJR69"/>
      <c r="BJS69"/>
      <c r="BJT69"/>
      <c r="BJU69"/>
      <c r="BJV69"/>
      <c r="BJW69"/>
      <c r="BJX69"/>
      <c r="BJY69"/>
      <c r="BJZ69"/>
      <c r="BKA69"/>
      <c r="BKB69"/>
      <c r="BKC69"/>
      <c r="BKD69"/>
      <c r="BKE69"/>
      <c r="BKF69"/>
      <c r="BKG69"/>
      <c r="BKH69"/>
      <c r="BKI69"/>
      <c r="BKJ69"/>
      <c r="BKK69"/>
      <c r="BKL69"/>
      <c r="BKM69"/>
      <c r="BKN69"/>
      <c r="BKO69"/>
      <c r="BKP69"/>
      <c r="BKQ69"/>
      <c r="BKR69"/>
      <c r="BKS69"/>
      <c r="BKT69"/>
      <c r="BKU69"/>
      <c r="BKV69"/>
      <c r="BKW69"/>
      <c r="BKX69"/>
      <c r="BKY69"/>
      <c r="BKZ69"/>
      <c r="BLA69"/>
      <c r="BLB69"/>
      <c r="BLC69"/>
      <c r="BLD69"/>
      <c r="BLE69"/>
      <c r="BLF69"/>
      <c r="BLG69"/>
      <c r="BLH69"/>
      <c r="BLI69"/>
      <c r="BLJ69"/>
      <c r="BLK69"/>
      <c r="BLL69"/>
      <c r="BLM69"/>
      <c r="BLN69"/>
      <c r="BLO69"/>
      <c r="BLP69"/>
      <c r="BLQ69"/>
      <c r="BLR69"/>
      <c r="BLS69"/>
      <c r="BLT69"/>
      <c r="BLU69"/>
      <c r="BLV69"/>
      <c r="BLW69"/>
      <c r="BLX69"/>
      <c r="BLY69"/>
      <c r="BLZ69"/>
      <c r="BMA69"/>
      <c r="BMB69"/>
      <c r="BMC69"/>
      <c r="BMD69"/>
      <c r="BME69"/>
      <c r="BMF69"/>
      <c r="BMG69"/>
      <c r="BMH69"/>
      <c r="BMI69"/>
      <c r="BMJ69"/>
      <c r="BMK69"/>
      <c r="BML69"/>
      <c r="BMM69"/>
      <c r="BMN69"/>
      <c r="BMO69"/>
      <c r="BMP69"/>
      <c r="BMQ69"/>
      <c r="BMR69"/>
      <c r="BMS69"/>
      <c r="BMT69"/>
      <c r="BMU69"/>
      <c r="BMV69"/>
      <c r="BMW69"/>
      <c r="BMX69"/>
      <c r="BMY69"/>
      <c r="BMZ69"/>
      <c r="BNA69"/>
      <c r="BNB69"/>
      <c r="BNC69"/>
      <c r="BND69"/>
      <c r="BNE69"/>
      <c r="BNF69"/>
      <c r="BNG69"/>
      <c r="BNH69"/>
      <c r="BNI69"/>
      <c r="BNJ69"/>
      <c r="BNK69"/>
      <c r="BNL69"/>
      <c r="BNM69"/>
      <c r="BNN69"/>
      <c r="BNO69"/>
      <c r="BNP69"/>
      <c r="BNQ69"/>
      <c r="BNR69"/>
      <c r="BNS69"/>
      <c r="BNT69"/>
      <c r="BNU69"/>
      <c r="BNV69"/>
      <c r="BNW69"/>
      <c r="BNX69"/>
      <c r="BNY69"/>
      <c r="BNZ69"/>
      <c r="BOA69"/>
      <c r="BOB69"/>
      <c r="BOC69"/>
      <c r="BOD69"/>
      <c r="BOE69"/>
      <c r="BOF69"/>
      <c r="BOG69"/>
      <c r="BOH69"/>
      <c r="BOI69"/>
      <c r="BOJ69"/>
      <c r="BOK69"/>
      <c r="BOL69"/>
      <c r="BOM69"/>
      <c r="BON69"/>
      <c r="BOO69"/>
      <c r="BOP69"/>
      <c r="BOQ69"/>
      <c r="BOR69"/>
      <c r="BOS69"/>
      <c r="BOT69"/>
      <c r="BOU69"/>
      <c r="BOV69"/>
      <c r="BOW69"/>
      <c r="BOX69"/>
      <c r="BOY69"/>
      <c r="BOZ69"/>
      <c r="BPA69"/>
      <c r="BPB69"/>
      <c r="BPC69"/>
      <c r="BPD69"/>
      <c r="BPE69"/>
      <c r="BPF69"/>
      <c r="BPG69"/>
      <c r="BPH69"/>
      <c r="BPI69"/>
      <c r="BPJ69"/>
      <c r="BPK69"/>
      <c r="BPL69"/>
      <c r="BPM69"/>
      <c r="BPN69"/>
      <c r="BPO69"/>
      <c r="BPP69"/>
      <c r="BPQ69"/>
      <c r="BPR69"/>
      <c r="BPS69"/>
      <c r="BPT69"/>
      <c r="BPU69"/>
      <c r="BPV69"/>
      <c r="BPW69"/>
      <c r="BPX69"/>
      <c r="BPY69"/>
      <c r="BPZ69"/>
      <c r="BQA69"/>
      <c r="BQB69"/>
      <c r="BQC69"/>
      <c r="BQD69"/>
      <c r="BQE69"/>
      <c r="BQF69"/>
      <c r="BQG69"/>
      <c r="BQH69"/>
      <c r="BQI69"/>
      <c r="BQJ69"/>
      <c r="BQK69"/>
      <c r="BQL69"/>
      <c r="BQM69"/>
      <c r="BQN69"/>
      <c r="BQO69"/>
      <c r="BQP69"/>
      <c r="BQQ69"/>
      <c r="BQR69"/>
      <c r="BQS69"/>
      <c r="BQT69"/>
      <c r="BQU69"/>
      <c r="BQV69"/>
      <c r="BQW69"/>
      <c r="BQX69"/>
      <c r="BQY69"/>
      <c r="BQZ69"/>
      <c r="BRA69"/>
      <c r="BRB69"/>
      <c r="BRC69"/>
      <c r="BRD69"/>
      <c r="BRE69"/>
      <c r="BRF69"/>
      <c r="BRG69"/>
      <c r="BRH69"/>
      <c r="BRI69"/>
      <c r="BRJ69"/>
      <c r="BRK69"/>
      <c r="BRL69"/>
      <c r="BRM69"/>
      <c r="BRN69"/>
      <c r="BRO69"/>
      <c r="BRP69"/>
      <c r="BRQ69"/>
      <c r="BRR69"/>
      <c r="BRS69"/>
      <c r="BRT69"/>
      <c r="BRU69"/>
      <c r="BRV69"/>
      <c r="BRW69"/>
      <c r="BRX69"/>
      <c r="BRY69"/>
      <c r="BRZ69"/>
      <c r="BSA69"/>
      <c r="BSB69"/>
      <c r="BSC69"/>
      <c r="BSD69"/>
      <c r="BSE69"/>
      <c r="BSF69"/>
      <c r="BSG69"/>
      <c r="BSH69"/>
      <c r="BSI69"/>
      <c r="BSJ69"/>
      <c r="BSK69"/>
      <c r="BSL69"/>
      <c r="BSM69"/>
      <c r="BSN69"/>
      <c r="BSO69"/>
      <c r="BSP69"/>
      <c r="BSQ69"/>
      <c r="BSR69"/>
      <c r="BSS69"/>
      <c r="BST69"/>
      <c r="BSU69"/>
      <c r="BSV69"/>
      <c r="BSW69"/>
      <c r="BSX69"/>
      <c r="BSY69"/>
      <c r="BSZ69"/>
      <c r="BTA69"/>
      <c r="BTB69"/>
      <c r="BTC69"/>
      <c r="BTD69"/>
      <c r="BTE69"/>
      <c r="BTF69"/>
      <c r="BTG69"/>
      <c r="BTH69"/>
      <c r="BTI69"/>
      <c r="BTJ69"/>
      <c r="BTK69"/>
      <c r="BTL69"/>
      <c r="BTM69"/>
      <c r="BTN69"/>
      <c r="BTO69"/>
      <c r="BTP69"/>
      <c r="BTQ69"/>
      <c r="BTR69"/>
      <c r="BTS69"/>
      <c r="BTT69"/>
      <c r="BTU69"/>
      <c r="BTV69"/>
      <c r="BTW69"/>
      <c r="BTX69"/>
      <c r="BTY69"/>
      <c r="BTZ69"/>
      <c r="BUA69"/>
      <c r="BUB69"/>
      <c r="BUC69"/>
      <c r="BUD69"/>
      <c r="BUE69"/>
      <c r="BUF69"/>
      <c r="BUG69"/>
      <c r="BUH69"/>
      <c r="BUI69"/>
      <c r="BUJ69"/>
      <c r="BUK69"/>
      <c r="BUL69"/>
      <c r="BUM69"/>
      <c r="BUN69"/>
      <c r="BUO69"/>
      <c r="BUP69"/>
      <c r="BUQ69"/>
      <c r="BUR69"/>
      <c r="BUS69"/>
      <c r="BUT69"/>
      <c r="BUU69"/>
      <c r="BUV69"/>
      <c r="BUW69"/>
      <c r="BUX69"/>
      <c r="BUY69"/>
      <c r="BUZ69"/>
      <c r="BVA69"/>
      <c r="BVB69"/>
      <c r="BVC69"/>
      <c r="BVD69"/>
      <c r="BVE69"/>
      <c r="BVF69"/>
      <c r="BVG69"/>
      <c r="BVH69"/>
      <c r="BVI69"/>
      <c r="BVJ69"/>
      <c r="BVK69"/>
      <c r="BVL69"/>
      <c r="BVM69"/>
      <c r="BVN69"/>
      <c r="BVO69"/>
      <c r="BVP69"/>
      <c r="BVQ69"/>
      <c r="BVR69"/>
      <c r="BVS69"/>
      <c r="BVT69"/>
      <c r="BVU69"/>
      <c r="BVV69"/>
      <c r="BVW69"/>
      <c r="BVX69"/>
      <c r="BVY69"/>
      <c r="BVZ69"/>
      <c r="BWA69"/>
      <c r="BWB69"/>
      <c r="BWC69"/>
      <c r="BWD69"/>
      <c r="BWE69"/>
      <c r="BWF69"/>
      <c r="BWG69"/>
      <c r="BWH69"/>
      <c r="BWI69"/>
      <c r="BWJ69"/>
      <c r="BWK69"/>
      <c r="BWL69"/>
      <c r="BWM69"/>
      <c r="BWN69"/>
      <c r="BWO69"/>
      <c r="BWP69"/>
      <c r="BWQ69"/>
      <c r="BWR69"/>
      <c r="BWS69"/>
      <c r="BWT69"/>
      <c r="BWU69"/>
      <c r="BWV69"/>
      <c r="BWW69"/>
      <c r="BWX69"/>
      <c r="BWY69"/>
      <c r="BWZ69"/>
      <c r="BXA69"/>
      <c r="BXB69"/>
      <c r="BXC69"/>
      <c r="BXD69"/>
      <c r="BXE69"/>
      <c r="BXF69"/>
      <c r="BXG69"/>
      <c r="BXH69"/>
      <c r="BXI69"/>
      <c r="BXJ69"/>
      <c r="BXK69"/>
      <c r="BXL69"/>
      <c r="BXM69"/>
      <c r="BXN69"/>
      <c r="BXO69"/>
      <c r="BXP69"/>
      <c r="BXQ69"/>
      <c r="BXR69"/>
      <c r="BXS69"/>
      <c r="BXT69"/>
      <c r="BXU69"/>
      <c r="BXV69"/>
      <c r="BXW69"/>
      <c r="BXX69"/>
      <c r="BXY69"/>
      <c r="BXZ69"/>
      <c r="BYA69"/>
      <c r="BYB69"/>
      <c r="BYC69"/>
      <c r="BYD69"/>
      <c r="BYE69"/>
      <c r="BYF69"/>
      <c r="BYG69"/>
      <c r="BYH69"/>
      <c r="BYI69"/>
      <c r="BYJ69"/>
      <c r="BYK69"/>
      <c r="BYL69"/>
      <c r="BYM69"/>
      <c r="BYN69"/>
      <c r="BYO69"/>
      <c r="BYP69"/>
      <c r="BYQ69"/>
      <c r="BYR69"/>
      <c r="BYS69"/>
      <c r="BYT69"/>
      <c r="BYU69"/>
      <c r="BYV69"/>
      <c r="BYW69"/>
      <c r="BYX69"/>
      <c r="BYY69"/>
      <c r="BYZ69"/>
      <c r="BZA69"/>
      <c r="BZB69"/>
      <c r="BZC69"/>
      <c r="BZD69"/>
      <c r="BZE69"/>
      <c r="BZF69"/>
      <c r="BZG69"/>
      <c r="BZH69"/>
      <c r="BZI69"/>
      <c r="BZJ69"/>
      <c r="BZK69"/>
      <c r="BZL69"/>
      <c r="BZM69"/>
      <c r="BZN69"/>
      <c r="BZO69"/>
      <c r="BZP69"/>
      <c r="BZQ69"/>
      <c r="BZR69"/>
      <c r="BZS69"/>
      <c r="BZT69"/>
      <c r="BZU69"/>
      <c r="BZV69"/>
      <c r="BZW69"/>
      <c r="BZX69"/>
      <c r="BZY69"/>
      <c r="BZZ69"/>
      <c r="CAA69"/>
      <c r="CAB69"/>
      <c r="CAC69"/>
      <c r="CAD69"/>
      <c r="CAE69"/>
      <c r="CAF69"/>
      <c r="CAG69"/>
      <c r="CAH69"/>
      <c r="CAI69"/>
      <c r="CAJ69"/>
      <c r="CAK69"/>
      <c r="CAL69"/>
      <c r="CAM69"/>
      <c r="CAN69"/>
      <c r="CAO69"/>
      <c r="CAP69"/>
      <c r="CAQ69"/>
      <c r="CAR69"/>
      <c r="CAS69"/>
      <c r="CAT69"/>
      <c r="CAU69"/>
      <c r="CAV69"/>
      <c r="CAW69"/>
      <c r="CAX69"/>
      <c r="CAY69"/>
      <c r="CAZ69"/>
      <c r="CBA69"/>
      <c r="CBB69"/>
      <c r="CBC69"/>
      <c r="CBD69"/>
      <c r="CBE69"/>
      <c r="CBF69"/>
      <c r="CBG69"/>
      <c r="CBH69"/>
      <c r="CBI69"/>
      <c r="CBJ69"/>
      <c r="CBK69"/>
      <c r="CBL69"/>
      <c r="CBM69"/>
      <c r="CBN69"/>
      <c r="CBO69"/>
      <c r="CBP69"/>
      <c r="CBQ69"/>
      <c r="CBR69"/>
      <c r="CBS69"/>
      <c r="CBT69"/>
      <c r="CBU69"/>
      <c r="CBV69"/>
      <c r="CBW69"/>
      <c r="CBX69"/>
      <c r="CBY69"/>
      <c r="CBZ69"/>
      <c r="CCA69"/>
      <c r="CCB69"/>
      <c r="CCC69"/>
      <c r="CCD69"/>
      <c r="CCE69"/>
      <c r="CCF69"/>
      <c r="CCG69"/>
      <c r="CCH69"/>
      <c r="CCI69"/>
      <c r="CCJ69"/>
      <c r="CCK69"/>
      <c r="CCL69"/>
      <c r="CCM69"/>
      <c r="CCN69"/>
      <c r="CCO69"/>
      <c r="CCP69"/>
      <c r="CCQ69"/>
      <c r="CCR69"/>
      <c r="CCS69"/>
      <c r="CCT69"/>
      <c r="CCU69"/>
      <c r="CCV69"/>
      <c r="CCW69"/>
      <c r="CCX69"/>
      <c r="CCY69"/>
      <c r="CCZ69"/>
      <c r="CDA69"/>
      <c r="CDB69"/>
      <c r="CDC69"/>
      <c r="CDD69"/>
      <c r="CDE69"/>
      <c r="CDF69"/>
      <c r="CDG69"/>
      <c r="CDH69"/>
      <c r="CDI69"/>
      <c r="CDJ69"/>
      <c r="CDK69"/>
      <c r="CDL69"/>
      <c r="CDM69"/>
      <c r="CDN69"/>
      <c r="CDO69"/>
      <c r="CDP69"/>
      <c r="CDQ69"/>
      <c r="CDR69"/>
      <c r="CDS69"/>
      <c r="CDT69"/>
      <c r="CDU69"/>
      <c r="CDV69"/>
      <c r="CDW69"/>
      <c r="CDX69"/>
      <c r="CDY69"/>
      <c r="CDZ69"/>
      <c r="CEA69"/>
      <c r="CEB69"/>
      <c r="CEC69"/>
      <c r="CED69"/>
      <c r="CEE69"/>
      <c r="CEF69"/>
      <c r="CEG69"/>
      <c r="CEH69"/>
      <c r="CEI69"/>
      <c r="CEJ69"/>
      <c r="CEK69"/>
      <c r="CEL69"/>
      <c r="CEM69"/>
      <c r="CEN69"/>
      <c r="CEO69"/>
      <c r="CEP69"/>
      <c r="CEQ69"/>
      <c r="CER69"/>
      <c r="CES69"/>
      <c r="CET69"/>
      <c r="CEU69"/>
      <c r="CEV69"/>
      <c r="CEW69"/>
      <c r="CEX69"/>
      <c r="CEY69"/>
      <c r="CEZ69"/>
      <c r="CFA69"/>
      <c r="CFB69"/>
      <c r="CFC69"/>
      <c r="CFD69"/>
      <c r="CFE69"/>
      <c r="CFF69"/>
      <c r="CFG69"/>
      <c r="CFH69"/>
      <c r="CFI69"/>
      <c r="CFJ69"/>
      <c r="CFK69"/>
      <c r="CFL69"/>
      <c r="CFM69"/>
      <c r="CFN69"/>
      <c r="CFO69"/>
      <c r="CFP69"/>
      <c r="CFQ69"/>
      <c r="CFR69"/>
      <c r="CFS69"/>
      <c r="CFT69"/>
      <c r="CFU69"/>
      <c r="CFV69"/>
      <c r="CFW69"/>
      <c r="CFX69"/>
      <c r="CFY69"/>
      <c r="CFZ69"/>
      <c r="CGA69"/>
      <c r="CGB69"/>
      <c r="CGC69"/>
      <c r="CGD69"/>
      <c r="CGE69"/>
      <c r="CGF69"/>
      <c r="CGG69"/>
      <c r="CGH69"/>
      <c r="CGI69"/>
      <c r="CGJ69"/>
      <c r="CGK69"/>
      <c r="CGL69"/>
      <c r="CGM69"/>
      <c r="CGN69"/>
      <c r="CGO69"/>
      <c r="CGP69"/>
      <c r="CGQ69"/>
      <c r="CGR69"/>
      <c r="CGS69"/>
      <c r="CGT69"/>
      <c r="CGU69"/>
      <c r="CGV69"/>
      <c r="CGW69"/>
      <c r="CGX69"/>
      <c r="CGY69"/>
      <c r="CGZ69"/>
      <c r="CHA69"/>
      <c r="CHB69"/>
      <c r="CHC69"/>
      <c r="CHD69"/>
      <c r="CHE69"/>
      <c r="CHF69"/>
      <c r="CHG69"/>
      <c r="CHH69"/>
      <c r="CHI69"/>
      <c r="CHJ69"/>
      <c r="CHK69"/>
      <c r="CHL69"/>
      <c r="CHM69"/>
      <c r="CHN69"/>
      <c r="CHO69"/>
      <c r="CHP69"/>
      <c r="CHQ69"/>
      <c r="CHR69"/>
      <c r="CHS69"/>
      <c r="CHT69"/>
      <c r="CHU69"/>
      <c r="CHV69"/>
      <c r="CHW69"/>
      <c r="CHX69"/>
      <c r="CHY69"/>
      <c r="CHZ69"/>
      <c r="CIA69"/>
      <c r="CIB69"/>
      <c r="CIC69"/>
      <c r="CID69"/>
      <c r="CIE69"/>
      <c r="CIF69"/>
      <c r="CIG69"/>
      <c r="CIH69"/>
      <c r="CII69"/>
      <c r="CIJ69"/>
      <c r="CIK69"/>
      <c r="CIL69"/>
      <c r="CIM69"/>
      <c r="CIN69"/>
      <c r="CIO69"/>
      <c r="CIP69"/>
      <c r="CIQ69"/>
      <c r="CIR69"/>
      <c r="CIS69"/>
      <c r="CIT69"/>
      <c r="CIU69"/>
      <c r="CIV69"/>
      <c r="CIW69"/>
      <c r="CIX69"/>
      <c r="CIY69"/>
      <c r="CIZ69"/>
      <c r="CJA69"/>
      <c r="CJB69"/>
      <c r="CJC69"/>
      <c r="CJD69"/>
      <c r="CJE69"/>
      <c r="CJF69"/>
      <c r="CJG69"/>
      <c r="CJH69"/>
      <c r="CJI69"/>
      <c r="CJJ69"/>
      <c r="CJK69"/>
      <c r="CJL69"/>
      <c r="CJM69"/>
      <c r="CJN69"/>
      <c r="CJO69"/>
      <c r="CJP69"/>
      <c r="CJQ69"/>
      <c r="CJR69"/>
      <c r="CJS69"/>
      <c r="CJT69"/>
      <c r="CJU69"/>
      <c r="CJV69"/>
      <c r="CJW69"/>
      <c r="CJX69"/>
      <c r="CJY69"/>
      <c r="CJZ69"/>
      <c r="CKA69"/>
      <c r="CKB69"/>
      <c r="CKC69"/>
      <c r="CKD69"/>
      <c r="CKE69"/>
      <c r="CKF69"/>
      <c r="CKG69"/>
      <c r="CKH69"/>
      <c r="CKI69"/>
      <c r="CKJ69"/>
      <c r="CKK69"/>
      <c r="CKL69"/>
      <c r="CKM69"/>
      <c r="CKN69"/>
      <c r="CKO69"/>
      <c r="CKP69"/>
      <c r="CKQ69"/>
      <c r="CKR69"/>
      <c r="CKS69"/>
      <c r="CKT69"/>
      <c r="CKU69"/>
      <c r="CKV69"/>
      <c r="CKW69"/>
      <c r="CKX69"/>
      <c r="CKY69"/>
      <c r="CKZ69"/>
      <c r="CLA69"/>
      <c r="CLB69"/>
      <c r="CLC69"/>
      <c r="CLD69"/>
      <c r="CLE69"/>
      <c r="CLF69"/>
      <c r="CLG69"/>
      <c r="CLH69"/>
      <c r="CLI69"/>
      <c r="CLJ69"/>
      <c r="CLK69"/>
      <c r="CLL69"/>
      <c r="CLM69"/>
      <c r="CLN69"/>
      <c r="CLO69"/>
      <c r="CLP69"/>
      <c r="CLQ69"/>
      <c r="CLR69"/>
      <c r="CLS69"/>
      <c r="CLT69"/>
      <c r="CLU69"/>
      <c r="CLV69"/>
      <c r="CLW69"/>
      <c r="CLX69"/>
      <c r="CLY69"/>
      <c r="CLZ69"/>
      <c r="CMA69"/>
      <c r="CMB69"/>
      <c r="CMC69"/>
      <c r="CMD69"/>
      <c r="CME69"/>
      <c r="CMF69"/>
      <c r="CMG69"/>
      <c r="CMH69"/>
      <c r="CMI69"/>
      <c r="CMJ69"/>
      <c r="CMK69"/>
      <c r="CML69"/>
      <c r="CMM69"/>
      <c r="CMN69"/>
      <c r="CMO69"/>
      <c r="CMP69"/>
      <c r="CMQ69"/>
      <c r="CMR69"/>
      <c r="CMS69"/>
      <c r="CMT69"/>
      <c r="CMU69"/>
      <c r="CMV69"/>
      <c r="CMW69"/>
      <c r="CMX69"/>
      <c r="CMY69"/>
      <c r="CMZ69"/>
      <c r="CNA69"/>
      <c r="CNB69"/>
      <c r="CNC69"/>
      <c r="CND69"/>
      <c r="CNE69"/>
      <c r="CNF69"/>
      <c r="CNG69"/>
      <c r="CNH69"/>
      <c r="CNI69"/>
      <c r="CNJ69"/>
      <c r="CNK69"/>
      <c r="CNL69"/>
      <c r="CNM69"/>
      <c r="CNN69"/>
      <c r="CNO69"/>
      <c r="CNP69"/>
      <c r="CNQ69"/>
      <c r="CNR69"/>
      <c r="CNS69"/>
      <c r="CNT69"/>
      <c r="CNU69"/>
      <c r="CNV69"/>
      <c r="CNW69"/>
      <c r="CNX69"/>
      <c r="CNY69"/>
      <c r="CNZ69"/>
      <c r="COA69"/>
      <c r="COB69"/>
      <c r="COC69"/>
      <c r="COD69"/>
      <c r="COE69"/>
      <c r="COF69"/>
      <c r="COG69"/>
      <c r="COH69"/>
      <c r="COI69"/>
      <c r="COJ69"/>
      <c r="COK69"/>
      <c r="COL69"/>
      <c r="COM69"/>
      <c r="CON69"/>
      <c r="COO69"/>
      <c r="COP69"/>
      <c r="COQ69"/>
      <c r="COR69"/>
      <c r="COS69"/>
      <c r="COT69"/>
      <c r="COU69"/>
      <c r="COV69"/>
      <c r="COW69"/>
      <c r="COX69"/>
      <c r="COY69"/>
      <c r="COZ69"/>
      <c r="CPA69"/>
      <c r="CPB69"/>
      <c r="CPC69"/>
      <c r="CPD69"/>
      <c r="CPE69"/>
      <c r="CPF69"/>
      <c r="CPG69"/>
      <c r="CPH69"/>
      <c r="CPI69"/>
      <c r="CPJ69"/>
      <c r="CPK69"/>
      <c r="CPL69"/>
      <c r="CPM69"/>
      <c r="CPN69"/>
      <c r="CPO69"/>
      <c r="CPP69"/>
      <c r="CPQ69"/>
      <c r="CPR69"/>
      <c r="CPS69"/>
      <c r="CPT69"/>
      <c r="CPU69"/>
      <c r="CPV69"/>
      <c r="CPW69"/>
      <c r="CPX69"/>
      <c r="CPY69"/>
      <c r="CPZ69"/>
      <c r="CQA69"/>
      <c r="CQB69"/>
      <c r="CQC69"/>
      <c r="CQD69"/>
      <c r="CQE69"/>
      <c r="CQF69"/>
      <c r="CQG69"/>
      <c r="CQH69"/>
      <c r="CQI69"/>
      <c r="CQJ69"/>
      <c r="CQK69"/>
      <c r="CQL69"/>
      <c r="CQM69"/>
      <c r="CQN69"/>
      <c r="CQO69"/>
      <c r="CQP69"/>
      <c r="CQQ69"/>
      <c r="CQR69"/>
      <c r="CQS69"/>
      <c r="CQT69"/>
      <c r="CQU69"/>
      <c r="CQV69"/>
      <c r="CQW69"/>
      <c r="CQX69"/>
      <c r="CQY69"/>
      <c r="CQZ69"/>
      <c r="CRA69"/>
      <c r="CRB69"/>
      <c r="CRC69"/>
      <c r="CRD69"/>
      <c r="CRE69"/>
      <c r="CRF69"/>
      <c r="CRG69"/>
      <c r="CRH69"/>
      <c r="CRI69"/>
      <c r="CRJ69"/>
      <c r="CRK69"/>
      <c r="CRL69"/>
      <c r="CRM69"/>
      <c r="CRN69"/>
      <c r="CRO69"/>
      <c r="CRP69"/>
      <c r="CRQ69"/>
      <c r="CRR69"/>
      <c r="CRS69"/>
      <c r="CRT69"/>
      <c r="CRU69"/>
      <c r="CRV69"/>
      <c r="CRW69"/>
      <c r="CRX69"/>
      <c r="CRY69"/>
      <c r="CRZ69"/>
      <c r="CSA69"/>
      <c r="CSB69"/>
      <c r="CSC69"/>
      <c r="CSD69"/>
      <c r="CSE69"/>
      <c r="CSF69"/>
      <c r="CSG69"/>
      <c r="CSH69"/>
      <c r="CSI69"/>
      <c r="CSJ69"/>
      <c r="CSK69"/>
      <c r="CSL69"/>
      <c r="CSM69"/>
      <c r="CSN69"/>
      <c r="CSO69"/>
      <c r="CSP69"/>
      <c r="CSQ69"/>
      <c r="CSR69"/>
      <c r="CSS69"/>
      <c r="CST69"/>
      <c r="CSU69"/>
      <c r="CSV69"/>
      <c r="CSW69"/>
      <c r="CSX69"/>
      <c r="CSY69"/>
      <c r="CSZ69"/>
      <c r="CTA69"/>
      <c r="CTB69"/>
      <c r="CTC69"/>
      <c r="CTD69"/>
      <c r="CTE69"/>
      <c r="CTF69"/>
      <c r="CTG69"/>
      <c r="CTH69"/>
      <c r="CTI69"/>
      <c r="CTJ69"/>
      <c r="CTK69"/>
      <c r="CTL69"/>
      <c r="CTM69"/>
      <c r="CTN69"/>
      <c r="CTO69"/>
      <c r="CTP69"/>
      <c r="CTQ69"/>
      <c r="CTR69"/>
      <c r="CTS69"/>
      <c r="CTT69"/>
      <c r="CTU69"/>
      <c r="CTV69"/>
      <c r="CTW69"/>
      <c r="CTX69"/>
      <c r="CTY69"/>
      <c r="CTZ69"/>
      <c r="CUA69"/>
      <c r="CUB69"/>
      <c r="CUC69"/>
      <c r="CUD69"/>
      <c r="CUE69"/>
      <c r="CUF69"/>
      <c r="CUG69"/>
      <c r="CUH69"/>
      <c r="CUI69"/>
      <c r="CUJ69"/>
      <c r="CUK69"/>
      <c r="CUL69"/>
      <c r="CUM69"/>
      <c r="CUN69"/>
      <c r="CUO69"/>
      <c r="CUP69"/>
      <c r="CUQ69"/>
      <c r="CUR69"/>
      <c r="CUS69"/>
      <c r="CUT69"/>
      <c r="CUU69"/>
      <c r="CUV69"/>
      <c r="CUW69"/>
      <c r="CUX69"/>
      <c r="CUY69"/>
      <c r="CUZ69"/>
      <c r="CVA69"/>
      <c r="CVB69"/>
      <c r="CVC69"/>
      <c r="CVD69"/>
      <c r="CVE69"/>
      <c r="CVF69"/>
      <c r="CVG69"/>
      <c r="CVH69"/>
      <c r="CVI69"/>
      <c r="CVJ69"/>
      <c r="CVK69"/>
      <c r="CVL69"/>
      <c r="CVM69"/>
      <c r="CVN69"/>
      <c r="CVO69"/>
      <c r="CVP69"/>
      <c r="CVQ69"/>
      <c r="CVR69"/>
      <c r="CVS69"/>
      <c r="CVT69"/>
      <c r="CVU69"/>
      <c r="CVV69"/>
      <c r="CVW69"/>
      <c r="CVX69"/>
      <c r="CVY69"/>
      <c r="CVZ69"/>
      <c r="CWA69"/>
      <c r="CWB69"/>
      <c r="CWC69"/>
      <c r="CWD69"/>
      <c r="CWE69"/>
      <c r="CWF69"/>
      <c r="CWG69"/>
      <c r="CWH69"/>
      <c r="CWI69"/>
      <c r="CWJ69"/>
      <c r="CWK69"/>
      <c r="CWL69"/>
      <c r="CWM69"/>
      <c r="CWN69"/>
      <c r="CWO69"/>
      <c r="CWP69"/>
      <c r="CWQ69"/>
      <c r="CWR69"/>
      <c r="CWS69"/>
      <c r="CWT69"/>
      <c r="CWU69"/>
      <c r="CWV69"/>
      <c r="CWW69"/>
      <c r="CWX69"/>
      <c r="CWY69"/>
      <c r="CWZ69"/>
      <c r="CXA69"/>
      <c r="CXB69"/>
      <c r="CXC69"/>
      <c r="CXD69"/>
      <c r="CXE69"/>
      <c r="CXF69"/>
      <c r="CXG69"/>
      <c r="CXH69"/>
      <c r="CXI69"/>
      <c r="CXJ69"/>
      <c r="CXK69"/>
      <c r="CXL69"/>
      <c r="CXM69"/>
      <c r="CXN69"/>
      <c r="CXO69"/>
      <c r="CXP69"/>
      <c r="CXQ69"/>
      <c r="CXR69"/>
      <c r="CXS69"/>
      <c r="CXT69"/>
      <c r="CXU69"/>
      <c r="CXV69"/>
      <c r="CXW69"/>
      <c r="CXX69"/>
      <c r="CXY69"/>
      <c r="CXZ69"/>
      <c r="CYA69"/>
      <c r="CYB69"/>
      <c r="CYC69"/>
      <c r="CYD69"/>
      <c r="CYE69"/>
      <c r="CYF69"/>
      <c r="CYG69"/>
      <c r="CYH69"/>
      <c r="CYI69"/>
      <c r="CYJ69"/>
      <c r="CYK69"/>
      <c r="CYL69"/>
      <c r="CYM69"/>
      <c r="CYN69"/>
      <c r="CYO69"/>
      <c r="CYP69"/>
      <c r="CYQ69"/>
      <c r="CYR69"/>
      <c r="CYS69"/>
      <c r="CYT69"/>
      <c r="CYU69"/>
      <c r="CYV69"/>
      <c r="CYW69"/>
      <c r="CYX69"/>
      <c r="CYY69"/>
      <c r="CYZ69"/>
      <c r="CZA69"/>
      <c r="CZB69"/>
      <c r="CZC69"/>
      <c r="CZD69"/>
      <c r="CZE69"/>
      <c r="CZF69"/>
      <c r="CZG69"/>
      <c r="CZH69"/>
      <c r="CZI69"/>
      <c r="CZJ69"/>
      <c r="CZK69"/>
      <c r="CZL69"/>
      <c r="CZM69"/>
      <c r="CZN69"/>
      <c r="CZO69"/>
      <c r="CZP69"/>
      <c r="CZQ69"/>
      <c r="CZR69"/>
      <c r="CZS69"/>
      <c r="CZT69"/>
      <c r="CZU69"/>
      <c r="CZV69"/>
      <c r="CZW69"/>
      <c r="CZX69"/>
      <c r="CZY69"/>
      <c r="CZZ69"/>
      <c r="DAA69"/>
      <c r="DAB69"/>
      <c r="DAC69"/>
      <c r="DAD69"/>
      <c r="DAE69"/>
      <c r="DAF69"/>
      <c r="DAG69"/>
      <c r="DAH69"/>
      <c r="DAI69"/>
      <c r="DAJ69"/>
      <c r="DAK69"/>
      <c r="DAL69"/>
      <c r="DAM69"/>
      <c r="DAN69"/>
      <c r="DAO69"/>
      <c r="DAP69"/>
      <c r="DAQ69"/>
      <c r="DAR69"/>
      <c r="DAS69"/>
      <c r="DAT69"/>
      <c r="DAU69"/>
      <c r="DAV69"/>
      <c r="DAW69"/>
      <c r="DAX69"/>
      <c r="DAY69"/>
      <c r="DAZ69"/>
      <c r="DBA69"/>
      <c r="DBB69"/>
      <c r="DBC69"/>
      <c r="DBD69"/>
      <c r="DBE69"/>
      <c r="DBF69"/>
      <c r="DBG69"/>
      <c r="DBH69"/>
      <c r="DBI69"/>
      <c r="DBJ69"/>
      <c r="DBK69"/>
      <c r="DBL69"/>
      <c r="DBM69"/>
      <c r="DBN69"/>
      <c r="DBO69"/>
      <c r="DBP69"/>
      <c r="DBQ69"/>
      <c r="DBR69"/>
      <c r="DBS69"/>
      <c r="DBT69"/>
      <c r="DBU69"/>
      <c r="DBV69"/>
      <c r="DBW69"/>
      <c r="DBX69"/>
      <c r="DBY69"/>
      <c r="DBZ69"/>
      <c r="DCA69"/>
      <c r="DCB69"/>
      <c r="DCC69"/>
      <c r="DCD69"/>
      <c r="DCE69"/>
      <c r="DCF69"/>
      <c r="DCG69"/>
      <c r="DCH69"/>
      <c r="DCI69"/>
      <c r="DCJ69"/>
      <c r="DCK69"/>
      <c r="DCL69"/>
      <c r="DCM69"/>
      <c r="DCN69"/>
      <c r="DCO69"/>
      <c r="DCP69"/>
      <c r="DCQ69"/>
      <c r="DCR69"/>
      <c r="DCS69"/>
      <c r="DCT69"/>
      <c r="DCU69"/>
      <c r="DCV69"/>
      <c r="DCW69"/>
      <c r="DCX69"/>
      <c r="DCY69"/>
      <c r="DCZ69"/>
      <c r="DDA69"/>
      <c r="DDB69"/>
      <c r="DDC69"/>
      <c r="DDD69"/>
      <c r="DDE69"/>
      <c r="DDF69"/>
      <c r="DDG69"/>
      <c r="DDH69"/>
      <c r="DDI69"/>
      <c r="DDJ69"/>
      <c r="DDK69"/>
      <c r="DDL69"/>
      <c r="DDM69"/>
      <c r="DDN69"/>
      <c r="DDO69"/>
      <c r="DDP69"/>
      <c r="DDQ69"/>
      <c r="DDR69"/>
      <c r="DDS69"/>
      <c r="DDT69"/>
      <c r="DDU69"/>
      <c r="DDV69"/>
      <c r="DDW69"/>
      <c r="DDX69"/>
      <c r="DDY69"/>
      <c r="DDZ69"/>
      <c r="DEA69"/>
      <c r="DEB69"/>
      <c r="DEC69"/>
      <c r="DED69"/>
      <c r="DEE69"/>
      <c r="DEF69"/>
      <c r="DEG69"/>
      <c r="DEH69"/>
      <c r="DEI69"/>
      <c r="DEJ69"/>
      <c r="DEK69"/>
      <c r="DEL69"/>
      <c r="DEM69"/>
      <c r="DEN69"/>
      <c r="DEO69"/>
      <c r="DEP69"/>
      <c r="DEQ69"/>
      <c r="DER69"/>
      <c r="DES69"/>
      <c r="DET69"/>
      <c r="DEU69"/>
      <c r="DEV69"/>
      <c r="DEW69"/>
      <c r="DEX69"/>
      <c r="DEY69"/>
      <c r="DEZ69"/>
      <c r="DFA69"/>
      <c r="DFB69"/>
      <c r="DFC69"/>
      <c r="DFD69"/>
      <c r="DFE69"/>
      <c r="DFF69"/>
      <c r="DFG69"/>
      <c r="DFH69"/>
      <c r="DFI69"/>
      <c r="DFJ69"/>
      <c r="DFK69"/>
      <c r="DFL69"/>
      <c r="DFM69"/>
      <c r="DFN69"/>
      <c r="DFO69"/>
      <c r="DFP69"/>
      <c r="DFQ69"/>
      <c r="DFR69"/>
      <c r="DFS69"/>
      <c r="DFT69"/>
      <c r="DFU69"/>
      <c r="DFV69"/>
      <c r="DFW69"/>
      <c r="DFX69"/>
      <c r="DFY69"/>
      <c r="DFZ69"/>
      <c r="DGA69"/>
      <c r="DGB69"/>
      <c r="DGC69"/>
      <c r="DGD69"/>
      <c r="DGE69"/>
      <c r="DGF69"/>
      <c r="DGG69"/>
      <c r="DGH69"/>
      <c r="DGI69"/>
      <c r="DGJ69"/>
      <c r="DGK69"/>
      <c r="DGL69"/>
      <c r="DGM69"/>
      <c r="DGN69"/>
      <c r="DGO69"/>
      <c r="DGP69"/>
      <c r="DGQ69"/>
      <c r="DGR69"/>
      <c r="DGS69"/>
      <c r="DGT69"/>
      <c r="DGU69"/>
      <c r="DGV69"/>
      <c r="DGW69"/>
      <c r="DGX69"/>
      <c r="DGY69"/>
      <c r="DGZ69"/>
      <c r="DHA69"/>
      <c r="DHB69"/>
      <c r="DHC69"/>
      <c r="DHD69"/>
      <c r="DHE69"/>
      <c r="DHF69"/>
      <c r="DHG69"/>
      <c r="DHH69"/>
      <c r="DHI69"/>
      <c r="DHJ69"/>
      <c r="DHK69"/>
      <c r="DHL69"/>
      <c r="DHM69"/>
      <c r="DHN69"/>
      <c r="DHO69"/>
      <c r="DHP69"/>
      <c r="DHQ69"/>
      <c r="DHR69"/>
      <c r="DHS69"/>
      <c r="DHT69"/>
      <c r="DHU69"/>
      <c r="DHV69"/>
      <c r="DHW69"/>
      <c r="DHX69"/>
      <c r="DHY69"/>
      <c r="DHZ69"/>
      <c r="DIA69"/>
      <c r="DIB69"/>
      <c r="DIC69"/>
      <c r="DID69"/>
      <c r="DIE69"/>
      <c r="DIF69"/>
      <c r="DIG69"/>
      <c r="DIH69"/>
      <c r="DII69"/>
      <c r="DIJ69"/>
      <c r="DIK69"/>
      <c r="DIL69"/>
      <c r="DIM69"/>
      <c r="DIN69"/>
      <c r="DIO69"/>
      <c r="DIP69"/>
      <c r="DIQ69"/>
      <c r="DIR69"/>
      <c r="DIS69"/>
      <c r="DIT69"/>
      <c r="DIU69"/>
      <c r="DIV69"/>
      <c r="DIW69"/>
      <c r="DIX69"/>
      <c r="DIY69"/>
      <c r="DIZ69"/>
      <c r="DJA69"/>
      <c r="DJB69"/>
      <c r="DJC69"/>
      <c r="DJD69"/>
      <c r="DJE69"/>
      <c r="DJF69"/>
      <c r="DJG69"/>
      <c r="DJH69"/>
      <c r="DJI69"/>
      <c r="DJJ69"/>
      <c r="DJK69"/>
      <c r="DJL69"/>
      <c r="DJM69"/>
      <c r="DJN69"/>
      <c r="DJO69"/>
      <c r="DJP69"/>
      <c r="DJQ69"/>
      <c r="DJR69"/>
      <c r="DJS69"/>
      <c r="DJT69"/>
      <c r="DJU69"/>
      <c r="DJV69"/>
      <c r="DJW69"/>
      <c r="DJX69"/>
      <c r="DJY69"/>
      <c r="DJZ69"/>
      <c r="DKA69"/>
      <c r="DKB69"/>
      <c r="DKC69"/>
      <c r="DKD69"/>
      <c r="DKE69"/>
      <c r="DKF69"/>
      <c r="DKG69"/>
      <c r="DKH69"/>
      <c r="DKI69"/>
      <c r="DKJ69"/>
      <c r="DKK69"/>
      <c r="DKL69"/>
      <c r="DKM69"/>
      <c r="DKN69"/>
      <c r="DKO69"/>
      <c r="DKP69"/>
      <c r="DKQ69"/>
      <c r="DKR69"/>
      <c r="DKS69"/>
      <c r="DKT69"/>
      <c r="DKU69"/>
      <c r="DKV69"/>
      <c r="DKW69"/>
      <c r="DKX69"/>
      <c r="DKY69"/>
      <c r="DKZ69"/>
      <c r="DLA69"/>
      <c r="DLB69"/>
      <c r="DLC69"/>
      <c r="DLD69"/>
      <c r="DLE69"/>
      <c r="DLF69"/>
      <c r="DLG69"/>
      <c r="DLH69"/>
      <c r="DLI69"/>
      <c r="DLJ69"/>
      <c r="DLK69"/>
      <c r="DLL69"/>
      <c r="DLM69"/>
      <c r="DLN69"/>
      <c r="DLO69"/>
      <c r="DLP69"/>
      <c r="DLQ69"/>
      <c r="DLR69"/>
      <c r="DLS69"/>
      <c r="DLT69"/>
      <c r="DLU69"/>
      <c r="DLV69"/>
      <c r="DLW69"/>
      <c r="DLX69"/>
      <c r="DLY69"/>
      <c r="DLZ69"/>
      <c r="DMA69"/>
      <c r="DMB69"/>
      <c r="DMC69"/>
      <c r="DMD69"/>
      <c r="DME69"/>
      <c r="DMF69"/>
      <c r="DMG69"/>
      <c r="DMH69"/>
      <c r="DMI69"/>
      <c r="DMJ69"/>
      <c r="DMK69"/>
      <c r="DML69"/>
      <c r="DMM69"/>
      <c r="DMN69"/>
      <c r="DMO69"/>
      <c r="DMP69"/>
      <c r="DMQ69"/>
      <c r="DMR69"/>
      <c r="DMS69"/>
      <c r="DMT69"/>
      <c r="DMU69"/>
      <c r="DMV69"/>
      <c r="DMW69"/>
      <c r="DMX69"/>
      <c r="DMY69"/>
      <c r="DMZ69"/>
      <c r="DNA69"/>
      <c r="DNB69"/>
      <c r="DNC69"/>
      <c r="DND69"/>
      <c r="DNE69"/>
      <c r="DNF69"/>
      <c r="DNG69"/>
      <c r="DNH69"/>
      <c r="DNI69"/>
      <c r="DNJ69"/>
      <c r="DNK69"/>
      <c r="DNL69"/>
      <c r="DNM69"/>
      <c r="DNN69"/>
      <c r="DNO69"/>
      <c r="DNP69"/>
      <c r="DNQ69"/>
      <c r="DNR69"/>
      <c r="DNS69"/>
      <c r="DNT69"/>
      <c r="DNU69"/>
      <c r="DNV69"/>
      <c r="DNW69"/>
      <c r="DNX69"/>
      <c r="DNY69"/>
      <c r="DNZ69"/>
      <c r="DOA69"/>
      <c r="DOB69"/>
      <c r="DOC69"/>
      <c r="DOD69"/>
      <c r="DOE69"/>
      <c r="DOF69"/>
      <c r="DOG69"/>
      <c r="DOH69"/>
      <c r="DOI69"/>
      <c r="DOJ69"/>
      <c r="DOK69"/>
      <c r="DOL69"/>
      <c r="DOM69"/>
      <c r="DON69"/>
      <c r="DOO69"/>
      <c r="DOP69"/>
      <c r="DOQ69"/>
      <c r="DOR69"/>
      <c r="DOS69"/>
      <c r="DOT69"/>
      <c r="DOU69"/>
      <c r="DOV69"/>
      <c r="DOW69"/>
      <c r="DOX69"/>
      <c r="DOY69"/>
      <c r="DOZ69"/>
      <c r="DPA69"/>
      <c r="DPB69"/>
      <c r="DPC69"/>
      <c r="DPD69"/>
      <c r="DPE69"/>
      <c r="DPF69"/>
      <c r="DPG69"/>
      <c r="DPH69"/>
      <c r="DPI69"/>
      <c r="DPJ69"/>
      <c r="DPK69"/>
      <c r="DPL69"/>
      <c r="DPM69"/>
      <c r="DPN69"/>
      <c r="DPO69"/>
      <c r="DPP69"/>
      <c r="DPQ69"/>
      <c r="DPR69"/>
      <c r="DPS69"/>
      <c r="DPT69"/>
      <c r="DPU69"/>
      <c r="DPV69"/>
      <c r="DPW69"/>
      <c r="DPX69"/>
      <c r="DPY69"/>
      <c r="DPZ69"/>
      <c r="DQA69"/>
      <c r="DQB69"/>
      <c r="DQC69"/>
      <c r="DQD69"/>
      <c r="DQE69"/>
      <c r="DQF69"/>
      <c r="DQG69"/>
      <c r="DQH69"/>
      <c r="DQI69"/>
      <c r="DQJ69"/>
      <c r="DQK69"/>
      <c r="DQL69"/>
      <c r="DQM69"/>
      <c r="DQN69"/>
      <c r="DQO69"/>
      <c r="DQP69"/>
      <c r="DQQ69"/>
      <c r="DQR69"/>
      <c r="DQS69"/>
      <c r="DQT69"/>
      <c r="DQU69"/>
      <c r="DQV69"/>
      <c r="DQW69"/>
      <c r="DQX69"/>
      <c r="DQY69"/>
      <c r="DQZ69"/>
      <c r="DRA69"/>
      <c r="DRB69"/>
      <c r="DRC69"/>
      <c r="DRD69"/>
      <c r="DRE69"/>
      <c r="DRF69"/>
      <c r="DRG69"/>
      <c r="DRH69"/>
      <c r="DRI69"/>
      <c r="DRJ69"/>
      <c r="DRK69"/>
      <c r="DRL69"/>
      <c r="DRM69"/>
      <c r="DRN69"/>
      <c r="DRO69"/>
      <c r="DRP69"/>
      <c r="DRQ69"/>
      <c r="DRR69"/>
      <c r="DRS69"/>
      <c r="DRT69"/>
      <c r="DRU69"/>
      <c r="DRV69"/>
      <c r="DRW69"/>
      <c r="DRX69"/>
      <c r="DRY69"/>
      <c r="DRZ69"/>
      <c r="DSA69"/>
      <c r="DSB69"/>
      <c r="DSC69"/>
      <c r="DSD69"/>
      <c r="DSE69"/>
      <c r="DSF69"/>
      <c r="DSG69"/>
      <c r="DSH69"/>
      <c r="DSI69"/>
      <c r="DSJ69"/>
      <c r="DSK69"/>
      <c r="DSL69"/>
      <c r="DSM69"/>
      <c r="DSN69"/>
      <c r="DSO69"/>
      <c r="DSP69"/>
      <c r="DSQ69"/>
      <c r="DSR69"/>
      <c r="DSS69"/>
      <c r="DST69"/>
      <c r="DSU69"/>
      <c r="DSV69"/>
      <c r="DSW69"/>
      <c r="DSX69"/>
      <c r="DSY69"/>
      <c r="DSZ69"/>
      <c r="DTA69"/>
      <c r="DTB69"/>
      <c r="DTC69"/>
      <c r="DTD69"/>
      <c r="DTE69"/>
      <c r="DTF69"/>
      <c r="DTG69"/>
      <c r="DTH69"/>
      <c r="DTI69"/>
      <c r="DTJ69"/>
      <c r="DTK69"/>
      <c r="DTL69"/>
      <c r="DTM69"/>
      <c r="DTN69"/>
      <c r="DTO69"/>
      <c r="DTP69"/>
      <c r="DTQ69"/>
      <c r="DTR69"/>
      <c r="DTS69"/>
      <c r="DTT69"/>
      <c r="DTU69"/>
      <c r="DTV69"/>
      <c r="DTW69"/>
      <c r="DTX69"/>
      <c r="DTY69"/>
      <c r="DTZ69"/>
      <c r="DUA69"/>
      <c r="DUB69"/>
      <c r="DUC69"/>
      <c r="DUD69"/>
      <c r="DUE69"/>
      <c r="DUF69"/>
      <c r="DUG69"/>
      <c r="DUH69"/>
      <c r="DUI69"/>
      <c r="DUJ69"/>
      <c r="DUK69"/>
      <c r="DUL69"/>
      <c r="DUM69"/>
      <c r="DUN69"/>
      <c r="DUO69"/>
      <c r="DUP69"/>
      <c r="DUQ69"/>
      <c r="DUR69"/>
      <c r="DUS69"/>
      <c r="DUT69"/>
      <c r="DUU69"/>
      <c r="DUV69"/>
      <c r="DUW69"/>
      <c r="DUX69"/>
      <c r="DUY69"/>
      <c r="DUZ69"/>
      <c r="DVA69"/>
      <c r="DVB69"/>
      <c r="DVC69"/>
      <c r="DVD69"/>
      <c r="DVE69"/>
      <c r="DVF69"/>
      <c r="DVG69"/>
      <c r="DVH69"/>
      <c r="DVI69"/>
      <c r="DVJ69"/>
      <c r="DVK69"/>
      <c r="DVL69"/>
      <c r="DVM69"/>
      <c r="DVN69"/>
      <c r="DVO69"/>
      <c r="DVP69"/>
      <c r="DVQ69"/>
      <c r="DVR69"/>
      <c r="DVS69"/>
      <c r="DVT69"/>
      <c r="DVU69"/>
      <c r="DVV69"/>
      <c r="DVW69"/>
      <c r="DVX69"/>
      <c r="DVY69"/>
      <c r="DVZ69"/>
      <c r="DWA69"/>
      <c r="DWB69"/>
      <c r="DWC69"/>
      <c r="DWD69"/>
      <c r="DWE69"/>
      <c r="DWF69"/>
      <c r="DWG69"/>
      <c r="DWH69"/>
      <c r="DWI69"/>
      <c r="DWJ69"/>
      <c r="DWK69"/>
      <c r="DWL69"/>
      <c r="DWM69"/>
      <c r="DWN69"/>
      <c r="DWO69"/>
      <c r="DWP69"/>
      <c r="DWQ69"/>
      <c r="DWR69"/>
      <c r="DWS69"/>
      <c r="DWT69"/>
      <c r="DWU69"/>
      <c r="DWV69"/>
      <c r="DWW69"/>
      <c r="DWX69"/>
      <c r="DWY69"/>
      <c r="DWZ69"/>
      <c r="DXA69"/>
      <c r="DXB69"/>
      <c r="DXC69"/>
      <c r="DXD69"/>
      <c r="DXE69"/>
      <c r="DXF69"/>
      <c r="DXG69"/>
      <c r="DXH69"/>
      <c r="DXI69"/>
      <c r="DXJ69"/>
      <c r="DXK69"/>
      <c r="DXL69"/>
      <c r="DXM69"/>
      <c r="DXN69"/>
      <c r="DXO69"/>
      <c r="DXP69"/>
      <c r="DXQ69"/>
      <c r="DXR69"/>
      <c r="DXS69"/>
      <c r="DXT69"/>
      <c r="DXU69"/>
      <c r="DXV69"/>
      <c r="DXW69"/>
      <c r="DXX69"/>
      <c r="DXY69"/>
      <c r="DXZ69"/>
      <c r="DYA69"/>
      <c r="DYB69"/>
      <c r="DYC69"/>
      <c r="DYD69"/>
      <c r="DYE69"/>
      <c r="DYF69"/>
      <c r="DYG69"/>
      <c r="DYH69"/>
      <c r="DYI69"/>
      <c r="DYJ69"/>
      <c r="DYK69"/>
      <c r="DYL69"/>
      <c r="DYM69"/>
      <c r="DYN69"/>
      <c r="DYO69"/>
      <c r="DYP69"/>
      <c r="DYQ69"/>
      <c r="DYR69"/>
      <c r="DYS69"/>
      <c r="DYT69"/>
      <c r="DYU69"/>
      <c r="DYV69"/>
      <c r="DYW69"/>
      <c r="DYX69"/>
      <c r="DYY69"/>
      <c r="DYZ69"/>
      <c r="DZA69"/>
      <c r="DZB69"/>
      <c r="DZC69"/>
      <c r="DZD69"/>
      <c r="DZE69"/>
      <c r="DZF69"/>
      <c r="DZG69"/>
      <c r="DZH69"/>
      <c r="DZI69"/>
      <c r="DZJ69"/>
      <c r="DZK69"/>
      <c r="DZL69"/>
      <c r="DZM69"/>
      <c r="DZN69"/>
      <c r="DZO69"/>
      <c r="DZP69"/>
      <c r="DZQ69"/>
      <c r="DZR69"/>
      <c r="DZS69"/>
      <c r="DZT69"/>
      <c r="DZU69"/>
      <c r="DZV69"/>
      <c r="DZW69"/>
      <c r="DZX69"/>
      <c r="DZY69"/>
      <c r="DZZ69"/>
      <c r="EAA69"/>
      <c r="EAB69"/>
      <c r="EAC69"/>
      <c r="EAD69"/>
      <c r="EAE69"/>
      <c r="EAF69"/>
      <c r="EAG69"/>
      <c r="EAH69"/>
      <c r="EAI69"/>
      <c r="EAJ69"/>
      <c r="EAK69"/>
      <c r="EAL69"/>
      <c r="EAM69"/>
      <c r="EAN69"/>
      <c r="EAO69"/>
      <c r="EAP69"/>
      <c r="EAQ69"/>
      <c r="EAR69"/>
      <c r="EAS69"/>
      <c r="EAT69"/>
      <c r="EAU69"/>
      <c r="EAV69"/>
      <c r="EAW69"/>
      <c r="EAX69"/>
      <c r="EAY69"/>
      <c r="EAZ69"/>
      <c r="EBA69"/>
      <c r="EBB69"/>
      <c r="EBC69"/>
      <c r="EBD69"/>
      <c r="EBE69"/>
      <c r="EBF69"/>
      <c r="EBG69"/>
      <c r="EBH69"/>
      <c r="EBI69"/>
      <c r="EBJ69"/>
      <c r="EBK69"/>
      <c r="EBL69"/>
      <c r="EBM69"/>
      <c r="EBN69"/>
      <c r="EBO69"/>
      <c r="EBP69"/>
      <c r="EBQ69"/>
      <c r="EBR69"/>
      <c r="EBS69"/>
      <c r="EBT69"/>
      <c r="EBU69"/>
      <c r="EBV69"/>
      <c r="EBW69"/>
      <c r="EBX69"/>
      <c r="EBY69"/>
      <c r="EBZ69"/>
      <c r="ECA69"/>
      <c r="ECB69"/>
      <c r="ECC69"/>
      <c r="ECD69"/>
      <c r="ECE69"/>
      <c r="ECF69"/>
      <c r="ECG69"/>
      <c r="ECH69"/>
      <c r="ECI69"/>
      <c r="ECJ69"/>
      <c r="ECK69"/>
      <c r="ECL69"/>
      <c r="ECM69"/>
      <c r="ECN69"/>
      <c r="ECO69"/>
      <c r="ECP69"/>
      <c r="ECQ69"/>
      <c r="ECR69"/>
      <c r="ECS69"/>
      <c r="ECT69"/>
      <c r="ECU69"/>
      <c r="ECV69"/>
      <c r="ECW69"/>
      <c r="ECX69"/>
      <c r="ECY69"/>
      <c r="ECZ69"/>
      <c r="EDA69"/>
      <c r="EDB69"/>
      <c r="EDC69"/>
      <c r="EDD69"/>
      <c r="EDE69"/>
      <c r="EDF69"/>
      <c r="EDG69"/>
      <c r="EDH69"/>
      <c r="EDI69"/>
      <c r="EDJ69"/>
      <c r="EDK69"/>
      <c r="EDL69"/>
      <c r="EDM69"/>
      <c r="EDN69"/>
      <c r="EDO69"/>
      <c r="EDP69"/>
      <c r="EDQ69"/>
      <c r="EDR69"/>
      <c r="EDS69"/>
      <c r="EDT69"/>
      <c r="EDU69"/>
      <c r="EDV69"/>
      <c r="EDW69"/>
      <c r="EDX69"/>
      <c r="EDY69"/>
      <c r="EDZ69"/>
      <c r="EEA69"/>
      <c r="EEB69"/>
      <c r="EEC69"/>
      <c r="EED69"/>
      <c r="EEE69"/>
      <c r="EEF69"/>
      <c r="EEG69"/>
      <c r="EEH69"/>
      <c r="EEI69"/>
      <c r="EEJ69"/>
      <c r="EEK69"/>
      <c r="EEL69"/>
      <c r="EEM69"/>
      <c r="EEN69"/>
      <c r="EEO69"/>
      <c r="EEP69"/>
      <c r="EEQ69"/>
      <c r="EER69"/>
      <c r="EES69"/>
      <c r="EET69"/>
      <c r="EEU69"/>
      <c r="EEV69"/>
      <c r="EEW69"/>
      <c r="EEX69"/>
      <c r="EEY69"/>
      <c r="EEZ69"/>
      <c r="EFA69"/>
      <c r="EFB69"/>
      <c r="EFC69"/>
      <c r="EFD69"/>
      <c r="EFE69"/>
      <c r="EFF69"/>
      <c r="EFG69"/>
      <c r="EFH69"/>
      <c r="EFI69"/>
      <c r="EFJ69"/>
      <c r="EFK69"/>
      <c r="EFL69"/>
      <c r="EFM69"/>
      <c r="EFN69"/>
      <c r="EFO69"/>
      <c r="EFP69"/>
      <c r="EFQ69"/>
      <c r="EFR69"/>
      <c r="EFS69"/>
      <c r="EFT69"/>
      <c r="EFU69"/>
      <c r="EFV69"/>
      <c r="EFW69"/>
      <c r="EFX69"/>
      <c r="EFY69"/>
      <c r="EFZ69"/>
      <c r="EGA69"/>
      <c r="EGB69"/>
      <c r="EGC69"/>
      <c r="EGD69"/>
      <c r="EGE69"/>
      <c r="EGF69"/>
      <c r="EGG69"/>
      <c r="EGH69"/>
      <c r="EGI69"/>
      <c r="EGJ69"/>
      <c r="EGK69"/>
      <c r="EGL69"/>
      <c r="EGM69"/>
      <c r="EGN69"/>
      <c r="EGO69"/>
      <c r="EGP69"/>
      <c r="EGQ69"/>
      <c r="EGR69"/>
      <c r="EGS69"/>
      <c r="EGT69"/>
      <c r="EGU69"/>
      <c r="EGV69"/>
      <c r="EGW69"/>
      <c r="EGX69"/>
      <c r="EGY69"/>
      <c r="EGZ69"/>
      <c r="EHA69"/>
      <c r="EHB69"/>
      <c r="EHC69"/>
      <c r="EHD69"/>
      <c r="EHE69"/>
      <c r="EHF69"/>
      <c r="EHG69"/>
      <c r="EHH69"/>
      <c r="EHI69"/>
      <c r="EHJ69"/>
      <c r="EHK69"/>
      <c r="EHL69"/>
      <c r="EHM69"/>
      <c r="EHN69"/>
      <c r="EHO69"/>
      <c r="EHP69"/>
      <c r="EHQ69"/>
      <c r="EHR69"/>
      <c r="EHS69"/>
      <c r="EHT69"/>
      <c r="EHU69"/>
      <c r="EHV69"/>
      <c r="EHW69"/>
      <c r="EHX69"/>
      <c r="EHY69"/>
      <c r="EHZ69"/>
      <c r="EIA69"/>
      <c r="EIB69"/>
      <c r="EIC69"/>
      <c r="EID69"/>
      <c r="EIE69"/>
      <c r="EIF69"/>
      <c r="EIG69"/>
      <c r="EIH69"/>
      <c r="EII69"/>
      <c r="EIJ69"/>
      <c r="EIK69"/>
      <c r="EIL69"/>
      <c r="EIM69"/>
      <c r="EIN69"/>
      <c r="EIO69"/>
      <c r="EIP69"/>
      <c r="EIQ69"/>
      <c r="EIR69"/>
      <c r="EIS69"/>
      <c r="EIT69"/>
      <c r="EIU69"/>
      <c r="EIV69"/>
      <c r="EIW69"/>
      <c r="EIX69"/>
      <c r="EIY69"/>
      <c r="EIZ69"/>
      <c r="EJA69"/>
      <c r="EJB69"/>
      <c r="EJC69"/>
      <c r="EJD69"/>
      <c r="EJE69"/>
      <c r="EJF69"/>
      <c r="EJG69"/>
      <c r="EJH69"/>
      <c r="EJI69"/>
      <c r="EJJ69"/>
      <c r="EJK69"/>
      <c r="EJL69"/>
      <c r="EJM69"/>
      <c r="EJN69"/>
      <c r="EJO69"/>
      <c r="EJP69"/>
      <c r="EJQ69"/>
      <c r="EJR69"/>
      <c r="EJS69"/>
      <c r="EJT69"/>
      <c r="EJU69"/>
      <c r="EJV69"/>
      <c r="EJW69"/>
      <c r="EJX69"/>
      <c r="EJY69"/>
      <c r="EJZ69"/>
      <c r="EKA69"/>
      <c r="EKB69"/>
      <c r="EKC69"/>
      <c r="EKD69"/>
      <c r="EKE69"/>
      <c r="EKF69"/>
      <c r="EKG69"/>
      <c r="EKH69"/>
      <c r="EKI69"/>
      <c r="EKJ69"/>
      <c r="EKK69"/>
      <c r="EKL69"/>
      <c r="EKM69"/>
      <c r="EKN69"/>
      <c r="EKO69"/>
      <c r="EKP69"/>
      <c r="EKQ69"/>
      <c r="EKR69"/>
      <c r="EKS69"/>
      <c r="EKT69"/>
      <c r="EKU69"/>
      <c r="EKV69"/>
      <c r="EKW69"/>
      <c r="EKX69"/>
      <c r="EKY69"/>
      <c r="EKZ69"/>
      <c r="ELA69"/>
      <c r="ELB69"/>
      <c r="ELC69"/>
      <c r="ELD69"/>
      <c r="ELE69"/>
      <c r="ELF69"/>
      <c r="ELG69"/>
      <c r="ELH69"/>
      <c r="ELI69"/>
      <c r="ELJ69"/>
      <c r="ELK69"/>
      <c r="ELL69"/>
      <c r="ELM69"/>
      <c r="ELN69"/>
      <c r="ELO69"/>
      <c r="ELP69"/>
      <c r="ELQ69"/>
      <c r="ELR69"/>
      <c r="ELS69"/>
      <c r="ELT69"/>
      <c r="ELU69"/>
      <c r="ELV69"/>
      <c r="ELW69"/>
      <c r="ELX69"/>
      <c r="ELY69"/>
      <c r="ELZ69"/>
      <c r="EMA69"/>
      <c r="EMB69"/>
      <c r="EMC69"/>
      <c r="EMD69"/>
      <c r="EME69"/>
      <c r="EMF69"/>
      <c r="EMG69"/>
      <c r="EMH69"/>
      <c r="EMI69"/>
      <c r="EMJ69"/>
      <c r="EMK69"/>
      <c r="EML69"/>
      <c r="EMM69"/>
      <c r="EMN69"/>
      <c r="EMO69"/>
      <c r="EMP69"/>
      <c r="EMQ69"/>
      <c r="EMR69"/>
      <c r="EMS69"/>
      <c r="EMT69"/>
      <c r="EMU69"/>
      <c r="EMV69"/>
      <c r="EMW69"/>
      <c r="EMX69"/>
      <c r="EMY69"/>
      <c r="EMZ69"/>
      <c r="ENA69"/>
      <c r="ENB69"/>
      <c r="ENC69"/>
      <c r="END69"/>
      <c r="ENE69"/>
      <c r="ENF69"/>
      <c r="ENG69"/>
      <c r="ENH69"/>
      <c r="ENI69"/>
      <c r="ENJ69"/>
      <c r="ENK69"/>
      <c r="ENL69"/>
      <c r="ENM69"/>
      <c r="ENN69"/>
      <c r="ENO69"/>
      <c r="ENP69"/>
      <c r="ENQ69"/>
      <c r="ENR69"/>
      <c r="ENS69"/>
      <c r="ENT69"/>
      <c r="ENU69"/>
      <c r="ENV69"/>
      <c r="ENW69"/>
      <c r="ENX69"/>
      <c r="ENY69"/>
      <c r="ENZ69"/>
      <c r="EOA69"/>
      <c r="EOB69"/>
      <c r="EOC69"/>
      <c r="EOD69"/>
      <c r="EOE69"/>
      <c r="EOF69"/>
      <c r="EOG69"/>
      <c r="EOH69"/>
      <c r="EOI69"/>
      <c r="EOJ69"/>
      <c r="EOK69"/>
      <c r="EOL69"/>
      <c r="EOM69"/>
      <c r="EON69"/>
      <c r="EOO69"/>
      <c r="EOP69"/>
      <c r="EOQ69"/>
      <c r="EOR69"/>
      <c r="EOS69"/>
      <c r="EOT69"/>
      <c r="EOU69"/>
      <c r="EOV69"/>
      <c r="EOW69"/>
      <c r="EOX69"/>
      <c r="EOY69"/>
      <c r="EOZ69"/>
      <c r="EPA69"/>
      <c r="EPB69"/>
      <c r="EPC69"/>
      <c r="EPD69"/>
      <c r="EPE69"/>
      <c r="EPF69"/>
      <c r="EPG69"/>
      <c r="EPH69"/>
      <c r="EPI69"/>
      <c r="EPJ69"/>
      <c r="EPK69"/>
      <c r="EPL69"/>
      <c r="EPM69"/>
      <c r="EPN69"/>
      <c r="EPO69"/>
      <c r="EPP69"/>
      <c r="EPQ69"/>
      <c r="EPR69"/>
      <c r="EPS69"/>
      <c r="EPT69"/>
      <c r="EPU69"/>
      <c r="EPV69"/>
      <c r="EPW69"/>
      <c r="EPX69"/>
      <c r="EPY69"/>
      <c r="EPZ69"/>
      <c r="EQA69"/>
      <c r="EQB69"/>
      <c r="EQC69"/>
      <c r="EQD69"/>
      <c r="EQE69"/>
      <c r="EQF69"/>
      <c r="EQG69"/>
      <c r="EQH69"/>
      <c r="EQI69"/>
      <c r="EQJ69"/>
      <c r="EQK69"/>
      <c r="EQL69"/>
      <c r="EQM69"/>
      <c r="EQN69"/>
      <c r="EQO69"/>
      <c r="EQP69"/>
      <c r="EQQ69"/>
      <c r="EQR69"/>
      <c r="EQS69"/>
      <c r="EQT69"/>
      <c r="EQU69"/>
      <c r="EQV69"/>
      <c r="EQW69"/>
      <c r="EQX69"/>
      <c r="EQY69"/>
      <c r="EQZ69"/>
      <c r="ERA69"/>
      <c r="ERB69"/>
      <c r="ERC69"/>
      <c r="ERD69"/>
      <c r="ERE69"/>
      <c r="ERF69"/>
      <c r="ERG69"/>
      <c r="ERH69"/>
      <c r="ERI69"/>
      <c r="ERJ69"/>
      <c r="ERK69"/>
      <c r="ERL69"/>
      <c r="ERM69"/>
      <c r="ERN69"/>
      <c r="ERO69"/>
      <c r="ERP69"/>
      <c r="ERQ69"/>
      <c r="ERR69"/>
      <c r="ERS69"/>
      <c r="ERT69"/>
      <c r="ERU69"/>
      <c r="ERV69"/>
      <c r="ERW69"/>
      <c r="ERX69"/>
      <c r="ERY69"/>
      <c r="ERZ69"/>
      <c r="ESA69"/>
      <c r="ESB69"/>
      <c r="ESC69"/>
      <c r="ESD69"/>
      <c r="ESE69"/>
      <c r="ESF69"/>
      <c r="ESG69"/>
      <c r="ESH69"/>
      <c r="ESI69"/>
      <c r="ESJ69"/>
      <c r="ESK69"/>
      <c r="ESL69"/>
      <c r="ESM69"/>
      <c r="ESN69"/>
      <c r="ESO69"/>
      <c r="ESP69"/>
      <c r="ESQ69"/>
      <c r="ESR69"/>
      <c r="ESS69"/>
      <c r="EST69"/>
      <c r="ESU69"/>
      <c r="ESV69"/>
      <c r="ESW69"/>
      <c r="ESX69"/>
      <c r="ESY69"/>
      <c r="ESZ69"/>
      <c r="ETA69"/>
      <c r="ETB69"/>
      <c r="ETC69"/>
      <c r="ETD69"/>
      <c r="ETE69"/>
      <c r="ETF69"/>
      <c r="ETG69"/>
      <c r="ETH69"/>
      <c r="ETI69"/>
      <c r="ETJ69"/>
      <c r="ETK69"/>
      <c r="ETL69"/>
      <c r="ETM69"/>
      <c r="ETN69"/>
      <c r="ETO69"/>
      <c r="ETP69"/>
      <c r="ETQ69"/>
      <c r="ETR69"/>
      <c r="ETS69"/>
      <c r="ETT69"/>
      <c r="ETU69"/>
      <c r="ETV69"/>
      <c r="ETW69"/>
      <c r="ETX69"/>
      <c r="ETY69"/>
      <c r="ETZ69"/>
      <c r="EUA69"/>
      <c r="EUB69"/>
      <c r="EUC69"/>
      <c r="EUD69"/>
      <c r="EUE69"/>
      <c r="EUF69"/>
      <c r="EUG69"/>
      <c r="EUH69"/>
      <c r="EUI69"/>
      <c r="EUJ69"/>
      <c r="EUK69"/>
      <c r="EUL69"/>
      <c r="EUM69"/>
      <c r="EUN69"/>
      <c r="EUO69"/>
      <c r="EUP69"/>
      <c r="EUQ69"/>
      <c r="EUR69"/>
      <c r="EUS69"/>
      <c r="EUT69"/>
      <c r="EUU69"/>
      <c r="EUV69"/>
      <c r="EUW69"/>
      <c r="EUX69"/>
      <c r="EUY69"/>
      <c r="EUZ69"/>
      <c r="EVA69"/>
      <c r="EVB69"/>
      <c r="EVC69"/>
      <c r="EVD69"/>
      <c r="EVE69"/>
      <c r="EVF69"/>
      <c r="EVG69"/>
      <c r="EVH69"/>
      <c r="EVI69"/>
      <c r="EVJ69"/>
      <c r="EVK69"/>
      <c r="EVL69"/>
      <c r="EVM69"/>
      <c r="EVN69"/>
      <c r="EVO69"/>
      <c r="EVP69"/>
      <c r="EVQ69"/>
      <c r="EVR69"/>
      <c r="EVS69"/>
      <c r="EVT69"/>
      <c r="EVU69"/>
      <c r="EVV69"/>
      <c r="EVW69"/>
      <c r="EVX69"/>
      <c r="EVY69"/>
      <c r="EVZ69"/>
      <c r="EWA69"/>
      <c r="EWB69"/>
      <c r="EWC69"/>
      <c r="EWD69"/>
      <c r="EWE69"/>
      <c r="EWF69"/>
      <c r="EWG69"/>
      <c r="EWH69"/>
      <c r="EWI69"/>
      <c r="EWJ69"/>
      <c r="EWK69"/>
      <c r="EWL69"/>
      <c r="EWM69"/>
      <c r="EWN69"/>
      <c r="EWO69"/>
      <c r="EWP69"/>
      <c r="EWQ69"/>
      <c r="EWR69"/>
      <c r="EWS69"/>
      <c r="EWT69"/>
      <c r="EWU69"/>
      <c r="EWV69"/>
      <c r="EWW69"/>
      <c r="EWX69"/>
      <c r="EWY69"/>
      <c r="EWZ69"/>
      <c r="EXA69"/>
      <c r="EXB69"/>
      <c r="EXC69"/>
      <c r="EXD69"/>
      <c r="EXE69"/>
      <c r="EXF69"/>
      <c r="EXG69"/>
      <c r="EXH69"/>
      <c r="EXI69"/>
      <c r="EXJ69"/>
      <c r="EXK69"/>
      <c r="EXL69"/>
      <c r="EXM69"/>
      <c r="EXN69"/>
      <c r="EXO69"/>
      <c r="EXP69"/>
      <c r="EXQ69"/>
      <c r="EXR69"/>
      <c r="EXS69"/>
      <c r="EXT69"/>
      <c r="EXU69"/>
      <c r="EXV69"/>
      <c r="EXW69"/>
      <c r="EXX69"/>
      <c r="EXY69"/>
      <c r="EXZ69"/>
      <c r="EYA69"/>
      <c r="EYB69"/>
      <c r="EYC69"/>
      <c r="EYD69"/>
      <c r="EYE69"/>
      <c r="EYF69"/>
      <c r="EYG69"/>
      <c r="EYH69"/>
      <c r="EYI69"/>
      <c r="EYJ69"/>
      <c r="EYK69"/>
      <c r="EYL69"/>
      <c r="EYM69"/>
      <c r="EYN69"/>
      <c r="EYO69"/>
      <c r="EYP69"/>
      <c r="EYQ69"/>
      <c r="EYR69"/>
      <c r="EYS69"/>
      <c r="EYT69"/>
      <c r="EYU69"/>
      <c r="EYV69"/>
      <c r="EYW69"/>
      <c r="EYX69"/>
      <c r="EYY69"/>
      <c r="EYZ69"/>
      <c r="EZA69"/>
      <c r="EZB69"/>
      <c r="EZC69"/>
      <c r="EZD69"/>
      <c r="EZE69"/>
      <c r="EZF69"/>
      <c r="EZG69"/>
      <c r="EZH69"/>
      <c r="EZI69"/>
      <c r="EZJ69"/>
      <c r="EZK69"/>
      <c r="EZL69"/>
      <c r="EZM69"/>
      <c r="EZN69"/>
      <c r="EZO69"/>
      <c r="EZP69"/>
      <c r="EZQ69"/>
      <c r="EZR69"/>
      <c r="EZS69"/>
      <c r="EZT69"/>
      <c r="EZU69"/>
      <c r="EZV69"/>
      <c r="EZW69"/>
      <c r="EZX69"/>
      <c r="EZY69"/>
      <c r="EZZ69"/>
      <c r="FAA69"/>
      <c r="FAB69"/>
      <c r="FAC69"/>
      <c r="FAD69"/>
      <c r="FAE69"/>
      <c r="FAF69"/>
      <c r="FAG69"/>
      <c r="FAH69"/>
      <c r="FAI69"/>
      <c r="FAJ69"/>
      <c r="FAK69"/>
      <c r="FAL69"/>
      <c r="FAM69"/>
      <c r="FAN69"/>
      <c r="FAO69"/>
      <c r="FAP69"/>
      <c r="FAQ69"/>
      <c r="FAR69"/>
      <c r="FAS69"/>
      <c r="FAT69"/>
      <c r="FAU69"/>
      <c r="FAV69"/>
      <c r="FAW69"/>
      <c r="FAX69"/>
      <c r="FAY69"/>
      <c r="FAZ69"/>
      <c r="FBA69"/>
      <c r="FBB69"/>
      <c r="FBC69"/>
      <c r="FBD69"/>
      <c r="FBE69"/>
      <c r="FBF69"/>
      <c r="FBG69"/>
      <c r="FBH69"/>
      <c r="FBI69"/>
      <c r="FBJ69"/>
      <c r="FBK69"/>
      <c r="FBL69"/>
      <c r="FBM69"/>
      <c r="FBN69"/>
      <c r="FBO69"/>
      <c r="FBP69"/>
      <c r="FBQ69"/>
      <c r="FBR69"/>
      <c r="FBS69"/>
      <c r="FBT69"/>
      <c r="FBU69"/>
      <c r="FBV69"/>
      <c r="FBW69"/>
      <c r="FBX69"/>
      <c r="FBY69"/>
      <c r="FBZ69"/>
      <c r="FCA69"/>
      <c r="FCB69"/>
      <c r="FCC69"/>
      <c r="FCD69"/>
      <c r="FCE69"/>
      <c r="FCF69"/>
      <c r="FCG69"/>
      <c r="FCH69"/>
      <c r="FCI69"/>
      <c r="FCJ69"/>
      <c r="FCK69"/>
      <c r="FCL69"/>
      <c r="FCM69"/>
      <c r="FCN69"/>
      <c r="FCO69"/>
      <c r="FCP69"/>
      <c r="FCQ69"/>
      <c r="FCR69"/>
      <c r="FCS69"/>
      <c r="FCT69"/>
      <c r="FCU69"/>
      <c r="FCV69"/>
      <c r="FCW69"/>
      <c r="FCX69"/>
      <c r="FCY69"/>
      <c r="FCZ69"/>
      <c r="FDA69"/>
      <c r="FDB69"/>
      <c r="FDC69"/>
      <c r="FDD69"/>
      <c r="FDE69"/>
      <c r="FDF69"/>
      <c r="FDG69"/>
      <c r="FDH69"/>
      <c r="FDI69"/>
      <c r="FDJ69"/>
      <c r="FDK69"/>
      <c r="FDL69"/>
      <c r="FDM69"/>
      <c r="FDN69"/>
      <c r="FDO69"/>
      <c r="FDP69"/>
      <c r="FDQ69"/>
      <c r="FDR69"/>
      <c r="FDS69"/>
      <c r="FDT69"/>
      <c r="FDU69"/>
      <c r="FDV69"/>
      <c r="FDW69"/>
      <c r="FDX69"/>
      <c r="FDY69"/>
      <c r="FDZ69"/>
      <c r="FEA69"/>
      <c r="FEB69"/>
      <c r="FEC69"/>
      <c r="FED69"/>
      <c r="FEE69"/>
      <c r="FEF69"/>
      <c r="FEG69"/>
      <c r="FEH69"/>
      <c r="FEI69"/>
      <c r="FEJ69"/>
      <c r="FEK69"/>
      <c r="FEL69"/>
      <c r="FEM69"/>
      <c r="FEN69"/>
      <c r="FEO69"/>
      <c r="FEP69"/>
      <c r="FEQ69"/>
      <c r="FER69"/>
      <c r="FES69"/>
      <c r="FET69"/>
      <c r="FEU69"/>
      <c r="FEV69"/>
      <c r="FEW69"/>
      <c r="FEX69"/>
      <c r="FEY69"/>
      <c r="FEZ69"/>
      <c r="FFA69"/>
      <c r="FFB69"/>
      <c r="FFC69"/>
      <c r="FFD69"/>
      <c r="FFE69"/>
      <c r="FFF69"/>
      <c r="FFG69"/>
      <c r="FFH69"/>
      <c r="FFI69"/>
      <c r="FFJ69"/>
      <c r="FFK69"/>
      <c r="FFL69"/>
      <c r="FFM69"/>
      <c r="FFN69"/>
      <c r="FFO69"/>
      <c r="FFP69"/>
      <c r="FFQ69"/>
      <c r="FFR69"/>
      <c r="FFS69"/>
      <c r="FFT69"/>
      <c r="FFU69"/>
      <c r="FFV69"/>
      <c r="FFW69"/>
      <c r="FFX69"/>
      <c r="FFY69"/>
      <c r="FFZ69"/>
      <c r="FGA69"/>
      <c r="FGB69"/>
      <c r="FGC69"/>
      <c r="FGD69"/>
      <c r="FGE69"/>
      <c r="FGF69"/>
      <c r="FGG69"/>
      <c r="FGH69"/>
      <c r="FGI69"/>
      <c r="FGJ69"/>
      <c r="FGK69"/>
      <c r="FGL69"/>
      <c r="FGM69"/>
      <c r="FGN69"/>
      <c r="FGO69"/>
      <c r="FGP69"/>
      <c r="FGQ69"/>
      <c r="FGR69"/>
      <c r="FGS69"/>
      <c r="FGT69"/>
      <c r="FGU69"/>
      <c r="FGV69"/>
      <c r="FGW69"/>
      <c r="FGX69"/>
      <c r="FGY69"/>
      <c r="FGZ69"/>
      <c r="FHA69"/>
      <c r="FHB69"/>
      <c r="FHC69"/>
      <c r="FHD69"/>
      <c r="FHE69"/>
      <c r="FHF69"/>
      <c r="FHG69"/>
      <c r="FHH69"/>
      <c r="FHI69"/>
      <c r="FHJ69"/>
      <c r="FHK69"/>
      <c r="FHL69"/>
      <c r="FHM69"/>
      <c r="FHN69"/>
      <c r="FHO69"/>
      <c r="FHP69"/>
      <c r="FHQ69"/>
      <c r="FHR69"/>
      <c r="FHS69"/>
      <c r="FHT69"/>
      <c r="FHU69"/>
      <c r="FHV69"/>
      <c r="FHW69"/>
      <c r="FHX69"/>
      <c r="FHY69"/>
      <c r="FHZ69"/>
      <c r="FIA69"/>
      <c r="FIB69"/>
      <c r="FIC69"/>
      <c r="FID69"/>
      <c r="FIE69"/>
      <c r="FIF69"/>
      <c r="FIG69"/>
      <c r="FIH69"/>
      <c r="FII69"/>
      <c r="FIJ69"/>
      <c r="FIK69"/>
      <c r="FIL69"/>
      <c r="FIM69"/>
      <c r="FIN69"/>
      <c r="FIO69"/>
      <c r="FIP69"/>
      <c r="FIQ69"/>
      <c r="FIR69"/>
      <c r="FIS69"/>
      <c r="FIT69"/>
      <c r="FIU69"/>
      <c r="FIV69"/>
      <c r="FIW69"/>
      <c r="FIX69"/>
      <c r="FIY69"/>
      <c r="FIZ69"/>
      <c r="FJA69"/>
      <c r="FJB69"/>
      <c r="FJC69"/>
      <c r="FJD69"/>
      <c r="FJE69"/>
      <c r="FJF69"/>
      <c r="FJG69"/>
      <c r="FJH69"/>
      <c r="FJI69"/>
      <c r="FJJ69"/>
      <c r="FJK69"/>
      <c r="FJL69"/>
      <c r="FJM69"/>
      <c r="FJN69"/>
      <c r="FJO69"/>
      <c r="FJP69"/>
      <c r="FJQ69"/>
      <c r="FJR69"/>
      <c r="FJS69"/>
      <c r="FJT69"/>
      <c r="FJU69"/>
      <c r="FJV69"/>
      <c r="FJW69"/>
      <c r="FJX69"/>
      <c r="FJY69"/>
      <c r="FJZ69"/>
      <c r="FKA69"/>
      <c r="FKB69"/>
      <c r="FKC69"/>
      <c r="FKD69"/>
      <c r="FKE69"/>
      <c r="FKF69"/>
      <c r="FKG69"/>
      <c r="FKH69"/>
      <c r="FKI69"/>
      <c r="FKJ69"/>
      <c r="FKK69"/>
      <c r="FKL69"/>
      <c r="FKM69"/>
      <c r="FKN69"/>
      <c r="FKO69"/>
      <c r="FKP69"/>
      <c r="FKQ69"/>
      <c r="FKR69"/>
      <c r="FKS69"/>
      <c r="FKT69"/>
      <c r="FKU69"/>
      <c r="FKV69"/>
      <c r="FKW69"/>
      <c r="FKX69"/>
      <c r="FKY69"/>
      <c r="FKZ69"/>
      <c r="FLA69"/>
      <c r="FLB69"/>
      <c r="FLC69"/>
      <c r="FLD69"/>
      <c r="FLE69"/>
      <c r="FLF69"/>
      <c r="FLG69"/>
      <c r="FLH69"/>
      <c r="FLI69"/>
      <c r="FLJ69"/>
      <c r="FLK69"/>
      <c r="FLL69"/>
      <c r="FLM69"/>
      <c r="FLN69"/>
      <c r="FLO69"/>
      <c r="FLP69"/>
      <c r="FLQ69"/>
      <c r="FLR69"/>
      <c r="FLS69"/>
      <c r="FLT69"/>
      <c r="FLU69"/>
      <c r="FLV69"/>
      <c r="FLW69"/>
      <c r="FLX69"/>
      <c r="FLY69"/>
      <c r="FLZ69"/>
      <c r="FMA69"/>
      <c r="FMB69"/>
      <c r="FMC69"/>
      <c r="FMD69"/>
      <c r="FME69"/>
      <c r="FMF69"/>
      <c r="FMG69"/>
      <c r="FMH69"/>
      <c r="FMI69"/>
      <c r="FMJ69"/>
      <c r="FMK69"/>
      <c r="FML69"/>
      <c r="FMM69"/>
      <c r="FMN69"/>
      <c r="FMO69"/>
      <c r="FMP69"/>
      <c r="FMQ69"/>
      <c r="FMR69"/>
      <c r="FMS69"/>
      <c r="FMT69"/>
      <c r="FMU69"/>
      <c r="FMV69"/>
      <c r="FMW69"/>
      <c r="FMX69"/>
      <c r="FMY69"/>
      <c r="FMZ69"/>
      <c r="FNA69"/>
      <c r="FNB69"/>
      <c r="FNC69"/>
      <c r="FND69"/>
      <c r="FNE69"/>
      <c r="FNF69"/>
      <c r="FNG69"/>
      <c r="FNH69"/>
      <c r="FNI69"/>
      <c r="FNJ69"/>
      <c r="FNK69"/>
      <c r="FNL69"/>
      <c r="FNM69"/>
      <c r="FNN69"/>
      <c r="FNO69"/>
      <c r="FNP69"/>
      <c r="FNQ69"/>
      <c r="FNR69"/>
      <c r="FNS69"/>
      <c r="FNT69"/>
      <c r="FNU69"/>
      <c r="FNV69"/>
      <c r="FNW69"/>
      <c r="FNX69"/>
      <c r="FNY69"/>
      <c r="FNZ69"/>
      <c r="FOA69"/>
      <c r="FOB69"/>
      <c r="FOC69"/>
      <c r="FOD69"/>
      <c r="FOE69"/>
      <c r="FOF69"/>
      <c r="FOG69"/>
      <c r="FOH69"/>
      <c r="FOI69"/>
      <c r="FOJ69"/>
      <c r="FOK69"/>
      <c r="FOL69"/>
      <c r="FOM69"/>
      <c r="FON69"/>
      <c r="FOO69"/>
      <c r="FOP69"/>
      <c r="FOQ69"/>
      <c r="FOR69"/>
      <c r="FOS69"/>
      <c r="FOT69"/>
      <c r="FOU69"/>
      <c r="FOV69"/>
      <c r="FOW69"/>
      <c r="FOX69"/>
      <c r="FOY69"/>
      <c r="FOZ69"/>
      <c r="FPA69"/>
      <c r="FPB69"/>
      <c r="FPC69"/>
      <c r="FPD69"/>
      <c r="FPE69"/>
      <c r="FPF69"/>
      <c r="FPG69"/>
      <c r="FPH69"/>
      <c r="FPI69"/>
      <c r="FPJ69"/>
      <c r="FPK69"/>
      <c r="FPL69"/>
      <c r="FPM69"/>
      <c r="FPN69"/>
      <c r="FPO69"/>
      <c r="FPP69"/>
      <c r="FPQ69"/>
      <c r="FPR69"/>
      <c r="FPS69"/>
      <c r="FPT69"/>
      <c r="FPU69"/>
      <c r="FPV69"/>
      <c r="FPW69"/>
      <c r="FPX69"/>
      <c r="FPY69"/>
      <c r="FPZ69"/>
      <c r="FQA69"/>
      <c r="FQB69"/>
      <c r="FQC69"/>
      <c r="FQD69"/>
      <c r="FQE69"/>
      <c r="FQF69"/>
      <c r="FQG69"/>
      <c r="FQH69"/>
      <c r="FQI69"/>
      <c r="FQJ69"/>
      <c r="FQK69"/>
      <c r="FQL69"/>
      <c r="FQM69"/>
      <c r="FQN69"/>
      <c r="FQO69"/>
      <c r="FQP69"/>
      <c r="FQQ69"/>
      <c r="FQR69"/>
      <c r="FQS69"/>
      <c r="FQT69"/>
      <c r="FQU69"/>
      <c r="FQV69"/>
      <c r="FQW69"/>
      <c r="FQX69"/>
      <c r="FQY69"/>
      <c r="FQZ69"/>
      <c r="FRA69"/>
      <c r="FRB69"/>
      <c r="FRC69"/>
      <c r="FRD69"/>
      <c r="FRE69"/>
      <c r="FRF69"/>
      <c r="FRG69"/>
      <c r="FRH69"/>
      <c r="FRI69"/>
      <c r="FRJ69"/>
      <c r="FRK69"/>
      <c r="FRL69"/>
      <c r="FRM69"/>
      <c r="FRN69"/>
      <c r="FRO69"/>
      <c r="FRP69"/>
      <c r="FRQ69"/>
      <c r="FRR69"/>
      <c r="FRS69"/>
      <c r="FRT69"/>
      <c r="FRU69"/>
      <c r="FRV69"/>
      <c r="FRW69"/>
      <c r="FRX69"/>
      <c r="FRY69"/>
      <c r="FRZ69"/>
      <c r="FSA69"/>
      <c r="FSB69"/>
      <c r="FSC69"/>
      <c r="FSD69"/>
      <c r="FSE69"/>
      <c r="FSF69"/>
      <c r="FSG69"/>
      <c r="FSH69"/>
      <c r="FSI69"/>
      <c r="FSJ69"/>
      <c r="FSK69"/>
      <c r="FSL69"/>
      <c r="FSM69"/>
      <c r="FSN69"/>
      <c r="FSO69"/>
      <c r="FSP69"/>
      <c r="FSQ69"/>
      <c r="FSR69"/>
      <c r="FSS69"/>
      <c r="FST69"/>
      <c r="FSU69"/>
      <c r="FSV69"/>
      <c r="FSW69"/>
      <c r="FSX69"/>
      <c r="FSY69"/>
      <c r="FSZ69"/>
      <c r="FTA69"/>
      <c r="FTB69"/>
      <c r="FTC69"/>
      <c r="FTD69"/>
      <c r="FTE69"/>
      <c r="FTF69"/>
      <c r="FTG69"/>
      <c r="FTH69"/>
      <c r="FTI69"/>
      <c r="FTJ69"/>
      <c r="FTK69"/>
      <c r="FTL69"/>
      <c r="FTM69"/>
      <c r="FTN69"/>
      <c r="FTO69"/>
      <c r="FTP69"/>
      <c r="FTQ69"/>
      <c r="FTR69"/>
      <c r="FTS69"/>
      <c r="FTT69"/>
      <c r="FTU69"/>
      <c r="FTV69"/>
      <c r="FTW69"/>
      <c r="FTX69"/>
      <c r="FTY69"/>
      <c r="FTZ69"/>
      <c r="FUA69"/>
      <c r="FUB69"/>
      <c r="FUC69"/>
      <c r="FUD69"/>
      <c r="FUE69"/>
      <c r="FUF69"/>
      <c r="FUG69"/>
      <c r="FUH69"/>
      <c r="FUI69"/>
      <c r="FUJ69"/>
      <c r="FUK69"/>
      <c r="FUL69"/>
      <c r="FUM69"/>
      <c r="FUN69"/>
      <c r="FUO69"/>
      <c r="FUP69"/>
      <c r="FUQ69"/>
      <c r="FUR69"/>
      <c r="FUS69"/>
      <c r="FUT69"/>
      <c r="FUU69"/>
      <c r="FUV69"/>
      <c r="FUW69"/>
      <c r="FUX69"/>
      <c r="FUY69"/>
      <c r="FUZ69"/>
      <c r="FVA69"/>
      <c r="FVB69"/>
      <c r="FVC69"/>
      <c r="FVD69"/>
      <c r="FVE69"/>
      <c r="FVF69"/>
      <c r="FVG69"/>
      <c r="FVH69"/>
      <c r="FVI69"/>
      <c r="FVJ69"/>
      <c r="FVK69"/>
      <c r="FVL69"/>
      <c r="FVM69"/>
      <c r="FVN69"/>
      <c r="FVO69"/>
      <c r="FVP69"/>
      <c r="FVQ69"/>
      <c r="FVR69"/>
      <c r="FVS69"/>
      <c r="FVT69"/>
      <c r="FVU69"/>
      <c r="FVV69"/>
      <c r="FVW69"/>
      <c r="FVX69"/>
      <c r="FVY69"/>
      <c r="FVZ69"/>
      <c r="FWA69"/>
      <c r="FWB69"/>
      <c r="FWC69"/>
      <c r="FWD69"/>
      <c r="FWE69"/>
      <c r="FWF69"/>
      <c r="FWG69"/>
      <c r="FWH69"/>
      <c r="FWI69"/>
      <c r="FWJ69"/>
      <c r="FWK69"/>
      <c r="FWL69"/>
      <c r="FWM69"/>
      <c r="FWN69"/>
      <c r="FWO69"/>
      <c r="FWP69"/>
      <c r="FWQ69"/>
      <c r="FWR69"/>
      <c r="FWS69"/>
      <c r="FWT69"/>
      <c r="FWU69"/>
      <c r="FWV69"/>
      <c r="FWW69"/>
      <c r="FWX69"/>
      <c r="FWY69"/>
      <c r="FWZ69"/>
      <c r="FXA69"/>
      <c r="FXB69"/>
      <c r="FXC69"/>
      <c r="FXD69"/>
      <c r="FXE69"/>
      <c r="FXF69"/>
      <c r="FXG69"/>
      <c r="FXH69"/>
      <c r="FXI69"/>
      <c r="FXJ69"/>
      <c r="FXK69"/>
      <c r="FXL69"/>
      <c r="FXM69"/>
      <c r="FXN69"/>
      <c r="FXO69"/>
      <c r="FXP69"/>
      <c r="FXQ69"/>
      <c r="FXR69"/>
      <c r="FXS69"/>
      <c r="FXT69"/>
      <c r="FXU69"/>
      <c r="FXV69"/>
      <c r="FXW69"/>
      <c r="FXX69"/>
      <c r="FXY69"/>
      <c r="FXZ69"/>
      <c r="FYA69"/>
      <c r="FYB69"/>
      <c r="FYC69"/>
      <c r="FYD69"/>
      <c r="FYE69"/>
      <c r="FYF69"/>
      <c r="FYG69"/>
      <c r="FYH69"/>
      <c r="FYI69"/>
      <c r="FYJ69"/>
      <c r="FYK69"/>
      <c r="FYL69"/>
      <c r="FYM69"/>
      <c r="FYN69"/>
      <c r="FYO69"/>
      <c r="FYP69"/>
      <c r="FYQ69"/>
      <c r="FYR69"/>
      <c r="FYS69"/>
      <c r="FYT69"/>
      <c r="FYU69"/>
      <c r="FYV69"/>
      <c r="FYW69"/>
      <c r="FYX69"/>
      <c r="FYY69"/>
      <c r="FYZ69"/>
      <c r="FZA69"/>
      <c r="FZB69"/>
      <c r="FZC69"/>
      <c r="FZD69"/>
      <c r="FZE69"/>
      <c r="FZF69"/>
      <c r="FZG69"/>
      <c r="FZH69"/>
      <c r="FZI69"/>
      <c r="FZJ69"/>
      <c r="FZK69"/>
      <c r="FZL69"/>
      <c r="FZM69"/>
      <c r="FZN69"/>
      <c r="FZO69"/>
      <c r="FZP69"/>
      <c r="FZQ69"/>
      <c r="FZR69"/>
      <c r="FZS69"/>
      <c r="FZT69"/>
      <c r="FZU69"/>
      <c r="FZV69"/>
      <c r="FZW69"/>
      <c r="FZX69"/>
      <c r="FZY69"/>
      <c r="FZZ69"/>
      <c r="GAA69"/>
      <c r="GAB69"/>
      <c r="GAC69"/>
      <c r="GAD69"/>
      <c r="GAE69"/>
      <c r="GAF69"/>
      <c r="GAG69"/>
      <c r="GAH69"/>
      <c r="GAI69"/>
      <c r="GAJ69"/>
      <c r="GAK69"/>
      <c r="GAL69"/>
      <c r="GAM69"/>
      <c r="GAN69"/>
      <c r="GAO69"/>
      <c r="GAP69"/>
      <c r="GAQ69"/>
      <c r="GAR69"/>
      <c r="GAS69"/>
      <c r="GAT69"/>
      <c r="GAU69"/>
      <c r="GAV69"/>
      <c r="GAW69"/>
      <c r="GAX69"/>
      <c r="GAY69"/>
      <c r="GAZ69"/>
      <c r="GBA69"/>
      <c r="GBB69"/>
      <c r="GBC69"/>
      <c r="GBD69"/>
      <c r="GBE69"/>
      <c r="GBF69"/>
      <c r="GBG69"/>
      <c r="GBH69"/>
      <c r="GBI69"/>
      <c r="GBJ69"/>
      <c r="GBK69"/>
      <c r="GBL69"/>
      <c r="GBM69"/>
      <c r="GBN69"/>
      <c r="GBO69"/>
      <c r="GBP69"/>
      <c r="GBQ69"/>
      <c r="GBR69"/>
      <c r="GBS69"/>
      <c r="GBT69"/>
      <c r="GBU69"/>
      <c r="GBV69"/>
      <c r="GBW69"/>
      <c r="GBX69"/>
      <c r="GBY69"/>
      <c r="GBZ69"/>
      <c r="GCA69"/>
      <c r="GCB69"/>
      <c r="GCC69"/>
      <c r="GCD69"/>
      <c r="GCE69"/>
      <c r="GCF69"/>
      <c r="GCG69"/>
      <c r="GCH69"/>
      <c r="GCI69"/>
      <c r="GCJ69"/>
      <c r="GCK69"/>
      <c r="GCL69"/>
      <c r="GCM69"/>
      <c r="GCN69"/>
      <c r="GCO69"/>
      <c r="GCP69"/>
      <c r="GCQ69"/>
      <c r="GCR69"/>
      <c r="GCS69"/>
      <c r="GCT69"/>
      <c r="GCU69"/>
      <c r="GCV69"/>
      <c r="GCW69"/>
      <c r="GCX69"/>
      <c r="GCY69"/>
      <c r="GCZ69"/>
      <c r="GDA69"/>
      <c r="GDB69"/>
      <c r="GDC69"/>
      <c r="GDD69"/>
      <c r="GDE69"/>
      <c r="GDF69"/>
      <c r="GDG69"/>
      <c r="GDH69"/>
      <c r="GDI69"/>
      <c r="GDJ69"/>
      <c r="GDK69"/>
      <c r="GDL69"/>
      <c r="GDM69"/>
      <c r="GDN69"/>
      <c r="GDO69"/>
      <c r="GDP69"/>
      <c r="GDQ69"/>
      <c r="GDR69"/>
      <c r="GDS69"/>
      <c r="GDT69"/>
      <c r="GDU69"/>
      <c r="GDV69"/>
      <c r="GDW69"/>
      <c r="GDX69"/>
      <c r="GDY69"/>
      <c r="GDZ69"/>
      <c r="GEA69"/>
      <c r="GEB69"/>
      <c r="GEC69"/>
      <c r="GED69"/>
      <c r="GEE69"/>
      <c r="GEF69"/>
      <c r="GEG69"/>
      <c r="GEH69"/>
      <c r="GEI69"/>
      <c r="GEJ69"/>
      <c r="GEK69"/>
      <c r="GEL69"/>
      <c r="GEM69"/>
      <c r="GEN69"/>
      <c r="GEO69"/>
      <c r="GEP69"/>
      <c r="GEQ69"/>
      <c r="GER69"/>
      <c r="GES69"/>
      <c r="GET69"/>
      <c r="GEU69"/>
      <c r="GEV69"/>
      <c r="GEW69"/>
      <c r="GEX69"/>
      <c r="GEY69"/>
      <c r="GEZ69"/>
      <c r="GFA69"/>
      <c r="GFB69"/>
      <c r="GFC69"/>
      <c r="GFD69"/>
      <c r="GFE69"/>
      <c r="GFF69"/>
      <c r="GFG69"/>
      <c r="GFH69"/>
      <c r="GFI69"/>
      <c r="GFJ69"/>
      <c r="GFK69"/>
      <c r="GFL69"/>
      <c r="GFM69"/>
      <c r="GFN69"/>
      <c r="GFO69"/>
      <c r="GFP69"/>
      <c r="GFQ69"/>
      <c r="GFR69"/>
      <c r="GFS69"/>
      <c r="GFT69"/>
      <c r="GFU69"/>
      <c r="GFV69"/>
      <c r="GFW69"/>
      <c r="GFX69"/>
      <c r="GFY69"/>
      <c r="GFZ69"/>
      <c r="GGA69"/>
      <c r="GGB69"/>
      <c r="GGC69"/>
      <c r="GGD69"/>
      <c r="GGE69"/>
      <c r="GGF69"/>
      <c r="GGG69"/>
      <c r="GGH69"/>
      <c r="GGI69"/>
      <c r="GGJ69"/>
      <c r="GGK69"/>
      <c r="GGL69"/>
      <c r="GGM69"/>
      <c r="GGN69"/>
      <c r="GGO69"/>
      <c r="GGP69"/>
      <c r="GGQ69"/>
      <c r="GGR69"/>
      <c r="GGS69"/>
      <c r="GGT69"/>
      <c r="GGU69"/>
      <c r="GGV69"/>
      <c r="GGW69"/>
      <c r="GGX69"/>
      <c r="GGY69"/>
      <c r="GGZ69"/>
      <c r="GHA69"/>
      <c r="GHB69"/>
      <c r="GHC69"/>
      <c r="GHD69"/>
      <c r="GHE69"/>
      <c r="GHF69"/>
      <c r="GHG69"/>
      <c r="GHH69"/>
      <c r="GHI69"/>
      <c r="GHJ69"/>
      <c r="GHK69"/>
      <c r="GHL69"/>
      <c r="GHM69"/>
      <c r="GHN69"/>
      <c r="GHO69"/>
      <c r="GHP69"/>
      <c r="GHQ69"/>
      <c r="GHR69"/>
      <c r="GHS69"/>
      <c r="GHT69"/>
      <c r="GHU69"/>
      <c r="GHV69"/>
      <c r="GHW69"/>
      <c r="GHX69"/>
      <c r="GHY69"/>
      <c r="GHZ69"/>
      <c r="GIA69"/>
      <c r="GIB69"/>
      <c r="GIC69"/>
      <c r="GID69"/>
      <c r="GIE69"/>
      <c r="GIF69"/>
      <c r="GIG69"/>
      <c r="GIH69"/>
      <c r="GII69"/>
      <c r="GIJ69"/>
      <c r="GIK69"/>
      <c r="GIL69"/>
      <c r="GIM69"/>
      <c r="GIN69"/>
      <c r="GIO69"/>
      <c r="GIP69"/>
      <c r="GIQ69"/>
      <c r="GIR69"/>
      <c r="GIS69"/>
      <c r="GIT69"/>
      <c r="GIU69"/>
      <c r="GIV69"/>
      <c r="GIW69"/>
      <c r="GIX69"/>
      <c r="GIY69"/>
      <c r="GIZ69"/>
      <c r="GJA69"/>
      <c r="GJB69"/>
      <c r="GJC69"/>
      <c r="GJD69"/>
      <c r="GJE69"/>
      <c r="GJF69"/>
      <c r="GJG69"/>
      <c r="GJH69"/>
      <c r="GJI69"/>
      <c r="GJJ69"/>
      <c r="GJK69"/>
      <c r="GJL69"/>
      <c r="GJM69"/>
      <c r="GJN69"/>
      <c r="GJO69"/>
      <c r="GJP69"/>
      <c r="GJQ69"/>
      <c r="GJR69"/>
      <c r="GJS69"/>
      <c r="GJT69"/>
      <c r="GJU69"/>
      <c r="GJV69"/>
      <c r="GJW69"/>
      <c r="GJX69"/>
      <c r="GJY69"/>
      <c r="GJZ69"/>
      <c r="GKA69"/>
      <c r="GKB69"/>
      <c r="GKC69"/>
      <c r="GKD69"/>
      <c r="GKE69"/>
      <c r="GKF69"/>
      <c r="GKG69"/>
      <c r="GKH69"/>
      <c r="GKI69"/>
      <c r="GKJ69"/>
      <c r="GKK69"/>
      <c r="GKL69"/>
      <c r="GKM69"/>
      <c r="GKN69"/>
      <c r="GKO69"/>
      <c r="GKP69"/>
      <c r="GKQ69"/>
      <c r="GKR69"/>
      <c r="GKS69"/>
      <c r="GKT69"/>
      <c r="GKU69"/>
      <c r="GKV69"/>
      <c r="GKW69"/>
      <c r="GKX69"/>
      <c r="GKY69"/>
      <c r="GKZ69"/>
      <c r="GLA69"/>
      <c r="GLB69"/>
      <c r="GLC69"/>
      <c r="GLD69"/>
      <c r="GLE69"/>
      <c r="GLF69"/>
      <c r="GLG69"/>
      <c r="GLH69"/>
      <c r="GLI69"/>
      <c r="GLJ69"/>
      <c r="GLK69"/>
      <c r="GLL69"/>
      <c r="GLM69"/>
      <c r="GLN69"/>
      <c r="GLO69"/>
      <c r="GLP69"/>
      <c r="GLQ69"/>
      <c r="GLR69"/>
      <c r="GLS69"/>
      <c r="GLT69"/>
      <c r="GLU69"/>
      <c r="GLV69"/>
      <c r="GLW69"/>
      <c r="GLX69"/>
      <c r="GLY69"/>
      <c r="GLZ69"/>
      <c r="GMA69"/>
      <c r="GMB69"/>
      <c r="GMC69"/>
      <c r="GMD69"/>
      <c r="GME69"/>
      <c r="GMF69"/>
      <c r="GMG69"/>
      <c r="GMH69"/>
      <c r="GMI69"/>
      <c r="GMJ69"/>
      <c r="GMK69"/>
      <c r="GML69"/>
      <c r="GMM69"/>
      <c r="GMN69"/>
      <c r="GMO69"/>
      <c r="GMP69"/>
      <c r="GMQ69"/>
      <c r="GMR69"/>
      <c r="GMS69"/>
      <c r="GMT69"/>
      <c r="GMU69"/>
      <c r="GMV69"/>
      <c r="GMW69"/>
      <c r="GMX69"/>
      <c r="GMY69"/>
      <c r="GMZ69"/>
      <c r="GNA69"/>
      <c r="GNB69"/>
      <c r="GNC69"/>
      <c r="GND69"/>
      <c r="GNE69"/>
      <c r="GNF69"/>
      <c r="GNG69"/>
      <c r="GNH69"/>
      <c r="GNI69"/>
      <c r="GNJ69"/>
      <c r="GNK69"/>
      <c r="GNL69"/>
      <c r="GNM69"/>
      <c r="GNN69"/>
      <c r="GNO69"/>
      <c r="GNP69"/>
      <c r="GNQ69"/>
      <c r="GNR69"/>
      <c r="GNS69"/>
      <c r="GNT69"/>
      <c r="GNU69"/>
      <c r="GNV69"/>
      <c r="GNW69"/>
      <c r="GNX69"/>
      <c r="GNY69"/>
      <c r="GNZ69"/>
      <c r="GOA69"/>
      <c r="GOB69"/>
      <c r="GOC69"/>
      <c r="GOD69"/>
      <c r="GOE69"/>
      <c r="GOF69"/>
      <c r="GOG69"/>
      <c r="GOH69"/>
      <c r="GOI69"/>
      <c r="GOJ69"/>
      <c r="GOK69"/>
      <c r="GOL69"/>
      <c r="GOM69"/>
      <c r="GON69"/>
      <c r="GOO69"/>
      <c r="GOP69"/>
      <c r="GOQ69"/>
      <c r="GOR69"/>
      <c r="GOS69"/>
      <c r="GOT69"/>
      <c r="GOU69"/>
      <c r="GOV69"/>
      <c r="GOW69"/>
      <c r="GOX69"/>
      <c r="GOY69"/>
      <c r="GOZ69"/>
      <c r="GPA69"/>
      <c r="GPB69"/>
      <c r="GPC69"/>
      <c r="GPD69"/>
      <c r="GPE69"/>
      <c r="GPF69"/>
      <c r="GPG69"/>
      <c r="GPH69"/>
      <c r="GPI69"/>
      <c r="GPJ69"/>
      <c r="GPK69"/>
      <c r="GPL69"/>
      <c r="GPM69"/>
      <c r="GPN69"/>
      <c r="GPO69"/>
      <c r="GPP69"/>
      <c r="GPQ69"/>
      <c r="GPR69"/>
      <c r="GPS69"/>
      <c r="GPT69"/>
      <c r="GPU69"/>
      <c r="GPV69"/>
      <c r="GPW69"/>
      <c r="GPX69"/>
      <c r="GPY69"/>
      <c r="GPZ69"/>
      <c r="GQA69"/>
      <c r="GQB69"/>
      <c r="GQC69"/>
      <c r="GQD69"/>
      <c r="GQE69"/>
      <c r="GQF69"/>
      <c r="GQG69"/>
      <c r="GQH69"/>
      <c r="GQI69"/>
      <c r="GQJ69"/>
      <c r="GQK69"/>
      <c r="GQL69"/>
      <c r="GQM69"/>
      <c r="GQN69"/>
      <c r="GQO69"/>
      <c r="GQP69"/>
      <c r="GQQ69"/>
      <c r="GQR69"/>
      <c r="GQS69"/>
      <c r="GQT69"/>
      <c r="GQU69"/>
      <c r="GQV69"/>
      <c r="GQW69"/>
      <c r="GQX69"/>
      <c r="GQY69"/>
      <c r="GQZ69"/>
      <c r="GRA69"/>
      <c r="GRB69"/>
      <c r="GRC69"/>
      <c r="GRD69"/>
      <c r="GRE69"/>
      <c r="GRF69"/>
      <c r="GRG69"/>
      <c r="GRH69"/>
      <c r="GRI69"/>
      <c r="GRJ69"/>
      <c r="GRK69"/>
      <c r="GRL69"/>
      <c r="GRM69"/>
      <c r="GRN69"/>
      <c r="GRO69"/>
      <c r="GRP69"/>
      <c r="GRQ69"/>
      <c r="GRR69"/>
      <c r="GRS69"/>
      <c r="GRT69"/>
      <c r="GRU69"/>
      <c r="GRV69"/>
      <c r="GRW69"/>
      <c r="GRX69"/>
      <c r="GRY69"/>
      <c r="GRZ69"/>
      <c r="GSA69"/>
      <c r="GSB69"/>
      <c r="GSC69"/>
      <c r="GSD69"/>
      <c r="GSE69"/>
      <c r="GSF69"/>
      <c r="GSG69"/>
      <c r="GSH69"/>
      <c r="GSI69"/>
      <c r="GSJ69"/>
      <c r="GSK69"/>
      <c r="GSL69"/>
      <c r="GSM69"/>
      <c r="GSN69"/>
      <c r="GSO69"/>
      <c r="GSP69"/>
      <c r="GSQ69"/>
      <c r="GSR69"/>
      <c r="GSS69"/>
      <c r="GST69"/>
      <c r="GSU69"/>
      <c r="GSV69"/>
      <c r="GSW69"/>
      <c r="GSX69"/>
      <c r="GSY69"/>
      <c r="GSZ69"/>
      <c r="GTA69"/>
      <c r="GTB69"/>
      <c r="GTC69"/>
      <c r="GTD69"/>
      <c r="GTE69"/>
      <c r="GTF69"/>
      <c r="GTG69"/>
      <c r="GTH69"/>
      <c r="GTI69"/>
      <c r="GTJ69"/>
      <c r="GTK69"/>
      <c r="GTL69"/>
      <c r="GTM69"/>
      <c r="GTN69"/>
      <c r="GTO69"/>
      <c r="GTP69"/>
      <c r="GTQ69"/>
      <c r="GTR69"/>
      <c r="GTS69"/>
      <c r="GTT69"/>
      <c r="GTU69"/>
      <c r="GTV69"/>
      <c r="GTW69"/>
      <c r="GTX69"/>
      <c r="GTY69"/>
      <c r="GTZ69"/>
      <c r="GUA69"/>
      <c r="GUB69"/>
      <c r="GUC69"/>
      <c r="GUD69"/>
      <c r="GUE69"/>
      <c r="GUF69"/>
      <c r="GUG69"/>
      <c r="GUH69"/>
      <c r="GUI69"/>
      <c r="GUJ69"/>
      <c r="GUK69"/>
      <c r="GUL69"/>
      <c r="GUM69"/>
      <c r="GUN69"/>
      <c r="GUO69"/>
      <c r="GUP69"/>
      <c r="GUQ69"/>
      <c r="GUR69"/>
      <c r="GUS69"/>
      <c r="GUT69"/>
      <c r="GUU69"/>
      <c r="GUV69"/>
      <c r="GUW69"/>
      <c r="GUX69"/>
      <c r="GUY69"/>
      <c r="GUZ69"/>
      <c r="GVA69"/>
      <c r="GVB69"/>
      <c r="GVC69"/>
      <c r="GVD69"/>
      <c r="GVE69"/>
      <c r="GVF69"/>
      <c r="GVG69"/>
      <c r="GVH69"/>
      <c r="GVI69"/>
      <c r="GVJ69"/>
      <c r="GVK69"/>
      <c r="GVL69"/>
      <c r="GVM69"/>
      <c r="GVN69"/>
      <c r="GVO69"/>
      <c r="GVP69"/>
      <c r="GVQ69"/>
      <c r="GVR69"/>
      <c r="GVS69"/>
      <c r="GVT69"/>
      <c r="GVU69"/>
      <c r="GVV69"/>
      <c r="GVW69"/>
      <c r="GVX69"/>
      <c r="GVY69"/>
      <c r="GVZ69"/>
      <c r="GWA69"/>
      <c r="GWB69"/>
      <c r="GWC69"/>
      <c r="GWD69"/>
      <c r="GWE69"/>
      <c r="GWF69"/>
      <c r="GWG69"/>
      <c r="GWH69"/>
      <c r="GWI69"/>
      <c r="GWJ69"/>
      <c r="GWK69"/>
      <c r="GWL69"/>
      <c r="GWM69"/>
      <c r="GWN69"/>
      <c r="GWO69"/>
      <c r="GWP69"/>
      <c r="GWQ69"/>
      <c r="GWR69"/>
      <c r="GWS69"/>
      <c r="GWT69"/>
      <c r="GWU69"/>
      <c r="GWV69"/>
      <c r="GWW69"/>
      <c r="GWX69"/>
      <c r="GWY69"/>
      <c r="GWZ69"/>
      <c r="GXA69"/>
      <c r="GXB69"/>
      <c r="GXC69"/>
      <c r="GXD69"/>
      <c r="GXE69"/>
      <c r="GXF69"/>
      <c r="GXG69"/>
      <c r="GXH69"/>
      <c r="GXI69"/>
      <c r="GXJ69"/>
      <c r="GXK69"/>
      <c r="GXL69"/>
      <c r="GXM69"/>
      <c r="GXN69"/>
      <c r="GXO69"/>
      <c r="GXP69"/>
      <c r="GXQ69"/>
      <c r="GXR69"/>
      <c r="GXS69"/>
      <c r="GXT69"/>
      <c r="GXU69"/>
      <c r="GXV69"/>
      <c r="GXW69"/>
      <c r="GXX69"/>
      <c r="GXY69"/>
      <c r="GXZ69"/>
      <c r="GYA69"/>
      <c r="GYB69"/>
      <c r="GYC69"/>
      <c r="GYD69"/>
      <c r="GYE69"/>
      <c r="GYF69"/>
      <c r="GYG69"/>
      <c r="GYH69"/>
      <c r="GYI69"/>
      <c r="GYJ69"/>
      <c r="GYK69"/>
      <c r="GYL69"/>
      <c r="GYM69"/>
      <c r="GYN69"/>
      <c r="GYO69"/>
      <c r="GYP69"/>
      <c r="GYQ69"/>
      <c r="GYR69"/>
      <c r="GYS69"/>
      <c r="GYT69"/>
      <c r="GYU69"/>
      <c r="GYV69"/>
      <c r="GYW69"/>
      <c r="GYX69"/>
      <c r="GYY69"/>
      <c r="GYZ69"/>
      <c r="GZA69"/>
      <c r="GZB69"/>
      <c r="GZC69"/>
      <c r="GZD69"/>
      <c r="GZE69"/>
      <c r="GZF69"/>
      <c r="GZG69"/>
      <c r="GZH69"/>
      <c r="GZI69"/>
      <c r="GZJ69"/>
      <c r="GZK69"/>
      <c r="GZL69"/>
      <c r="GZM69"/>
      <c r="GZN69"/>
      <c r="GZO69"/>
      <c r="GZP69"/>
      <c r="GZQ69"/>
      <c r="GZR69"/>
      <c r="GZS69"/>
      <c r="GZT69"/>
      <c r="GZU69"/>
      <c r="GZV69"/>
      <c r="GZW69"/>
      <c r="GZX69"/>
      <c r="GZY69"/>
      <c r="GZZ69"/>
      <c r="HAA69"/>
      <c r="HAB69"/>
      <c r="HAC69"/>
      <c r="HAD69"/>
      <c r="HAE69"/>
      <c r="HAF69"/>
      <c r="HAG69"/>
      <c r="HAH69"/>
      <c r="HAI69"/>
      <c r="HAJ69"/>
      <c r="HAK69"/>
      <c r="HAL69"/>
      <c r="HAM69"/>
      <c r="HAN69"/>
      <c r="HAO69"/>
      <c r="HAP69"/>
      <c r="HAQ69"/>
      <c r="HAR69"/>
      <c r="HAS69"/>
      <c r="HAT69"/>
      <c r="HAU69"/>
      <c r="HAV69"/>
      <c r="HAW69"/>
      <c r="HAX69"/>
      <c r="HAY69"/>
      <c r="HAZ69"/>
      <c r="HBA69"/>
      <c r="HBB69"/>
      <c r="HBC69"/>
      <c r="HBD69"/>
      <c r="HBE69"/>
      <c r="HBF69"/>
      <c r="HBG69"/>
      <c r="HBH69"/>
      <c r="HBI69"/>
      <c r="HBJ69"/>
      <c r="HBK69"/>
      <c r="HBL69"/>
      <c r="HBM69"/>
      <c r="HBN69"/>
      <c r="HBO69"/>
      <c r="HBP69"/>
      <c r="HBQ69"/>
      <c r="HBR69"/>
      <c r="HBS69"/>
      <c r="HBT69"/>
      <c r="HBU69"/>
      <c r="HBV69"/>
      <c r="HBW69"/>
      <c r="HBX69"/>
      <c r="HBY69"/>
      <c r="HBZ69"/>
      <c r="HCA69"/>
      <c r="HCB69"/>
      <c r="HCC69"/>
      <c r="HCD69"/>
      <c r="HCE69"/>
      <c r="HCF69"/>
      <c r="HCG69"/>
      <c r="HCH69"/>
      <c r="HCI69"/>
      <c r="HCJ69"/>
      <c r="HCK69"/>
      <c r="HCL69"/>
      <c r="HCM69"/>
      <c r="HCN69"/>
      <c r="HCO69"/>
      <c r="HCP69"/>
      <c r="HCQ69"/>
      <c r="HCR69"/>
      <c r="HCS69"/>
      <c r="HCT69"/>
      <c r="HCU69"/>
      <c r="HCV69"/>
      <c r="HCW69"/>
      <c r="HCX69"/>
      <c r="HCY69"/>
      <c r="HCZ69"/>
      <c r="HDA69"/>
      <c r="HDB69"/>
      <c r="HDC69"/>
      <c r="HDD69"/>
      <c r="HDE69"/>
      <c r="HDF69"/>
      <c r="HDG69"/>
      <c r="HDH69"/>
      <c r="HDI69"/>
      <c r="HDJ69"/>
      <c r="HDK69"/>
      <c r="HDL69"/>
      <c r="HDM69"/>
      <c r="HDN69"/>
      <c r="HDO69"/>
      <c r="HDP69"/>
      <c r="HDQ69"/>
      <c r="HDR69"/>
      <c r="HDS69"/>
      <c r="HDT69"/>
      <c r="HDU69"/>
      <c r="HDV69"/>
      <c r="HDW69"/>
      <c r="HDX69"/>
      <c r="HDY69"/>
      <c r="HDZ69"/>
      <c r="HEA69"/>
      <c r="HEB69"/>
      <c r="HEC69"/>
      <c r="HED69"/>
      <c r="HEE69"/>
      <c r="HEF69"/>
      <c r="HEG69"/>
      <c r="HEH69"/>
      <c r="HEI69"/>
      <c r="HEJ69"/>
      <c r="HEK69"/>
      <c r="HEL69"/>
      <c r="HEM69"/>
      <c r="HEN69"/>
      <c r="HEO69"/>
      <c r="HEP69"/>
      <c r="HEQ69"/>
      <c r="HER69"/>
      <c r="HES69"/>
      <c r="HET69"/>
      <c r="HEU69"/>
      <c r="HEV69"/>
      <c r="HEW69"/>
      <c r="HEX69"/>
      <c r="HEY69"/>
      <c r="HEZ69"/>
      <c r="HFA69"/>
      <c r="HFB69"/>
      <c r="HFC69"/>
      <c r="HFD69"/>
      <c r="HFE69"/>
      <c r="HFF69"/>
      <c r="HFG69"/>
      <c r="HFH69"/>
      <c r="HFI69"/>
      <c r="HFJ69"/>
      <c r="HFK69"/>
      <c r="HFL69"/>
      <c r="HFM69"/>
      <c r="HFN69"/>
      <c r="HFO69"/>
      <c r="HFP69"/>
      <c r="HFQ69"/>
      <c r="HFR69"/>
      <c r="HFS69"/>
      <c r="HFT69"/>
      <c r="HFU69"/>
      <c r="HFV69"/>
      <c r="HFW69"/>
      <c r="HFX69"/>
      <c r="HFY69"/>
      <c r="HFZ69"/>
      <c r="HGA69"/>
      <c r="HGB69"/>
      <c r="HGC69"/>
      <c r="HGD69"/>
      <c r="HGE69"/>
      <c r="HGF69"/>
      <c r="HGG69"/>
      <c r="HGH69"/>
      <c r="HGI69"/>
      <c r="HGJ69"/>
      <c r="HGK69"/>
      <c r="HGL69"/>
      <c r="HGM69"/>
      <c r="HGN69"/>
      <c r="HGO69"/>
      <c r="HGP69"/>
      <c r="HGQ69"/>
      <c r="HGR69"/>
      <c r="HGS69"/>
      <c r="HGT69"/>
      <c r="HGU69"/>
      <c r="HGV69"/>
      <c r="HGW69"/>
      <c r="HGX69"/>
      <c r="HGY69"/>
      <c r="HGZ69"/>
      <c r="HHA69"/>
      <c r="HHB69"/>
      <c r="HHC69"/>
      <c r="HHD69"/>
      <c r="HHE69"/>
      <c r="HHF69"/>
      <c r="HHG69"/>
      <c r="HHH69"/>
      <c r="HHI69"/>
      <c r="HHJ69"/>
      <c r="HHK69"/>
      <c r="HHL69"/>
      <c r="HHM69"/>
      <c r="HHN69"/>
      <c r="HHO69"/>
      <c r="HHP69"/>
      <c r="HHQ69"/>
      <c r="HHR69"/>
      <c r="HHS69"/>
      <c r="HHT69"/>
      <c r="HHU69"/>
      <c r="HHV69"/>
      <c r="HHW69"/>
      <c r="HHX69"/>
      <c r="HHY69"/>
      <c r="HHZ69"/>
      <c r="HIA69"/>
      <c r="HIB69"/>
      <c r="HIC69"/>
      <c r="HID69"/>
      <c r="HIE69"/>
      <c r="HIF69"/>
      <c r="HIG69"/>
      <c r="HIH69"/>
      <c r="HII69"/>
      <c r="HIJ69"/>
      <c r="HIK69"/>
      <c r="HIL69"/>
      <c r="HIM69"/>
      <c r="HIN69"/>
      <c r="HIO69"/>
      <c r="HIP69"/>
      <c r="HIQ69"/>
      <c r="HIR69"/>
      <c r="HIS69"/>
      <c r="HIT69"/>
      <c r="HIU69"/>
      <c r="HIV69"/>
      <c r="HIW69"/>
      <c r="HIX69"/>
      <c r="HIY69"/>
      <c r="HIZ69"/>
      <c r="HJA69"/>
      <c r="HJB69"/>
      <c r="HJC69"/>
      <c r="HJD69"/>
      <c r="HJE69"/>
      <c r="HJF69"/>
      <c r="HJG69"/>
      <c r="HJH69"/>
      <c r="HJI69"/>
      <c r="HJJ69"/>
      <c r="HJK69"/>
      <c r="HJL69"/>
      <c r="HJM69"/>
      <c r="HJN69"/>
      <c r="HJO69"/>
      <c r="HJP69"/>
      <c r="HJQ69"/>
      <c r="HJR69"/>
      <c r="HJS69"/>
      <c r="HJT69"/>
      <c r="HJU69"/>
      <c r="HJV69"/>
      <c r="HJW69"/>
      <c r="HJX69"/>
      <c r="HJY69"/>
      <c r="HJZ69"/>
      <c r="HKA69"/>
      <c r="HKB69"/>
      <c r="HKC69"/>
      <c r="HKD69"/>
      <c r="HKE69"/>
      <c r="HKF69"/>
      <c r="HKG69"/>
      <c r="HKH69"/>
      <c r="HKI69"/>
      <c r="HKJ69"/>
      <c r="HKK69"/>
      <c r="HKL69"/>
      <c r="HKM69"/>
      <c r="HKN69"/>
      <c r="HKO69"/>
      <c r="HKP69"/>
      <c r="HKQ69"/>
      <c r="HKR69"/>
      <c r="HKS69"/>
      <c r="HKT69"/>
      <c r="HKU69"/>
      <c r="HKV69"/>
      <c r="HKW69"/>
      <c r="HKX69"/>
      <c r="HKY69"/>
      <c r="HKZ69"/>
      <c r="HLA69"/>
      <c r="HLB69"/>
      <c r="HLC69"/>
      <c r="HLD69"/>
      <c r="HLE69"/>
      <c r="HLF69"/>
      <c r="HLG69"/>
      <c r="HLH69"/>
      <c r="HLI69"/>
      <c r="HLJ69"/>
      <c r="HLK69"/>
      <c r="HLL69"/>
      <c r="HLM69"/>
      <c r="HLN69"/>
      <c r="HLO69"/>
      <c r="HLP69"/>
      <c r="HLQ69"/>
      <c r="HLR69"/>
      <c r="HLS69"/>
      <c r="HLT69"/>
      <c r="HLU69"/>
      <c r="HLV69"/>
      <c r="HLW69"/>
      <c r="HLX69"/>
      <c r="HLY69"/>
      <c r="HLZ69"/>
      <c r="HMA69"/>
      <c r="HMB69"/>
      <c r="HMC69"/>
      <c r="HMD69"/>
      <c r="HME69"/>
      <c r="HMF69"/>
      <c r="HMG69"/>
      <c r="HMH69"/>
      <c r="HMI69"/>
      <c r="HMJ69"/>
      <c r="HMK69"/>
      <c r="HML69"/>
      <c r="HMM69"/>
      <c r="HMN69"/>
      <c r="HMO69"/>
      <c r="HMP69"/>
      <c r="HMQ69"/>
      <c r="HMR69"/>
      <c r="HMS69"/>
      <c r="HMT69"/>
      <c r="HMU69"/>
      <c r="HMV69"/>
      <c r="HMW69"/>
      <c r="HMX69"/>
      <c r="HMY69"/>
      <c r="HMZ69"/>
      <c r="HNA69"/>
      <c r="HNB69"/>
      <c r="HNC69"/>
      <c r="HND69"/>
      <c r="HNE69"/>
      <c r="HNF69"/>
      <c r="HNG69"/>
      <c r="HNH69"/>
      <c r="HNI69"/>
      <c r="HNJ69"/>
      <c r="HNK69"/>
      <c r="HNL69"/>
      <c r="HNM69"/>
      <c r="HNN69"/>
      <c r="HNO69"/>
      <c r="HNP69"/>
      <c r="HNQ69"/>
      <c r="HNR69"/>
      <c r="HNS69"/>
      <c r="HNT69"/>
      <c r="HNU69"/>
      <c r="HNV69"/>
      <c r="HNW69"/>
      <c r="HNX69"/>
      <c r="HNY69"/>
      <c r="HNZ69"/>
      <c r="HOA69"/>
      <c r="HOB69"/>
      <c r="HOC69"/>
      <c r="HOD69"/>
      <c r="HOE69"/>
      <c r="HOF69"/>
      <c r="HOG69"/>
      <c r="HOH69"/>
      <c r="HOI69"/>
      <c r="HOJ69"/>
      <c r="HOK69"/>
      <c r="HOL69"/>
      <c r="HOM69"/>
      <c r="HON69"/>
      <c r="HOO69"/>
      <c r="HOP69"/>
      <c r="HOQ69"/>
      <c r="HOR69"/>
      <c r="HOS69"/>
      <c r="HOT69"/>
      <c r="HOU69"/>
      <c r="HOV69"/>
      <c r="HOW69"/>
      <c r="HOX69"/>
      <c r="HOY69"/>
      <c r="HOZ69"/>
      <c r="HPA69"/>
      <c r="HPB69"/>
      <c r="HPC69"/>
      <c r="HPD69"/>
      <c r="HPE69"/>
      <c r="HPF69"/>
      <c r="HPG69"/>
      <c r="HPH69"/>
      <c r="HPI69"/>
      <c r="HPJ69"/>
      <c r="HPK69"/>
      <c r="HPL69"/>
      <c r="HPM69"/>
      <c r="HPN69"/>
      <c r="HPO69"/>
      <c r="HPP69"/>
      <c r="HPQ69"/>
      <c r="HPR69"/>
      <c r="HPS69"/>
      <c r="HPT69"/>
      <c r="HPU69"/>
      <c r="HPV69"/>
      <c r="HPW69"/>
      <c r="HPX69"/>
      <c r="HPY69"/>
      <c r="HPZ69"/>
      <c r="HQA69"/>
      <c r="HQB69"/>
      <c r="HQC69"/>
      <c r="HQD69"/>
      <c r="HQE69"/>
      <c r="HQF69"/>
      <c r="HQG69"/>
      <c r="HQH69"/>
      <c r="HQI69"/>
      <c r="HQJ69"/>
      <c r="HQK69"/>
      <c r="HQL69"/>
      <c r="HQM69"/>
      <c r="HQN69"/>
      <c r="HQO69"/>
      <c r="HQP69"/>
      <c r="HQQ69"/>
      <c r="HQR69"/>
      <c r="HQS69"/>
      <c r="HQT69"/>
      <c r="HQU69"/>
      <c r="HQV69"/>
      <c r="HQW69"/>
      <c r="HQX69"/>
      <c r="HQY69"/>
      <c r="HQZ69"/>
      <c r="HRA69"/>
      <c r="HRB69"/>
      <c r="HRC69"/>
      <c r="HRD69"/>
      <c r="HRE69"/>
      <c r="HRF69"/>
      <c r="HRG69"/>
      <c r="HRH69"/>
      <c r="HRI69"/>
      <c r="HRJ69"/>
      <c r="HRK69"/>
      <c r="HRL69"/>
      <c r="HRM69"/>
      <c r="HRN69"/>
      <c r="HRO69"/>
      <c r="HRP69"/>
      <c r="HRQ69"/>
      <c r="HRR69"/>
      <c r="HRS69"/>
      <c r="HRT69"/>
      <c r="HRU69"/>
      <c r="HRV69"/>
      <c r="HRW69"/>
      <c r="HRX69"/>
      <c r="HRY69"/>
      <c r="HRZ69"/>
      <c r="HSA69"/>
      <c r="HSB69"/>
      <c r="HSC69"/>
      <c r="HSD69"/>
      <c r="HSE69"/>
      <c r="HSF69"/>
      <c r="HSG69"/>
      <c r="HSH69"/>
      <c r="HSI69"/>
      <c r="HSJ69"/>
      <c r="HSK69"/>
      <c r="HSL69"/>
      <c r="HSM69"/>
      <c r="HSN69"/>
      <c r="HSO69"/>
      <c r="HSP69"/>
      <c r="HSQ69"/>
      <c r="HSR69"/>
      <c r="HSS69"/>
      <c r="HST69"/>
      <c r="HSU69"/>
      <c r="HSV69"/>
      <c r="HSW69"/>
      <c r="HSX69"/>
      <c r="HSY69"/>
      <c r="HSZ69"/>
      <c r="HTA69"/>
      <c r="HTB69"/>
      <c r="HTC69"/>
      <c r="HTD69"/>
      <c r="HTE69"/>
      <c r="HTF69"/>
      <c r="HTG69"/>
      <c r="HTH69"/>
      <c r="HTI69"/>
      <c r="HTJ69"/>
      <c r="HTK69"/>
      <c r="HTL69"/>
      <c r="HTM69"/>
      <c r="HTN69"/>
      <c r="HTO69"/>
      <c r="HTP69"/>
      <c r="HTQ69"/>
      <c r="HTR69"/>
      <c r="HTS69"/>
      <c r="HTT69"/>
      <c r="HTU69"/>
      <c r="HTV69"/>
      <c r="HTW69"/>
      <c r="HTX69"/>
      <c r="HTY69"/>
      <c r="HTZ69"/>
      <c r="HUA69"/>
      <c r="HUB69"/>
      <c r="HUC69"/>
      <c r="HUD69"/>
      <c r="HUE69"/>
      <c r="HUF69"/>
      <c r="HUG69"/>
      <c r="HUH69"/>
      <c r="HUI69"/>
      <c r="HUJ69"/>
      <c r="HUK69"/>
      <c r="HUL69"/>
      <c r="HUM69"/>
      <c r="HUN69"/>
      <c r="HUO69"/>
      <c r="HUP69"/>
      <c r="HUQ69"/>
      <c r="HUR69"/>
      <c r="HUS69"/>
      <c r="HUT69"/>
      <c r="HUU69"/>
      <c r="HUV69"/>
      <c r="HUW69"/>
      <c r="HUX69"/>
      <c r="HUY69"/>
      <c r="HUZ69"/>
      <c r="HVA69"/>
      <c r="HVB69"/>
      <c r="HVC69"/>
      <c r="HVD69"/>
      <c r="HVE69"/>
      <c r="HVF69"/>
      <c r="HVG69"/>
      <c r="HVH69"/>
      <c r="HVI69"/>
      <c r="HVJ69"/>
      <c r="HVK69"/>
      <c r="HVL69"/>
      <c r="HVM69"/>
      <c r="HVN69"/>
      <c r="HVO69"/>
      <c r="HVP69"/>
      <c r="HVQ69"/>
      <c r="HVR69"/>
      <c r="HVS69"/>
      <c r="HVT69"/>
      <c r="HVU69"/>
      <c r="HVV69"/>
      <c r="HVW69"/>
      <c r="HVX69"/>
      <c r="HVY69"/>
      <c r="HVZ69"/>
      <c r="HWA69"/>
      <c r="HWB69"/>
      <c r="HWC69"/>
      <c r="HWD69"/>
      <c r="HWE69"/>
      <c r="HWF69"/>
      <c r="HWG69"/>
      <c r="HWH69"/>
      <c r="HWI69"/>
      <c r="HWJ69"/>
      <c r="HWK69"/>
      <c r="HWL69"/>
      <c r="HWM69"/>
      <c r="HWN69"/>
      <c r="HWO69"/>
      <c r="HWP69"/>
      <c r="HWQ69"/>
      <c r="HWR69"/>
      <c r="HWS69"/>
      <c r="HWT69"/>
      <c r="HWU69"/>
      <c r="HWV69"/>
      <c r="HWW69"/>
      <c r="HWX69"/>
      <c r="HWY69"/>
      <c r="HWZ69"/>
      <c r="HXA69"/>
      <c r="HXB69"/>
      <c r="HXC69"/>
      <c r="HXD69"/>
      <c r="HXE69"/>
      <c r="HXF69"/>
      <c r="HXG69"/>
      <c r="HXH69"/>
      <c r="HXI69"/>
      <c r="HXJ69"/>
      <c r="HXK69"/>
      <c r="HXL69"/>
      <c r="HXM69"/>
      <c r="HXN69"/>
      <c r="HXO69"/>
      <c r="HXP69"/>
      <c r="HXQ69"/>
      <c r="HXR69"/>
      <c r="HXS69"/>
      <c r="HXT69"/>
      <c r="HXU69"/>
      <c r="HXV69"/>
      <c r="HXW69"/>
      <c r="HXX69"/>
      <c r="HXY69"/>
      <c r="HXZ69"/>
      <c r="HYA69"/>
      <c r="HYB69"/>
      <c r="HYC69"/>
      <c r="HYD69"/>
      <c r="HYE69"/>
      <c r="HYF69"/>
      <c r="HYG69"/>
      <c r="HYH69"/>
      <c r="HYI69"/>
      <c r="HYJ69"/>
      <c r="HYK69"/>
      <c r="HYL69"/>
      <c r="HYM69"/>
      <c r="HYN69"/>
      <c r="HYO69"/>
      <c r="HYP69"/>
      <c r="HYQ69"/>
      <c r="HYR69"/>
      <c r="HYS69"/>
      <c r="HYT69"/>
      <c r="HYU69"/>
      <c r="HYV69"/>
      <c r="HYW69"/>
      <c r="HYX69"/>
      <c r="HYY69"/>
      <c r="HYZ69"/>
      <c r="HZA69"/>
      <c r="HZB69"/>
      <c r="HZC69"/>
      <c r="HZD69"/>
      <c r="HZE69"/>
      <c r="HZF69"/>
      <c r="HZG69"/>
      <c r="HZH69"/>
      <c r="HZI69"/>
      <c r="HZJ69"/>
      <c r="HZK69"/>
      <c r="HZL69"/>
      <c r="HZM69"/>
      <c r="HZN69"/>
      <c r="HZO69"/>
      <c r="HZP69"/>
      <c r="HZQ69"/>
      <c r="HZR69"/>
      <c r="HZS69"/>
      <c r="HZT69"/>
      <c r="HZU69"/>
      <c r="HZV69"/>
      <c r="HZW69"/>
      <c r="HZX69"/>
      <c r="HZY69"/>
      <c r="HZZ69"/>
      <c r="IAA69"/>
      <c r="IAB69"/>
      <c r="IAC69"/>
      <c r="IAD69"/>
      <c r="IAE69"/>
      <c r="IAF69"/>
      <c r="IAG69"/>
      <c r="IAH69"/>
      <c r="IAI69"/>
      <c r="IAJ69"/>
      <c r="IAK69"/>
      <c r="IAL69"/>
      <c r="IAM69"/>
      <c r="IAN69"/>
      <c r="IAO69"/>
      <c r="IAP69"/>
      <c r="IAQ69"/>
      <c r="IAR69"/>
      <c r="IAS69"/>
      <c r="IAT69"/>
      <c r="IAU69"/>
      <c r="IAV69"/>
      <c r="IAW69"/>
      <c r="IAX69"/>
      <c r="IAY69"/>
      <c r="IAZ69"/>
      <c r="IBA69"/>
      <c r="IBB69"/>
      <c r="IBC69"/>
      <c r="IBD69"/>
      <c r="IBE69"/>
      <c r="IBF69"/>
      <c r="IBG69"/>
      <c r="IBH69"/>
      <c r="IBI69"/>
      <c r="IBJ69"/>
      <c r="IBK69"/>
      <c r="IBL69"/>
      <c r="IBM69"/>
      <c r="IBN69"/>
      <c r="IBO69"/>
      <c r="IBP69"/>
      <c r="IBQ69"/>
      <c r="IBR69"/>
      <c r="IBS69"/>
      <c r="IBT69"/>
      <c r="IBU69"/>
      <c r="IBV69"/>
      <c r="IBW69"/>
      <c r="IBX69"/>
      <c r="IBY69"/>
      <c r="IBZ69"/>
      <c r="ICA69"/>
      <c r="ICB69"/>
      <c r="ICC69"/>
      <c r="ICD69"/>
      <c r="ICE69"/>
      <c r="ICF69"/>
      <c r="ICG69"/>
      <c r="ICH69"/>
      <c r="ICI69"/>
      <c r="ICJ69"/>
      <c r="ICK69"/>
      <c r="ICL69"/>
      <c r="ICM69"/>
      <c r="ICN69"/>
      <c r="ICO69"/>
      <c r="ICP69"/>
      <c r="ICQ69"/>
      <c r="ICR69"/>
      <c r="ICS69"/>
      <c r="ICT69"/>
      <c r="ICU69"/>
      <c r="ICV69"/>
      <c r="ICW69"/>
      <c r="ICX69"/>
      <c r="ICY69"/>
      <c r="ICZ69"/>
      <c r="IDA69"/>
      <c r="IDB69"/>
      <c r="IDC69"/>
      <c r="IDD69"/>
      <c r="IDE69"/>
      <c r="IDF69"/>
      <c r="IDG69"/>
      <c r="IDH69"/>
      <c r="IDI69"/>
      <c r="IDJ69"/>
      <c r="IDK69"/>
      <c r="IDL69"/>
      <c r="IDM69"/>
      <c r="IDN69"/>
      <c r="IDO69"/>
      <c r="IDP69"/>
      <c r="IDQ69"/>
      <c r="IDR69"/>
      <c r="IDS69"/>
      <c r="IDT69"/>
      <c r="IDU69"/>
      <c r="IDV69"/>
      <c r="IDW69"/>
      <c r="IDX69"/>
      <c r="IDY69"/>
      <c r="IDZ69"/>
      <c r="IEA69"/>
      <c r="IEB69"/>
      <c r="IEC69"/>
      <c r="IED69"/>
      <c r="IEE69"/>
      <c r="IEF69"/>
      <c r="IEG69"/>
      <c r="IEH69"/>
      <c r="IEI69"/>
      <c r="IEJ69"/>
      <c r="IEK69"/>
      <c r="IEL69"/>
      <c r="IEM69"/>
      <c r="IEN69"/>
      <c r="IEO69"/>
      <c r="IEP69"/>
      <c r="IEQ69"/>
      <c r="IER69"/>
      <c r="IES69"/>
      <c r="IET69"/>
      <c r="IEU69"/>
      <c r="IEV69"/>
      <c r="IEW69"/>
      <c r="IEX69"/>
      <c r="IEY69"/>
      <c r="IEZ69"/>
      <c r="IFA69"/>
      <c r="IFB69"/>
      <c r="IFC69"/>
      <c r="IFD69"/>
      <c r="IFE69"/>
      <c r="IFF69"/>
      <c r="IFG69"/>
      <c r="IFH69"/>
      <c r="IFI69"/>
      <c r="IFJ69"/>
      <c r="IFK69"/>
      <c r="IFL69"/>
      <c r="IFM69"/>
      <c r="IFN69"/>
      <c r="IFO69"/>
      <c r="IFP69"/>
      <c r="IFQ69"/>
      <c r="IFR69"/>
      <c r="IFS69"/>
      <c r="IFT69"/>
      <c r="IFU69"/>
      <c r="IFV69"/>
      <c r="IFW69"/>
      <c r="IFX69"/>
      <c r="IFY69"/>
      <c r="IFZ69"/>
      <c r="IGA69"/>
      <c r="IGB69"/>
      <c r="IGC69"/>
      <c r="IGD69"/>
      <c r="IGE69"/>
      <c r="IGF69"/>
      <c r="IGG69"/>
      <c r="IGH69"/>
      <c r="IGI69"/>
      <c r="IGJ69"/>
      <c r="IGK69"/>
      <c r="IGL69"/>
      <c r="IGM69"/>
      <c r="IGN69"/>
      <c r="IGO69"/>
      <c r="IGP69"/>
      <c r="IGQ69"/>
      <c r="IGR69"/>
      <c r="IGS69"/>
      <c r="IGT69"/>
      <c r="IGU69"/>
      <c r="IGV69"/>
      <c r="IGW69"/>
      <c r="IGX69"/>
      <c r="IGY69"/>
      <c r="IGZ69"/>
      <c r="IHA69"/>
      <c r="IHB69"/>
      <c r="IHC69"/>
      <c r="IHD69"/>
      <c r="IHE69"/>
      <c r="IHF69"/>
      <c r="IHG69"/>
      <c r="IHH69"/>
      <c r="IHI69"/>
      <c r="IHJ69"/>
      <c r="IHK69"/>
      <c r="IHL69"/>
      <c r="IHM69"/>
      <c r="IHN69"/>
      <c r="IHO69"/>
      <c r="IHP69"/>
      <c r="IHQ69"/>
      <c r="IHR69"/>
      <c r="IHS69"/>
      <c r="IHT69"/>
      <c r="IHU69"/>
      <c r="IHV69"/>
      <c r="IHW69"/>
      <c r="IHX69"/>
      <c r="IHY69"/>
      <c r="IHZ69"/>
      <c r="IIA69"/>
      <c r="IIB69"/>
      <c r="IIC69"/>
      <c r="IID69"/>
      <c r="IIE69"/>
      <c r="IIF69"/>
      <c r="IIG69"/>
      <c r="IIH69"/>
      <c r="III69"/>
      <c r="IIJ69"/>
      <c r="IIK69"/>
      <c r="IIL69"/>
      <c r="IIM69"/>
      <c r="IIN69"/>
      <c r="IIO69"/>
      <c r="IIP69"/>
      <c r="IIQ69"/>
      <c r="IIR69"/>
      <c r="IIS69"/>
      <c r="IIT69"/>
      <c r="IIU69"/>
      <c r="IIV69"/>
      <c r="IIW69"/>
      <c r="IIX69"/>
      <c r="IIY69"/>
      <c r="IIZ69"/>
      <c r="IJA69"/>
      <c r="IJB69"/>
      <c r="IJC69"/>
      <c r="IJD69"/>
      <c r="IJE69"/>
      <c r="IJF69"/>
      <c r="IJG69"/>
      <c r="IJH69"/>
      <c r="IJI69"/>
      <c r="IJJ69"/>
      <c r="IJK69"/>
      <c r="IJL69"/>
      <c r="IJM69"/>
      <c r="IJN69"/>
      <c r="IJO69"/>
      <c r="IJP69"/>
      <c r="IJQ69"/>
      <c r="IJR69"/>
      <c r="IJS69"/>
      <c r="IJT69"/>
      <c r="IJU69"/>
      <c r="IJV69"/>
      <c r="IJW69"/>
      <c r="IJX69"/>
      <c r="IJY69"/>
      <c r="IJZ69"/>
      <c r="IKA69"/>
      <c r="IKB69"/>
      <c r="IKC69"/>
      <c r="IKD69"/>
      <c r="IKE69"/>
      <c r="IKF69"/>
      <c r="IKG69"/>
      <c r="IKH69"/>
      <c r="IKI69"/>
      <c r="IKJ69"/>
      <c r="IKK69"/>
      <c r="IKL69"/>
      <c r="IKM69"/>
      <c r="IKN69"/>
      <c r="IKO69"/>
      <c r="IKP69"/>
      <c r="IKQ69"/>
      <c r="IKR69"/>
      <c r="IKS69"/>
      <c r="IKT69"/>
      <c r="IKU69"/>
      <c r="IKV69"/>
      <c r="IKW69"/>
      <c r="IKX69"/>
      <c r="IKY69"/>
      <c r="IKZ69"/>
      <c r="ILA69"/>
      <c r="ILB69"/>
      <c r="ILC69"/>
      <c r="ILD69"/>
      <c r="ILE69"/>
      <c r="ILF69"/>
      <c r="ILG69"/>
      <c r="ILH69"/>
      <c r="ILI69"/>
      <c r="ILJ69"/>
      <c r="ILK69"/>
      <c r="ILL69"/>
      <c r="ILM69"/>
      <c r="ILN69"/>
      <c r="ILO69"/>
      <c r="ILP69"/>
      <c r="ILQ69"/>
      <c r="ILR69"/>
      <c r="ILS69"/>
      <c r="ILT69"/>
      <c r="ILU69"/>
      <c r="ILV69"/>
      <c r="ILW69"/>
      <c r="ILX69"/>
      <c r="ILY69"/>
      <c r="ILZ69"/>
      <c r="IMA69"/>
      <c r="IMB69"/>
      <c r="IMC69"/>
      <c r="IMD69"/>
      <c r="IME69"/>
      <c r="IMF69"/>
      <c r="IMG69"/>
      <c r="IMH69"/>
      <c r="IMI69"/>
      <c r="IMJ69"/>
      <c r="IMK69"/>
      <c r="IML69"/>
      <c r="IMM69"/>
      <c r="IMN69"/>
      <c r="IMO69"/>
      <c r="IMP69"/>
      <c r="IMQ69"/>
      <c r="IMR69"/>
      <c r="IMS69"/>
      <c r="IMT69"/>
      <c r="IMU69"/>
      <c r="IMV69"/>
      <c r="IMW69"/>
      <c r="IMX69"/>
      <c r="IMY69"/>
      <c r="IMZ69"/>
      <c r="INA69"/>
      <c r="INB69"/>
      <c r="INC69"/>
      <c r="IND69"/>
      <c r="INE69"/>
      <c r="INF69"/>
      <c r="ING69"/>
      <c r="INH69"/>
      <c r="INI69"/>
      <c r="INJ69"/>
      <c r="INK69"/>
      <c r="INL69"/>
      <c r="INM69"/>
      <c r="INN69"/>
      <c r="INO69"/>
      <c r="INP69"/>
      <c r="INQ69"/>
      <c r="INR69"/>
      <c r="INS69"/>
      <c r="INT69"/>
      <c r="INU69"/>
      <c r="INV69"/>
      <c r="INW69"/>
      <c r="INX69"/>
      <c r="INY69"/>
      <c r="INZ69"/>
      <c r="IOA69"/>
      <c r="IOB69"/>
      <c r="IOC69"/>
      <c r="IOD69"/>
      <c r="IOE69"/>
      <c r="IOF69"/>
      <c r="IOG69"/>
      <c r="IOH69"/>
      <c r="IOI69"/>
      <c r="IOJ69"/>
      <c r="IOK69"/>
      <c r="IOL69"/>
      <c r="IOM69"/>
      <c r="ION69"/>
      <c r="IOO69"/>
      <c r="IOP69"/>
      <c r="IOQ69"/>
      <c r="IOR69"/>
      <c r="IOS69"/>
      <c r="IOT69"/>
      <c r="IOU69"/>
      <c r="IOV69"/>
      <c r="IOW69"/>
      <c r="IOX69"/>
      <c r="IOY69"/>
      <c r="IOZ69"/>
      <c r="IPA69"/>
      <c r="IPB69"/>
      <c r="IPC69"/>
      <c r="IPD69"/>
      <c r="IPE69"/>
      <c r="IPF69"/>
      <c r="IPG69"/>
      <c r="IPH69"/>
      <c r="IPI69"/>
      <c r="IPJ69"/>
      <c r="IPK69"/>
      <c r="IPL69"/>
      <c r="IPM69"/>
      <c r="IPN69"/>
      <c r="IPO69"/>
      <c r="IPP69"/>
      <c r="IPQ69"/>
      <c r="IPR69"/>
      <c r="IPS69"/>
      <c r="IPT69"/>
      <c r="IPU69"/>
      <c r="IPV69"/>
      <c r="IPW69"/>
      <c r="IPX69"/>
      <c r="IPY69"/>
      <c r="IPZ69"/>
      <c r="IQA69"/>
      <c r="IQB69"/>
      <c r="IQC69"/>
      <c r="IQD69"/>
      <c r="IQE69"/>
      <c r="IQF69"/>
      <c r="IQG69"/>
      <c r="IQH69"/>
      <c r="IQI69"/>
      <c r="IQJ69"/>
      <c r="IQK69"/>
      <c r="IQL69"/>
      <c r="IQM69"/>
      <c r="IQN69"/>
      <c r="IQO69"/>
      <c r="IQP69"/>
      <c r="IQQ69"/>
      <c r="IQR69"/>
      <c r="IQS69"/>
      <c r="IQT69"/>
      <c r="IQU69"/>
      <c r="IQV69"/>
      <c r="IQW69"/>
      <c r="IQX69"/>
      <c r="IQY69"/>
      <c r="IQZ69"/>
      <c r="IRA69"/>
      <c r="IRB69"/>
      <c r="IRC69"/>
      <c r="IRD69"/>
      <c r="IRE69"/>
      <c r="IRF69"/>
      <c r="IRG69"/>
      <c r="IRH69"/>
      <c r="IRI69"/>
      <c r="IRJ69"/>
      <c r="IRK69"/>
      <c r="IRL69"/>
      <c r="IRM69"/>
      <c r="IRN69"/>
      <c r="IRO69"/>
      <c r="IRP69"/>
      <c r="IRQ69"/>
      <c r="IRR69"/>
      <c r="IRS69"/>
      <c r="IRT69"/>
      <c r="IRU69"/>
      <c r="IRV69"/>
      <c r="IRW69"/>
      <c r="IRX69"/>
      <c r="IRY69"/>
      <c r="IRZ69"/>
      <c r="ISA69"/>
      <c r="ISB69"/>
      <c r="ISC69"/>
      <c r="ISD69"/>
      <c r="ISE69"/>
      <c r="ISF69"/>
      <c r="ISG69"/>
      <c r="ISH69"/>
      <c r="ISI69"/>
      <c r="ISJ69"/>
      <c r="ISK69"/>
      <c r="ISL69"/>
      <c r="ISM69"/>
      <c r="ISN69"/>
      <c r="ISO69"/>
      <c r="ISP69"/>
      <c r="ISQ69"/>
      <c r="ISR69"/>
      <c r="ISS69"/>
      <c r="IST69"/>
      <c r="ISU69"/>
      <c r="ISV69"/>
      <c r="ISW69"/>
      <c r="ISX69"/>
      <c r="ISY69"/>
      <c r="ISZ69"/>
      <c r="ITA69"/>
      <c r="ITB69"/>
      <c r="ITC69"/>
      <c r="ITD69"/>
      <c r="ITE69"/>
      <c r="ITF69"/>
      <c r="ITG69"/>
      <c r="ITH69"/>
      <c r="ITI69"/>
      <c r="ITJ69"/>
      <c r="ITK69"/>
      <c r="ITL69"/>
      <c r="ITM69"/>
      <c r="ITN69"/>
      <c r="ITO69"/>
      <c r="ITP69"/>
      <c r="ITQ69"/>
      <c r="ITR69"/>
      <c r="ITS69"/>
      <c r="ITT69"/>
      <c r="ITU69"/>
      <c r="ITV69"/>
      <c r="ITW69"/>
      <c r="ITX69"/>
      <c r="ITY69"/>
      <c r="ITZ69"/>
      <c r="IUA69"/>
      <c r="IUB69"/>
      <c r="IUC69"/>
      <c r="IUD69"/>
      <c r="IUE69"/>
      <c r="IUF69"/>
      <c r="IUG69"/>
      <c r="IUH69"/>
      <c r="IUI69"/>
      <c r="IUJ69"/>
      <c r="IUK69"/>
      <c r="IUL69"/>
      <c r="IUM69"/>
      <c r="IUN69"/>
      <c r="IUO69"/>
      <c r="IUP69"/>
      <c r="IUQ69"/>
      <c r="IUR69"/>
      <c r="IUS69"/>
      <c r="IUT69"/>
      <c r="IUU69"/>
      <c r="IUV69"/>
      <c r="IUW69"/>
      <c r="IUX69"/>
      <c r="IUY69"/>
      <c r="IUZ69"/>
      <c r="IVA69"/>
      <c r="IVB69"/>
      <c r="IVC69"/>
      <c r="IVD69"/>
      <c r="IVE69"/>
      <c r="IVF69"/>
      <c r="IVG69"/>
      <c r="IVH69"/>
      <c r="IVI69"/>
      <c r="IVJ69"/>
      <c r="IVK69"/>
      <c r="IVL69"/>
      <c r="IVM69"/>
      <c r="IVN69"/>
      <c r="IVO69"/>
      <c r="IVP69"/>
      <c r="IVQ69"/>
      <c r="IVR69"/>
      <c r="IVS69"/>
      <c r="IVT69"/>
      <c r="IVU69"/>
      <c r="IVV69"/>
      <c r="IVW69"/>
      <c r="IVX69"/>
      <c r="IVY69"/>
      <c r="IVZ69"/>
      <c r="IWA69"/>
      <c r="IWB69"/>
      <c r="IWC69"/>
      <c r="IWD69"/>
      <c r="IWE69"/>
      <c r="IWF69"/>
      <c r="IWG69"/>
      <c r="IWH69"/>
      <c r="IWI69"/>
      <c r="IWJ69"/>
      <c r="IWK69"/>
      <c r="IWL69"/>
      <c r="IWM69"/>
      <c r="IWN69"/>
      <c r="IWO69"/>
      <c r="IWP69"/>
      <c r="IWQ69"/>
      <c r="IWR69"/>
      <c r="IWS69"/>
      <c r="IWT69"/>
      <c r="IWU69"/>
      <c r="IWV69"/>
      <c r="IWW69"/>
      <c r="IWX69"/>
      <c r="IWY69"/>
      <c r="IWZ69"/>
      <c r="IXA69"/>
      <c r="IXB69"/>
      <c r="IXC69"/>
      <c r="IXD69"/>
      <c r="IXE69"/>
      <c r="IXF69"/>
      <c r="IXG69"/>
      <c r="IXH69"/>
      <c r="IXI69"/>
      <c r="IXJ69"/>
      <c r="IXK69"/>
      <c r="IXL69"/>
      <c r="IXM69"/>
      <c r="IXN69"/>
      <c r="IXO69"/>
      <c r="IXP69"/>
      <c r="IXQ69"/>
      <c r="IXR69"/>
      <c r="IXS69"/>
      <c r="IXT69"/>
      <c r="IXU69"/>
      <c r="IXV69"/>
      <c r="IXW69"/>
      <c r="IXX69"/>
      <c r="IXY69"/>
      <c r="IXZ69"/>
      <c r="IYA69"/>
      <c r="IYB69"/>
      <c r="IYC69"/>
      <c r="IYD69"/>
      <c r="IYE69"/>
      <c r="IYF69"/>
      <c r="IYG69"/>
      <c r="IYH69"/>
      <c r="IYI69"/>
      <c r="IYJ69"/>
      <c r="IYK69"/>
      <c r="IYL69"/>
      <c r="IYM69"/>
      <c r="IYN69"/>
      <c r="IYO69"/>
      <c r="IYP69"/>
      <c r="IYQ69"/>
      <c r="IYR69"/>
      <c r="IYS69"/>
      <c r="IYT69"/>
      <c r="IYU69"/>
      <c r="IYV69"/>
      <c r="IYW69"/>
      <c r="IYX69"/>
      <c r="IYY69"/>
      <c r="IYZ69"/>
      <c r="IZA69"/>
      <c r="IZB69"/>
      <c r="IZC69"/>
      <c r="IZD69"/>
      <c r="IZE69"/>
      <c r="IZF69"/>
      <c r="IZG69"/>
      <c r="IZH69"/>
      <c r="IZI69"/>
      <c r="IZJ69"/>
      <c r="IZK69"/>
      <c r="IZL69"/>
      <c r="IZM69"/>
      <c r="IZN69"/>
      <c r="IZO69"/>
      <c r="IZP69"/>
      <c r="IZQ69"/>
      <c r="IZR69"/>
      <c r="IZS69"/>
      <c r="IZT69"/>
      <c r="IZU69"/>
      <c r="IZV69"/>
      <c r="IZW69"/>
      <c r="IZX69"/>
      <c r="IZY69"/>
      <c r="IZZ69"/>
      <c r="JAA69"/>
      <c r="JAB69"/>
      <c r="JAC69"/>
      <c r="JAD69"/>
      <c r="JAE69"/>
      <c r="JAF69"/>
      <c r="JAG69"/>
      <c r="JAH69"/>
      <c r="JAI69"/>
      <c r="JAJ69"/>
      <c r="JAK69"/>
      <c r="JAL69"/>
      <c r="JAM69"/>
      <c r="JAN69"/>
      <c r="JAO69"/>
      <c r="JAP69"/>
      <c r="JAQ69"/>
      <c r="JAR69"/>
      <c r="JAS69"/>
      <c r="JAT69"/>
      <c r="JAU69"/>
      <c r="JAV69"/>
      <c r="JAW69"/>
      <c r="JAX69"/>
      <c r="JAY69"/>
      <c r="JAZ69"/>
      <c r="JBA69"/>
      <c r="JBB69"/>
      <c r="JBC69"/>
      <c r="JBD69"/>
      <c r="JBE69"/>
      <c r="JBF69"/>
      <c r="JBG69"/>
      <c r="JBH69"/>
      <c r="JBI69"/>
      <c r="JBJ69"/>
      <c r="JBK69"/>
      <c r="JBL69"/>
      <c r="JBM69"/>
      <c r="JBN69"/>
      <c r="JBO69"/>
      <c r="JBP69"/>
      <c r="JBQ69"/>
      <c r="JBR69"/>
      <c r="JBS69"/>
      <c r="JBT69"/>
      <c r="JBU69"/>
      <c r="JBV69"/>
      <c r="JBW69"/>
      <c r="JBX69"/>
      <c r="JBY69"/>
      <c r="JBZ69"/>
      <c r="JCA69"/>
      <c r="JCB69"/>
      <c r="JCC69"/>
      <c r="JCD69"/>
      <c r="JCE69"/>
      <c r="JCF69"/>
      <c r="JCG69"/>
      <c r="JCH69"/>
      <c r="JCI69"/>
      <c r="JCJ69"/>
      <c r="JCK69"/>
      <c r="JCL69"/>
      <c r="JCM69"/>
      <c r="JCN69"/>
      <c r="JCO69"/>
      <c r="JCP69"/>
      <c r="JCQ69"/>
      <c r="JCR69"/>
      <c r="JCS69"/>
      <c r="JCT69"/>
      <c r="JCU69"/>
      <c r="JCV69"/>
      <c r="JCW69"/>
      <c r="JCX69"/>
      <c r="JCY69"/>
      <c r="JCZ69"/>
      <c r="JDA69"/>
      <c r="JDB69"/>
      <c r="JDC69"/>
      <c r="JDD69"/>
      <c r="JDE69"/>
      <c r="JDF69"/>
      <c r="JDG69"/>
      <c r="JDH69"/>
      <c r="JDI69"/>
      <c r="JDJ69"/>
      <c r="JDK69"/>
      <c r="JDL69"/>
      <c r="JDM69"/>
      <c r="JDN69"/>
      <c r="JDO69"/>
      <c r="JDP69"/>
      <c r="JDQ69"/>
      <c r="JDR69"/>
      <c r="JDS69"/>
      <c r="JDT69"/>
      <c r="JDU69"/>
      <c r="JDV69"/>
      <c r="JDW69"/>
      <c r="JDX69"/>
      <c r="JDY69"/>
      <c r="JDZ69"/>
      <c r="JEA69"/>
      <c r="JEB69"/>
      <c r="JEC69"/>
      <c r="JED69"/>
      <c r="JEE69"/>
      <c r="JEF69"/>
      <c r="JEG69"/>
      <c r="JEH69"/>
      <c r="JEI69"/>
      <c r="JEJ69"/>
      <c r="JEK69"/>
      <c r="JEL69"/>
      <c r="JEM69"/>
      <c r="JEN69"/>
      <c r="JEO69"/>
      <c r="JEP69"/>
      <c r="JEQ69"/>
      <c r="JER69"/>
      <c r="JES69"/>
      <c r="JET69"/>
      <c r="JEU69"/>
      <c r="JEV69"/>
      <c r="JEW69"/>
      <c r="JEX69"/>
      <c r="JEY69"/>
      <c r="JEZ69"/>
      <c r="JFA69"/>
      <c r="JFB69"/>
      <c r="JFC69"/>
      <c r="JFD69"/>
      <c r="JFE69"/>
      <c r="JFF69"/>
      <c r="JFG69"/>
      <c r="JFH69"/>
      <c r="JFI69"/>
      <c r="JFJ69"/>
      <c r="JFK69"/>
      <c r="JFL69"/>
      <c r="JFM69"/>
      <c r="JFN69"/>
      <c r="JFO69"/>
      <c r="JFP69"/>
      <c r="JFQ69"/>
      <c r="JFR69"/>
      <c r="JFS69"/>
      <c r="JFT69"/>
      <c r="JFU69"/>
      <c r="JFV69"/>
      <c r="JFW69"/>
      <c r="JFX69"/>
      <c r="JFY69"/>
      <c r="JFZ69"/>
      <c r="JGA69"/>
      <c r="JGB69"/>
      <c r="JGC69"/>
      <c r="JGD69"/>
      <c r="JGE69"/>
      <c r="JGF69"/>
      <c r="JGG69"/>
      <c r="JGH69"/>
      <c r="JGI69"/>
      <c r="JGJ69"/>
      <c r="JGK69"/>
      <c r="JGL69"/>
      <c r="JGM69"/>
      <c r="JGN69"/>
      <c r="JGO69"/>
      <c r="JGP69"/>
      <c r="JGQ69"/>
      <c r="JGR69"/>
      <c r="JGS69"/>
      <c r="JGT69"/>
      <c r="JGU69"/>
      <c r="JGV69"/>
      <c r="JGW69"/>
      <c r="JGX69"/>
      <c r="JGY69"/>
      <c r="JGZ69"/>
      <c r="JHA69"/>
      <c r="JHB69"/>
      <c r="JHC69"/>
      <c r="JHD69"/>
      <c r="JHE69"/>
      <c r="JHF69"/>
      <c r="JHG69"/>
      <c r="JHH69"/>
      <c r="JHI69"/>
      <c r="JHJ69"/>
      <c r="JHK69"/>
      <c r="JHL69"/>
      <c r="JHM69"/>
      <c r="JHN69"/>
      <c r="JHO69"/>
      <c r="JHP69"/>
      <c r="JHQ69"/>
      <c r="JHR69"/>
      <c r="JHS69"/>
      <c r="JHT69"/>
      <c r="JHU69"/>
      <c r="JHV69"/>
      <c r="JHW69"/>
      <c r="JHX69"/>
      <c r="JHY69"/>
      <c r="JHZ69"/>
      <c r="JIA69"/>
      <c r="JIB69"/>
      <c r="JIC69"/>
      <c r="JID69"/>
      <c r="JIE69"/>
      <c r="JIF69"/>
      <c r="JIG69"/>
      <c r="JIH69"/>
      <c r="JII69"/>
      <c r="JIJ69"/>
      <c r="JIK69"/>
      <c r="JIL69"/>
      <c r="JIM69"/>
      <c r="JIN69"/>
      <c r="JIO69"/>
      <c r="JIP69"/>
      <c r="JIQ69"/>
      <c r="JIR69"/>
      <c r="JIS69"/>
      <c r="JIT69"/>
      <c r="JIU69"/>
      <c r="JIV69"/>
      <c r="JIW69"/>
      <c r="JIX69"/>
      <c r="JIY69"/>
      <c r="JIZ69"/>
      <c r="JJA69"/>
      <c r="JJB69"/>
      <c r="JJC69"/>
      <c r="JJD69"/>
      <c r="JJE69"/>
      <c r="JJF69"/>
      <c r="JJG69"/>
      <c r="JJH69"/>
      <c r="JJI69"/>
      <c r="JJJ69"/>
      <c r="JJK69"/>
      <c r="JJL69"/>
      <c r="JJM69"/>
      <c r="JJN69"/>
      <c r="JJO69"/>
      <c r="JJP69"/>
      <c r="JJQ69"/>
      <c r="JJR69"/>
      <c r="JJS69"/>
      <c r="JJT69"/>
      <c r="JJU69"/>
      <c r="JJV69"/>
      <c r="JJW69"/>
      <c r="JJX69"/>
      <c r="JJY69"/>
      <c r="JJZ69"/>
      <c r="JKA69"/>
      <c r="JKB69"/>
      <c r="JKC69"/>
      <c r="JKD69"/>
      <c r="JKE69"/>
      <c r="JKF69"/>
      <c r="JKG69"/>
      <c r="JKH69"/>
      <c r="JKI69"/>
      <c r="JKJ69"/>
      <c r="JKK69"/>
      <c r="JKL69"/>
      <c r="JKM69"/>
      <c r="JKN69"/>
      <c r="JKO69"/>
      <c r="JKP69"/>
      <c r="JKQ69"/>
      <c r="JKR69"/>
      <c r="JKS69"/>
      <c r="JKT69"/>
      <c r="JKU69"/>
      <c r="JKV69"/>
      <c r="JKW69"/>
      <c r="JKX69"/>
      <c r="JKY69"/>
      <c r="JKZ69"/>
      <c r="JLA69"/>
      <c r="JLB69"/>
      <c r="JLC69"/>
      <c r="JLD69"/>
      <c r="JLE69"/>
      <c r="JLF69"/>
      <c r="JLG69"/>
      <c r="JLH69"/>
      <c r="JLI69"/>
      <c r="JLJ69"/>
      <c r="JLK69"/>
      <c r="JLL69"/>
      <c r="JLM69"/>
      <c r="JLN69"/>
      <c r="JLO69"/>
      <c r="JLP69"/>
      <c r="JLQ69"/>
      <c r="JLR69"/>
      <c r="JLS69"/>
      <c r="JLT69"/>
      <c r="JLU69"/>
      <c r="JLV69"/>
      <c r="JLW69"/>
      <c r="JLX69"/>
      <c r="JLY69"/>
      <c r="JLZ69"/>
      <c r="JMA69"/>
      <c r="JMB69"/>
      <c r="JMC69"/>
      <c r="JMD69"/>
      <c r="JME69"/>
      <c r="JMF69"/>
      <c r="JMG69"/>
      <c r="JMH69"/>
      <c r="JMI69"/>
      <c r="JMJ69"/>
      <c r="JMK69"/>
      <c r="JML69"/>
      <c r="JMM69"/>
      <c r="JMN69"/>
      <c r="JMO69"/>
      <c r="JMP69"/>
      <c r="JMQ69"/>
      <c r="JMR69"/>
      <c r="JMS69"/>
      <c r="JMT69"/>
      <c r="JMU69"/>
      <c r="JMV69"/>
      <c r="JMW69"/>
      <c r="JMX69"/>
      <c r="JMY69"/>
      <c r="JMZ69"/>
      <c r="JNA69"/>
      <c r="JNB69"/>
      <c r="JNC69"/>
      <c r="JND69"/>
      <c r="JNE69"/>
      <c r="JNF69"/>
      <c r="JNG69"/>
      <c r="JNH69"/>
      <c r="JNI69"/>
      <c r="JNJ69"/>
      <c r="JNK69"/>
      <c r="JNL69"/>
      <c r="JNM69"/>
      <c r="JNN69"/>
      <c r="JNO69"/>
      <c r="JNP69"/>
      <c r="JNQ69"/>
      <c r="JNR69"/>
      <c r="JNS69"/>
      <c r="JNT69"/>
      <c r="JNU69"/>
      <c r="JNV69"/>
      <c r="JNW69"/>
      <c r="JNX69"/>
      <c r="JNY69"/>
      <c r="JNZ69"/>
      <c r="JOA69"/>
      <c r="JOB69"/>
      <c r="JOC69"/>
      <c r="JOD69"/>
      <c r="JOE69"/>
      <c r="JOF69"/>
      <c r="JOG69"/>
      <c r="JOH69"/>
      <c r="JOI69"/>
      <c r="JOJ69"/>
      <c r="JOK69"/>
      <c r="JOL69"/>
      <c r="JOM69"/>
      <c r="JON69"/>
      <c r="JOO69"/>
      <c r="JOP69"/>
      <c r="JOQ69"/>
      <c r="JOR69"/>
      <c r="JOS69"/>
      <c r="JOT69"/>
      <c r="JOU69"/>
      <c r="JOV69"/>
      <c r="JOW69"/>
      <c r="JOX69"/>
      <c r="JOY69"/>
      <c r="JOZ69"/>
      <c r="JPA69"/>
      <c r="JPB69"/>
      <c r="JPC69"/>
      <c r="JPD69"/>
      <c r="JPE69"/>
      <c r="JPF69"/>
      <c r="JPG69"/>
      <c r="JPH69"/>
      <c r="JPI69"/>
      <c r="JPJ69"/>
      <c r="JPK69"/>
      <c r="JPL69"/>
      <c r="JPM69"/>
      <c r="JPN69"/>
      <c r="JPO69"/>
      <c r="JPP69"/>
      <c r="JPQ69"/>
      <c r="JPR69"/>
      <c r="JPS69"/>
      <c r="JPT69"/>
      <c r="JPU69"/>
      <c r="JPV69"/>
      <c r="JPW69"/>
      <c r="JPX69"/>
      <c r="JPY69"/>
      <c r="JPZ69"/>
      <c r="JQA69"/>
      <c r="JQB69"/>
      <c r="JQC69"/>
      <c r="JQD69"/>
      <c r="JQE69"/>
      <c r="JQF69"/>
      <c r="JQG69"/>
      <c r="JQH69"/>
      <c r="JQI69"/>
      <c r="JQJ69"/>
      <c r="JQK69"/>
      <c r="JQL69"/>
      <c r="JQM69"/>
      <c r="JQN69"/>
      <c r="JQO69"/>
      <c r="JQP69"/>
      <c r="JQQ69"/>
      <c r="JQR69"/>
      <c r="JQS69"/>
      <c r="JQT69"/>
      <c r="JQU69"/>
      <c r="JQV69"/>
      <c r="JQW69"/>
      <c r="JQX69"/>
      <c r="JQY69"/>
      <c r="JQZ69"/>
      <c r="JRA69"/>
      <c r="JRB69"/>
      <c r="JRC69"/>
      <c r="JRD69"/>
      <c r="JRE69"/>
      <c r="JRF69"/>
      <c r="JRG69"/>
      <c r="JRH69"/>
      <c r="JRI69"/>
      <c r="JRJ69"/>
      <c r="JRK69"/>
      <c r="JRL69"/>
      <c r="JRM69"/>
      <c r="JRN69"/>
      <c r="JRO69"/>
      <c r="JRP69"/>
      <c r="JRQ69"/>
      <c r="JRR69"/>
      <c r="JRS69"/>
      <c r="JRT69"/>
      <c r="JRU69"/>
      <c r="JRV69"/>
      <c r="JRW69"/>
      <c r="JRX69"/>
      <c r="JRY69"/>
      <c r="JRZ69"/>
      <c r="JSA69"/>
      <c r="JSB69"/>
      <c r="JSC69"/>
      <c r="JSD69"/>
      <c r="JSE69"/>
      <c r="JSF69"/>
      <c r="JSG69"/>
      <c r="JSH69"/>
      <c r="JSI69"/>
      <c r="JSJ69"/>
      <c r="JSK69"/>
      <c r="JSL69"/>
      <c r="JSM69"/>
      <c r="JSN69"/>
      <c r="JSO69"/>
      <c r="JSP69"/>
      <c r="JSQ69"/>
      <c r="JSR69"/>
      <c r="JSS69"/>
      <c r="JST69"/>
      <c r="JSU69"/>
      <c r="JSV69"/>
      <c r="JSW69"/>
      <c r="JSX69"/>
      <c r="JSY69"/>
      <c r="JSZ69"/>
      <c r="JTA69"/>
      <c r="JTB69"/>
      <c r="JTC69"/>
      <c r="JTD69"/>
      <c r="JTE69"/>
      <c r="JTF69"/>
      <c r="JTG69"/>
      <c r="JTH69"/>
      <c r="JTI69"/>
      <c r="JTJ69"/>
      <c r="JTK69"/>
      <c r="JTL69"/>
      <c r="JTM69"/>
      <c r="JTN69"/>
      <c r="JTO69"/>
      <c r="JTP69"/>
      <c r="JTQ69"/>
      <c r="JTR69"/>
      <c r="JTS69"/>
      <c r="JTT69"/>
      <c r="JTU69"/>
      <c r="JTV69"/>
      <c r="JTW69"/>
      <c r="JTX69"/>
      <c r="JTY69"/>
      <c r="JTZ69"/>
      <c r="JUA69"/>
      <c r="JUB69"/>
      <c r="JUC69"/>
      <c r="JUD69"/>
      <c r="JUE69"/>
      <c r="JUF69"/>
      <c r="JUG69"/>
      <c r="JUH69"/>
      <c r="JUI69"/>
      <c r="JUJ69"/>
      <c r="JUK69"/>
      <c r="JUL69"/>
      <c r="JUM69"/>
      <c r="JUN69"/>
      <c r="JUO69"/>
      <c r="JUP69"/>
      <c r="JUQ69"/>
      <c r="JUR69"/>
      <c r="JUS69"/>
      <c r="JUT69"/>
      <c r="JUU69"/>
      <c r="JUV69"/>
      <c r="JUW69"/>
      <c r="JUX69"/>
      <c r="JUY69"/>
      <c r="JUZ69"/>
      <c r="JVA69"/>
      <c r="JVB69"/>
      <c r="JVC69"/>
      <c r="JVD69"/>
      <c r="JVE69"/>
      <c r="JVF69"/>
      <c r="JVG69"/>
      <c r="JVH69"/>
      <c r="JVI69"/>
      <c r="JVJ69"/>
      <c r="JVK69"/>
      <c r="JVL69"/>
      <c r="JVM69"/>
      <c r="JVN69"/>
      <c r="JVO69"/>
      <c r="JVP69"/>
      <c r="JVQ69"/>
      <c r="JVR69"/>
      <c r="JVS69"/>
      <c r="JVT69"/>
      <c r="JVU69"/>
      <c r="JVV69"/>
      <c r="JVW69"/>
      <c r="JVX69"/>
      <c r="JVY69"/>
      <c r="JVZ69"/>
      <c r="JWA69"/>
      <c r="JWB69"/>
      <c r="JWC69"/>
      <c r="JWD69"/>
      <c r="JWE69"/>
      <c r="JWF69"/>
      <c r="JWG69"/>
      <c r="JWH69"/>
      <c r="JWI69"/>
      <c r="JWJ69"/>
      <c r="JWK69"/>
      <c r="JWL69"/>
      <c r="JWM69"/>
      <c r="JWN69"/>
      <c r="JWO69"/>
      <c r="JWP69"/>
      <c r="JWQ69"/>
      <c r="JWR69"/>
      <c r="JWS69"/>
      <c r="JWT69"/>
      <c r="JWU69"/>
      <c r="JWV69"/>
      <c r="JWW69"/>
      <c r="JWX69"/>
      <c r="JWY69"/>
      <c r="JWZ69"/>
      <c r="JXA69"/>
      <c r="JXB69"/>
      <c r="JXC69"/>
      <c r="JXD69"/>
      <c r="JXE69"/>
      <c r="JXF69"/>
      <c r="JXG69"/>
      <c r="JXH69"/>
      <c r="JXI69"/>
      <c r="JXJ69"/>
      <c r="JXK69"/>
      <c r="JXL69"/>
      <c r="JXM69"/>
      <c r="JXN69"/>
      <c r="JXO69"/>
      <c r="JXP69"/>
      <c r="JXQ69"/>
      <c r="JXR69"/>
      <c r="JXS69"/>
      <c r="JXT69"/>
      <c r="JXU69"/>
      <c r="JXV69"/>
      <c r="JXW69"/>
      <c r="JXX69"/>
      <c r="JXY69"/>
      <c r="JXZ69"/>
      <c r="JYA69"/>
      <c r="JYB69"/>
      <c r="JYC69"/>
      <c r="JYD69"/>
      <c r="JYE69"/>
      <c r="JYF69"/>
      <c r="JYG69"/>
      <c r="JYH69"/>
      <c r="JYI69"/>
      <c r="JYJ69"/>
      <c r="JYK69"/>
      <c r="JYL69"/>
      <c r="JYM69"/>
      <c r="JYN69"/>
      <c r="JYO69"/>
      <c r="JYP69"/>
      <c r="JYQ69"/>
      <c r="JYR69"/>
      <c r="JYS69"/>
      <c r="JYT69"/>
      <c r="JYU69"/>
      <c r="JYV69"/>
      <c r="JYW69"/>
      <c r="JYX69"/>
      <c r="JYY69"/>
      <c r="JYZ69"/>
      <c r="JZA69"/>
      <c r="JZB69"/>
      <c r="JZC69"/>
      <c r="JZD69"/>
      <c r="JZE69"/>
      <c r="JZF69"/>
      <c r="JZG69"/>
      <c r="JZH69"/>
      <c r="JZI69"/>
      <c r="JZJ69"/>
      <c r="JZK69"/>
      <c r="JZL69"/>
      <c r="JZM69"/>
      <c r="JZN69"/>
      <c r="JZO69"/>
      <c r="JZP69"/>
      <c r="JZQ69"/>
      <c r="JZR69"/>
      <c r="JZS69"/>
      <c r="JZT69"/>
      <c r="JZU69"/>
      <c r="JZV69"/>
      <c r="JZW69"/>
      <c r="JZX69"/>
      <c r="JZY69"/>
      <c r="JZZ69"/>
      <c r="KAA69"/>
      <c r="KAB69"/>
      <c r="KAC69"/>
      <c r="KAD69"/>
      <c r="KAE69"/>
      <c r="KAF69"/>
      <c r="KAG69"/>
      <c r="KAH69"/>
      <c r="KAI69"/>
      <c r="KAJ69"/>
      <c r="KAK69"/>
      <c r="KAL69"/>
      <c r="KAM69"/>
      <c r="KAN69"/>
      <c r="KAO69"/>
      <c r="KAP69"/>
      <c r="KAQ69"/>
      <c r="KAR69"/>
      <c r="KAS69"/>
      <c r="KAT69"/>
      <c r="KAU69"/>
      <c r="KAV69"/>
      <c r="KAW69"/>
      <c r="KAX69"/>
      <c r="KAY69"/>
      <c r="KAZ69"/>
      <c r="KBA69"/>
      <c r="KBB69"/>
      <c r="KBC69"/>
      <c r="KBD69"/>
      <c r="KBE69"/>
      <c r="KBF69"/>
      <c r="KBG69"/>
      <c r="KBH69"/>
      <c r="KBI69"/>
      <c r="KBJ69"/>
      <c r="KBK69"/>
      <c r="KBL69"/>
      <c r="KBM69"/>
      <c r="KBN69"/>
      <c r="KBO69"/>
      <c r="KBP69"/>
      <c r="KBQ69"/>
      <c r="KBR69"/>
      <c r="KBS69"/>
      <c r="KBT69"/>
      <c r="KBU69"/>
      <c r="KBV69"/>
      <c r="KBW69"/>
      <c r="KBX69"/>
      <c r="KBY69"/>
      <c r="KBZ69"/>
      <c r="KCA69"/>
      <c r="KCB69"/>
      <c r="KCC69"/>
      <c r="KCD69"/>
      <c r="KCE69"/>
      <c r="KCF69"/>
      <c r="KCG69"/>
      <c r="KCH69"/>
      <c r="KCI69"/>
      <c r="KCJ69"/>
      <c r="KCK69"/>
      <c r="KCL69"/>
      <c r="KCM69"/>
      <c r="KCN69"/>
      <c r="KCO69"/>
      <c r="KCP69"/>
      <c r="KCQ69"/>
      <c r="KCR69"/>
      <c r="KCS69"/>
      <c r="KCT69"/>
      <c r="KCU69"/>
      <c r="KCV69"/>
      <c r="KCW69"/>
      <c r="KCX69"/>
      <c r="KCY69"/>
      <c r="KCZ69"/>
      <c r="KDA69"/>
      <c r="KDB69"/>
      <c r="KDC69"/>
      <c r="KDD69"/>
      <c r="KDE69"/>
      <c r="KDF69"/>
      <c r="KDG69"/>
      <c r="KDH69"/>
      <c r="KDI69"/>
      <c r="KDJ69"/>
      <c r="KDK69"/>
      <c r="KDL69"/>
      <c r="KDM69"/>
      <c r="KDN69"/>
      <c r="KDO69"/>
      <c r="KDP69"/>
      <c r="KDQ69"/>
      <c r="KDR69"/>
      <c r="KDS69"/>
      <c r="KDT69"/>
      <c r="KDU69"/>
      <c r="KDV69"/>
      <c r="KDW69"/>
      <c r="KDX69"/>
      <c r="KDY69"/>
      <c r="KDZ69"/>
      <c r="KEA69"/>
      <c r="KEB69"/>
      <c r="KEC69"/>
      <c r="KED69"/>
      <c r="KEE69"/>
      <c r="KEF69"/>
      <c r="KEG69"/>
      <c r="KEH69"/>
      <c r="KEI69"/>
      <c r="KEJ69"/>
      <c r="KEK69"/>
      <c r="KEL69"/>
      <c r="KEM69"/>
      <c r="KEN69"/>
      <c r="KEO69"/>
      <c r="KEP69"/>
      <c r="KEQ69"/>
      <c r="KER69"/>
      <c r="KES69"/>
      <c r="KET69"/>
      <c r="KEU69"/>
      <c r="KEV69"/>
      <c r="KEW69"/>
      <c r="KEX69"/>
      <c r="KEY69"/>
      <c r="KEZ69"/>
      <c r="KFA69"/>
      <c r="KFB69"/>
      <c r="KFC69"/>
      <c r="KFD69"/>
      <c r="KFE69"/>
      <c r="KFF69"/>
      <c r="KFG69"/>
      <c r="KFH69"/>
      <c r="KFI69"/>
      <c r="KFJ69"/>
      <c r="KFK69"/>
      <c r="KFL69"/>
      <c r="KFM69"/>
      <c r="KFN69"/>
      <c r="KFO69"/>
      <c r="KFP69"/>
      <c r="KFQ69"/>
      <c r="KFR69"/>
      <c r="KFS69"/>
      <c r="KFT69"/>
      <c r="KFU69"/>
      <c r="KFV69"/>
      <c r="KFW69"/>
      <c r="KFX69"/>
      <c r="KFY69"/>
      <c r="KFZ69"/>
      <c r="KGA69"/>
      <c r="KGB69"/>
      <c r="KGC69"/>
      <c r="KGD69"/>
      <c r="KGE69"/>
      <c r="KGF69"/>
      <c r="KGG69"/>
      <c r="KGH69"/>
      <c r="KGI69"/>
      <c r="KGJ69"/>
      <c r="KGK69"/>
      <c r="KGL69"/>
      <c r="KGM69"/>
      <c r="KGN69"/>
      <c r="KGO69"/>
      <c r="KGP69"/>
      <c r="KGQ69"/>
      <c r="KGR69"/>
      <c r="KGS69"/>
      <c r="KGT69"/>
      <c r="KGU69"/>
      <c r="KGV69"/>
      <c r="KGW69"/>
      <c r="KGX69"/>
      <c r="KGY69"/>
      <c r="KGZ69"/>
      <c r="KHA69"/>
      <c r="KHB69"/>
      <c r="KHC69"/>
      <c r="KHD69"/>
      <c r="KHE69"/>
      <c r="KHF69"/>
      <c r="KHG69"/>
      <c r="KHH69"/>
      <c r="KHI69"/>
      <c r="KHJ69"/>
      <c r="KHK69"/>
      <c r="KHL69"/>
      <c r="KHM69"/>
      <c r="KHN69"/>
      <c r="KHO69"/>
      <c r="KHP69"/>
      <c r="KHQ69"/>
      <c r="KHR69"/>
      <c r="KHS69"/>
      <c r="KHT69"/>
      <c r="KHU69"/>
      <c r="KHV69"/>
      <c r="KHW69"/>
      <c r="KHX69"/>
      <c r="KHY69"/>
      <c r="KHZ69"/>
      <c r="KIA69"/>
      <c r="KIB69"/>
      <c r="KIC69"/>
      <c r="KID69"/>
      <c r="KIE69"/>
      <c r="KIF69"/>
      <c r="KIG69"/>
      <c r="KIH69"/>
      <c r="KII69"/>
      <c r="KIJ69"/>
      <c r="KIK69"/>
      <c r="KIL69"/>
      <c r="KIM69"/>
      <c r="KIN69"/>
      <c r="KIO69"/>
      <c r="KIP69"/>
      <c r="KIQ69"/>
      <c r="KIR69"/>
      <c r="KIS69"/>
      <c r="KIT69"/>
      <c r="KIU69"/>
      <c r="KIV69"/>
      <c r="KIW69"/>
      <c r="KIX69"/>
      <c r="KIY69"/>
      <c r="KIZ69"/>
      <c r="KJA69"/>
      <c r="KJB69"/>
      <c r="KJC69"/>
      <c r="KJD69"/>
      <c r="KJE69"/>
      <c r="KJF69"/>
      <c r="KJG69"/>
      <c r="KJH69"/>
      <c r="KJI69"/>
      <c r="KJJ69"/>
      <c r="KJK69"/>
      <c r="KJL69"/>
      <c r="KJM69"/>
      <c r="KJN69"/>
      <c r="KJO69"/>
      <c r="KJP69"/>
      <c r="KJQ69"/>
      <c r="KJR69"/>
      <c r="KJS69"/>
      <c r="KJT69"/>
      <c r="KJU69"/>
      <c r="KJV69"/>
      <c r="KJW69"/>
      <c r="KJX69"/>
      <c r="KJY69"/>
      <c r="KJZ69"/>
      <c r="KKA69"/>
      <c r="KKB69"/>
      <c r="KKC69"/>
      <c r="KKD69"/>
      <c r="KKE69"/>
      <c r="KKF69"/>
      <c r="KKG69"/>
      <c r="KKH69"/>
      <c r="KKI69"/>
      <c r="KKJ69"/>
      <c r="KKK69"/>
      <c r="KKL69"/>
      <c r="KKM69"/>
      <c r="KKN69"/>
      <c r="KKO69"/>
      <c r="KKP69"/>
      <c r="KKQ69"/>
      <c r="KKR69"/>
      <c r="KKS69"/>
      <c r="KKT69"/>
      <c r="KKU69"/>
      <c r="KKV69"/>
      <c r="KKW69"/>
      <c r="KKX69"/>
      <c r="KKY69"/>
      <c r="KKZ69"/>
      <c r="KLA69"/>
      <c r="KLB69"/>
      <c r="KLC69"/>
      <c r="KLD69"/>
      <c r="KLE69"/>
      <c r="KLF69"/>
      <c r="KLG69"/>
      <c r="KLH69"/>
      <c r="KLI69"/>
      <c r="KLJ69"/>
      <c r="KLK69"/>
      <c r="KLL69"/>
      <c r="KLM69"/>
      <c r="KLN69"/>
      <c r="KLO69"/>
      <c r="KLP69"/>
      <c r="KLQ69"/>
      <c r="KLR69"/>
      <c r="KLS69"/>
      <c r="KLT69"/>
      <c r="KLU69"/>
      <c r="KLV69"/>
      <c r="KLW69"/>
      <c r="KLX69"/>
      <c r="KLY69"/>
      <c r="KLZ69"/>
      <c r="KMA69"/>
      <c r="KMB69"/>
      <c r="KMC69"/>
      <c r="KMD69"/>
      <c r="KME69"/>
      <c r="KMF69"/>
      <c r="KMG69"/>
      <c r="KMH69"/>
      <c r="KMI69"/>
      <c r="KMJ69"/>
      <c r="KMK69"/>
      <c r="KML69"/>
      <c r="KMM69"/>
      <c r="KMN69"/>
      <c r="KMO69"/>
      <c r="KMP69"/>
      <c r="KMQ69"/>
      <c r="KMR69"/>
      <c r="KMS69"/>
      <c r="KMT69"/>
      <c r="KMU69"/>
      <c r="KMV69"/>
      <c r="KMW69"/>
      <c r="KMX69"/>
      <c r="KMY69"/>
      <c r="KMZ69"/>
      <c r="KNA69"/>
      <c r="KNB69"/>
      <c r="KNC69"/>
      <c r="KND69"/>
      <c r="KNE69"/>
      <c r="KNF69"/>
      <c r="KNG69"/>
      <c r="KNH69"/>
      <c r="KNI69"/>
      <c r="KNJ69"/>
      <c r="KNK69"/>
      <c r="KNL69"/>
      <c r="KNM69"/>
      <c r="KNN69"/>
      <c r="KNO69"/>
      <c r="KNP69"/>
      <c r="KNQ69"/>
      <c r="KNR69"/>
      <c r="KNS69"/>
      <c r="KNT69"/>
      <c r="KNU69"/>
      <c r="KNV69"/>
      <c r="KNW69"/>
      <c r="KNX69"/>
      <c r="KNY69"/>
      <c r="KNZ69"/>
      <c r="KOA69"/>
      <c r="KOB69"/>
      <c r="KOC69"/>
      <c r="KOD69"/>
      <c r="KOE69"/>
      <c r="KOF69"/>
      <c r="KOG69"/>
      <c r="KOH69"/>
      <c r="KOI69"/>
      <c r="KOJ69"/>
      <c r="KOK69"/>
      <c r="KOL69"/>
      <c r="KOM69"/>
      <c r="KON69"/>
      <c r="KOO69"/>
      <c r="KOP69"/>
      <c r="KOQ69"/>
      <c r="KOR69"/>
      <c r="KOS69"/>
      <c r="KOT69"/>
      <c r="KOU69"/>
      <c r="KOV69"/>
      <c r="KOW69"/>
      <c r="KOX69"/>
      <c r="KOY69"/>
      <c r="KOZ69"/>
      <c r="KPA69"/>
      <c r="KPB69"/>
      <c r="KPC69"/>
      <c r="KPD69"/>
      <c r="KPE69"/>
      <c r="KPF69"/>
      <c r="KPG69"/>
      <c r="KPH69"/>
      <c r="KPI69"/>
      <c r="KPJ69"/>
      <c r="KPK69"/>
      <c r="KPL69"/>
      <c r="KPM69"/>
      <c r="KPN69"/>
      <c r="KPO69"/>
      <c r="KPP69"/>
      <c r="KPQ69"/>
      <c r="KPR69"/>
      <c r="KPS69"/>
      <c r="KPT69"/>
      <c r="KPU69"/>
      <c r="KPV69"/>
      <c r="KPW69"/>
      <c r="KPX69"/>
      <c r="KPY69"/>
      <c r="KPZ69"/>
      <c r="KQA69"/>
      <c r="KQB69"/>
      <c r="KQC69"/>
      <c r="KQD69"/>
      <c r="KQE69"/>
      <c r="KQF69"/>
      <c r="KQG69"/>
      <c r="KQH69"/>
      <c r="KQI69"/>
      <c r="KQJ69"/>
      <c r="KQK69"/>
      <c r="KQL69"/>
      <c r="KQM69"/>
      <c r="KQN69"/>
      <c r="KQO69"/>
      <c r="KQP69"/>
      <c r="KQQ69"/>
      <c r="KQR69"/>
      <c r="KQS69"/>
      <c r="KQT69"/>
      <c r="KQU69"/>
      <c r="KQV69"/>
      <c r="KQW69"/>
      <c r="KQX69"/>
      <c r="KQY69"/>
      <c r="KQZ69"/>
      <c r="KRA69"/>
      <c r="KRB69"/>
      <c r="KRC69"/>
      <c r="KRD69"/>
      <c r="KRE69"/>
      <c r="KRF69"/>
      <c r="KRG69"/>
      <c r="KRH69"/>
      <c r="KRI69"/>
      <c r="KRJ69"/>
      <c r="KRK69"/>
      <c r="KRL69"/>
      <c r="KRM69"/>
      <c r="KRN69"/>
      <c r="KRO69"/>
      <c r="KRP69"/>
      <c r="KRQ69"/>
      <c r="KRR69"/>
      <c r="KRS69"/>
      <c r="KRT69"/>
      <c r="KRU69"/>
      <c r="KRV69"/>
      <c r="KRW69"/>
      <c r="KRX69"/>
      <c r="KRY69"/>
      <c r="KRZ69"/>
      <c r="KSA69"/>
      <c r="KSB69"/>
      <c r="KSC69"/>
      <c r="KSD69"/>
      <c r="KSE69"/>
      <c r="KSF69"/>
      <c r="KSG69"/>
      <c r="KSH69"/>
      <c r="KSI69"/>
      <c r="KSJ69"/>
      <c r="KSK69"/>
      <c r="KSL69"/>
      <c r="KSM69"/>
      <c r="KSN69"/>
      <c r="KSO69"/>
      <c r="KSP69"/>
      <c r="KSQ69"/>
      <c r="KSR69"/>
      <c r="KSS69"/>
      <c r="KST69"/>
      <c r="KSU69"/>
      <c r="KSV69"/>
      <c r="KSW69"/>
      <c r="KSX69"/>
      <c r="KSY69"/>
      <c r="KSZ69"/>
      <c r="KTA69"/>
      <c r="KTB69"/>
      <c r="KTC69"/>
      <c r="KTD69"/>
      <c r="KTE69"/>
      <c r="KTF69"/>
      <c r="KTG69"/>
      <c r="KTH69"/>
      <c r="KTI69"/>
      <c r="KTJ69"/>
      <c r="KTK69"/>
      <c r="KTL69"/>
      <c r="KTM69"/>
      <c r="KTN69"/>
      <c r="KTO69"/>
      <c r="KTP69"/>
      <c r="KTQ69"/>
      <c r="KTR69"/>
      <c r="KTS69"/>
      <c r="KTT69"/>
      <c r="KTU69"/>
      <c r="KTV69"/>
      <c r="KTW69"/>
      <c r="KTX69"/>
      <c r="KTY69"/>
      <c r="KTZ69"/>
      <c r="KUA69"/>
      <c r="KUB69"/>
      <c r="KUC69"/>
      <c r="KUD69"/>
      <c r="KUE69"/>
      <c r="KUF69"/>
      <c r="KUG69"/>
      <c r="KUH69"/>
      <c r="KUI69"/>
      <c r="KUJ69"/>
      <c r="KUK69"/>
      <c r="KUL69"/>
      <c r="KUM69"/>
      <c r="KUN69"/>
      <c r="KUO69"/>
      <c r="KUP69"/>
      <c r="KUQ69"/>
      <c r="KUR69"/>
      <c r="KUS69"/>
      <c r="KUT69"/>
      <c r="KUU69"/>
      <c r="KUV69"/>
      <c r="KUW69"/>
      <c r="KUX69"/>
      <c r="KUY69"/>
      <c r="KUZ69"/>
      <c r="KVA69"/>
      <c r="KVB69"/>
      <c r="KVC69"/>
      <c r="KVD69"/>
      <c r="KVE69"/>
      <c r="KVF69"/>
      <c r="KVG69"/>
      <c r="KVH69"/>
      <c r="KVI69"/>
      <c r="KVJ69"/>
      <c r="KVK69"/>
      <c r="KVL69"/>
      <c r="KVM69"/>
      <c r="KVN69"/>
      <c r="KVO69"/>
      <c r="KVP69"/>
      <c r="KVQ69"/>
      <c r="KVR69"/>
      <c r="KVS69"/>
      <c r="KVT69"/>
      <c r="KVU69"/>
      <c r="KVV69"/>
      <c r="KVW69"/>
      <c r="KVX69"/>
      <c r="KVY69"/>
      <c r="KVZ69"/>
      <c r="KWA69"/>
      <c r="KWB69"/>
      <c r="KWC69"/>
      <c r="KWD69"/>
      <c r="KWE69"/>
      <c r="KWF69"/>
      <c r="KWG69"/>
      <c r="KWH69"/>
      <c r="KWI69"/>
      <c r="KWJ69"/>
      <c r="KWK69"/>
      <c r="KWL69"/>
      <c r="KWM69"/>
      <c r="KWN69"/>
      <c r="KWO69"/>
      <c r="KWP69"/>
      <c r="KWQ69"/>
      <c r="KWR69"/>
      <c r="KWS69"/>
      <c r="KWT69"/>
      <c r="KWU69"/>
      <c r="KWV69"/>
      <c r="KWW69"/>
      <c r="KWX69"/>
      <c r="KWY69"/>
      <c r="KWZ69"/>
      <c r="KXA69"/>
      <c r="KXB69"/>
      <c r="KXC69"/>
      <c r="KXD69"/>
      <c r="KXE69"/>
      <c r="KXF69"/>
      <c r="KXG69"/>
      <c r="KXH69"/>
      <c r="KXI69"/>
      <c r="KXJ69"/>
      <c r="KXK69"/>
      <c r="KXL69"/>
      <c r="KXM69"/>
      <c r="KXN69"/>
      <c r="KXO69"/>
      <c r="KXP69"/>
      <c r="KXQ69"/>
      <c r="KXR69"/>
      <c r="KXS69"/>
      <c r="KXT69"/>
      <c r="KXU69"/>
      <c r="KXV69"/>
      <c r="KXW69"/>
      <c r="KXX69"/>
      <c r="KXY69"/>
      <c r="KXZ69"/>
      <c r="KYA69"/>
      <c r="KYB69"/>
      <c r="KYC69"/>
      <c r="KYD69"/>
      <c r="KYE69"/>
      <c r="KYF69"/>
      <c r="KYG69"/>
      <c r="KYH69"/>
      <c r="KYI69"/>
      <c r="KYJ69"/>
      <c r="KYK69"/>
      <c r="KYL69"/>
      <c r="KYM69"/>
      <c r="KYN69"/>
      <c r="KYO69"/>
      <c r="KYP69"/>
      <c r="KYQ69"/>
      <c r="KYR69"/>
      <c r="KYS69"/>
      <c r="KYT69"/>
      <c r="KYU69"/>
      <c r="KYV69"/>
      <c r="KYW69"/>
      <c r="KYX69"/>
      <c r="KYY69"/>
      <c r="KYZ69"/>
      <c r="KZA69"/>
      <c r="KZB69"/>
      <c r="KZC69"/>
      <c r="KZD69"/>
      <c r="KZE69"/>
      <c r="KZF69"/>
      <c r="KZG69"/>
      <c r="KZH69"/>
      <c r="KZI69"/>
      <c r="KZJ69"/>
      <c r="KZK69"/>
      <c r="KZL69"/>
      <c r="KZM69"/>
      <c r="KZN69"/>
      <c r="KZO69"/>
      <c r="KZP69"/>
      <c r="KZQ69"/>
      <c r="KZR69"/>
      <c r="KZS69"/>
      <c r="KZT69"/>
      <c r="KZU69"/>
      <c r="KZV69"/>
      <c r="KZW69"/>
      <c r="KZX69"/>
      <c r="KZY69"/>
      <c r="KZZ69"/>
      <c r="LAA69"/>
      <c r="LAB69"/>
      <c r="LAC69"/>
      <c r="LAD69"/>
      <c r="LAE69"/>
      <c r="LAF69"/>
      <c r="LAG69"/>
      <c r="LAH69"/>
      <c r="LAI69"/>
      <c r="LAJ69"/>
      <c r="LAK69"/>
      <c r="LAL69"/>
      <c r="LAM69"/>
      <c r="LAN69"/>
      <c r="LAO69"/>
      <c r="LAP69"/>
      <c r="LAQ69"/>
      <c r="LAR69"/>
      <c r="LAS69"/>
      <c r="LAT69"/>
      <c r="LAU69"/>
      <c r="LAV69"/>
      <c r="LAW69"/>
      <c r="LAX69"/>
      <c r="LAY69"/>
      <c r="LAZ69"/>
      <c r="LBA69"/>
      <c r="LBB69"/>
      <c r="LBC69"/>
      <c r="LBD69"/>
      <c r="LBE69"/>
      <c r="LBF69"/>
      <c r="LBG69"/>
      <c r="LBH69"/>
      <c r="LBI69"/>
      <c r="LBJ69"/>
      <c r="LBK69"/>
      <c r="LBL69"/>
      <c r="LBM69"/>
      <c r="LBN69"/>
      <c r="LBO69"/>
      <c r="LBP69"/>
      <c r="LBQ69"/>
      <c r="LBR69"/>
      <c r="LBS69"/>
      <c r="LBT69"/>
      <c r="LBU69"/>
      <c r="LBV69"/>
      <c r="LBW69"/>
      <c r="LBX69"/>
      <c r="LBY69"/>
      <c r="LBZ69"/>
      <c r="LCA69"/>
      <c r="LCB69"/>
      <c r="LCC69"/>
      <c r="LCD69"/>
      <c r="LCE69"/>
      <c r="LCF69"/>
      <c r="LCG69"/>
      <c r="LCH69"/>
      <c r="LCI69"/>
      <c r="LCJ69"/>
      <c r="LCK69"/>
      <c r="LCL69"/>
      <c r="LCM69"/>
      <c r="LCN69"/>
      <c r="LCO69"/>
      <c r="LCP69"/>
      <c r="LCQ69"/>
      <c r="LCR69"/>
      <c r="LCS69"/>
      <c r="LCT69"/>
      <c r="LCU69"/>
      <c r="LCV69"/>
      <c r="LCW69"/>
      <c r="LCX69"/>
      <c r="LCY69"/>
      <c r="LCZ69"/>
      <c r="LDA69"/>
      <c r="LDB69"/>
      <c r="LDC69"/>
      <c r="LDD69"/>
      <c r="LDE69"/>
      <c r="LDF69"/>
      <c r="LDG69"/>
      <c r="LDH69"/>
      <c r="LDI69"/>
      <c r="LDJ69"/>
      <c r="LDK69"/>
      <c r="LDL69"/>
      <c r="LDM69"/>
      <c r="LDN69"/>
      <c r="LDO69"/>
      <c r="LDP69"/>
      <c r="LDQ69"/>
      <c r="LDR69"/>
      <c r="LDS69"/>
      <c r="LDT69"/>
      <c r="LDU69"/>
      <c r="LDV69"/>
      <c r="LDW69"/>
      <c r="LDX69"/>
      <c r="LDY69"/>
      <c r="LDZ69"/>
      <c r="LEA69"/>
      <c r="LEB69"/>
      <c r="LEC69"/>
      <c r="LED69"/>
      <c r="LEE69"/>
      <c r="LEF69"/>
      <c r="LEG69"/>
      <c r="LEH69"/>
      <c r="LEI69"/>
      <c r="LEJ69"/>
      <c r="LEK69"/>
      <c r="LEL69"/>
      <c r="LEM69"/>
      <c r="LEN69"/>
      <c r="LEO69"/>
      <c r="LEP69"/>
      <c r="LEQ69"/>
      <c r="LER69"/>
      <c r="LES69"/>
      <c r="LET69"/>
      <c r="LEU69"/>
      <c r="LEV69"/>
      <c r="LEW69"/>
      <c r="LEX69"/>
      <c r="LEY69"/>
      <c r="LEZ69"/>
      <c r="LFA69"/>
      <c r="LFB69"/>
      <c r="LFC69"/>
      <c r="LFD69"/>
      <c r="LFE69"/>
      <c r="LFF69"/>
      <c r="LFG69"/>
      <c r="LFH69"/>
      <c r="LFI69"/>
      <c r="LFJ69"/>
      <c r="LFK69"/>
      <c r="LFL69"/>
      <c r="LFM69"/>
      <c r="LFN69"/>
      <c r="LFO69"/>
      <c r="LFP69"/>
      <c r="LFQ69"/>
      <c r="LFR69"/>
      <c r="LFS69"/>
      <c r="LFT69"/>
      <c r="LFU69"/>
      <c r="LFV69"/>
      <c r="LFW69"/>
      <c r="LFX69"/>
      <c r="LFY69"/>
      <c r="LFZ69"/>
      <c r="LGA69"/>
      <c r="LGB69"/>
      <c r="LGC69"/>
      <c r="LGD69"/>
      <c r="LGE69"/>
      <c r="LGF69"/>
      <c r="LGG69"/>
      <c r="LGH69"/>
      <c r="LGI69"/>
      <c r="LGJ69"/>
      <c r="LGK69"/>
      <c r="LGL69"/>
      <c r="LGM69"/>
      <c r="LGN69"/>
      <c r="LGO69"/>
      <c r="LGP69"/>
      <c r="LGQ69"/>
      <c r="LGR69"/>
      <c r="LGS69"/>
      <c r="LGT69"/>
      <c r="LGU69"/>
      <c r="LGV69"/>
      <c r="LGW69"/>
      <c r="LGX69"/>
      <c r="LGY69"/>
      <c r="LGZ69"/>
      <c r="LHA69"/>
      <c r="LHB69"/>
      <c r="LHC69"/>
      <c r="LHD69"/>
      <c r="LHE69"/>
      <c r="LHF69"/>
      <c r="LHG69"/>
      <c r="LHH69"/>
      <c r="LHI69"/>
      <c r="LHJ69"/>
      <c r="LHK69"/>
      <c r="LHL69"/>
      <c r="LHM69"/>
      <c r="LHN69"/>
      <c r="LHO69"/>
      <c r="LHP69"/>
      <c r="LHQ69"/>
      <c r="LHR69"/>
      <c r="LHS69"/>
      <c r="LHT69"/>
      <c r="LHU69"/>
      <c r="LHV69"/>
      <c r="LHW69"/>
      <c r="LHX69"/>
      <c r="LHY69"/>
      <c r="LHZ69"/>
      <c r="LIA69"/>
      <c r="LIB69"/>
      <c r="LIC69"/>
      <c r="LID69"/>
      <c r="LIE69"/>
      <c r="LIF69"/>
      <c r="LIG69"/>
      <c r="LIH69"/>
      <c r="LII69"/>
      <c r="LIJ69"/>
      <c r="LIK69"/>
      <c r="LIL69"/>
      <c r="LIM69"/>
      <c r="LIN69"/>
      <c r="LIO69"/>
      <c r="LIP69"/>
      <c r="LIQ69"/>
      <c r="LIR69"/>
      <c r="LIS69"/>
      <c r="LIT69"/>
      <c r="LIU69"/>
      <c r="LIV69"/>
      <c r="LIW69"/>
      <c r="LIX69"/>
      <c r="LIY69"/>
      <c r="LIZ69"/>
      <c r="LJA69"/>
      <c r="LJB69"/>
      <c r="LJC69"/>
      <c r="LJD69"/>
      <c r="LJE69"/>
      <c r="LJF69"/>
      <c r="LJG69"/>
      <c r="LJH69"/>
      <c r="LJI69"/>
      <c r="LJJ69"/>
      <c r="LJK69"/>
      <c r="LJL69"/>
      <c r="LJM69"/>
      <c r="LJN69"/>
      <c r="LJO69"/>
      <c r="LJP69"/>
      <c r="LJQ69"/>
      <c r="LJR69"/>
      <c r="LJS69"/>
      <c r="LJT69"/>
      <c r="LJU69"/>
      <c r="LJV69"/>
      <c r="LJW69"/>
      <c r="LJX69"/>
      <c r="LJY69"/>
      <c r="LJZ69"/>
      <c r="LKA69"/>
      <c r="LKB69"/>
      <c r="LKC69"/>
      <c r="LKD69"/>
      <c r="LKE69"/>
      <c r="LKF69"/>
      <c r="LKG69"/>
      <c r="LKH69"/>
      <c r="LKI69"/>
      <c r="LKJ69"/>
      <c r="LKK69"/>
      <c r="LKL69"/>
      <c r="LKM69"/>
      <c r="LKN69"/>
      <c r="LKO69"/>
      <c r="LKP69"/>
      <c r="LKQ69"/>
      <c r="LKR69"/>
      <c r="LKS69"/>
      <c r="LKT69"/>
      <c r="LKU69"/>
      <c r="LKV69"/>
      <c r="LKW69"/>
      <c r="LKX69"/>
      <c r="LKY69"/>
      <c r="LKZ69"/>
      <c r="LLA69"/>
      <c r="LLB69"/>
      <c r="LLC69"/>
      <c r="LLD69"/>
      <c r="LLE69"/>
      <c r="LLF69"/>
      <c r="LLG69"/>
      <c r="LLH69"/>
      <c r="LLI69"/>
      <c r="LLJ69"/>
      <c r="LLK69"/>
      <c r="LLL69"/>
      <c r="LLM69"/>
      <c r="LLN69"/>
      <c r="LLO69"/>
      <c r="LLP69"/>
      <c r="LLQ69"/>
      <c r="LLR69"/>
      <c r="LLS69"/>
      <c r="LLT69"/>
      <c r="LLU69"/>
      <c r="LLV69"/>
      <c r="LLW69"/>
      <c r="LLX69"/>
      <c r="LLY69"/>
      <c r="LLZ69"/>
      <c r="LMA69"/>
      <c r="LMB69"/>
      <c r="LMC69"/>
      <c r="LMD69"/>
      <c r="LME69"/>
      <c r="LMF69"/>
      <c r="LMG69"/>
      <c r="LMH69"/>
      <c r="LMI69"/>
      <c r="LMJ69"/>
      <c r="LMK69"/>
      <c r="LML69"/>
      <c r="LMM69"/>
      <c r="LMN69"/>
      <c r="LMO69"/>
      <c r="LMP69"/>
      <c r="LMQ69"/>
      <c r="LMR69"/>
      <c r="LMS69"/>
      <c r="LMT69"/>
      <c r="LMU69"/>
      <c r="LMV69"/>
      <c r="LMW69"/>
      <c r="LMX69"/>
      <c r="LMY69"/>
      <c r="LMZ69"/>
      <c r="LNA69"/>
      <c r="LNB69"/>
      <c r="LNC69"/>
      <c r="LND69"/>
      <c r="LNE69"/>
      <c r="LNF69"/>
      <c r="LNG69"/>
      <c r="LNH69"/>
      <c r="LNI69"/>
      <c r="LNJ69"/>
      <c r="LNK69"/>
      <c r="LNL69"/>
      <c r="LNM69"/>
      <c r="LNN69"/>
      <c r="LNO69"/>
      <c r="LNP69"/>
      <c r="LNQ69"/>
      <c r="LNR69"/>
      <c r="LNS69"/>
      <c r="LNT69"/>
      <c r="LNU69"/>
      <c r="LNV69"/>
      <c r="LNW69"/>
      <c r="LNX69"/>
      <c r="LNY69"/>
      <c r="LNZ69"/>
      <c r="LOA69"/>
      <c r="LOB69"/>
      <c r="LOC69"/>
      <c r="LOD69"/>
      <c r="LOE69"/>
      <c r="LOF69"/>
      <c r="LOG69"/>
      <c r="LOH69"/>
      <c r="LOI69"/>
      <c r="LOJ69"/>
      <c r="LOK69"/>
      <c r="LOL69"/>
      <c r="LOM69"/>
      <c r="LON69"/>
      <c r="LOO69"/>
      <c r="LOP69"/>
      <c r="LOQ69"/>
      <c r="LOR69"/>
      <c r="LOS69"/>
      <c r="LOT69"/>
      <c r="LOU69"/>
      <c r="LOV69"/>
      <c r="LOW69"/>
      <c r="LOX69"/>
      <c r="LOY69"/>
      <c r="LOZ69"/>
      <c r="LPA69"/>
      <c r="LPB69"/>
      <c r="LPC69"/>
      <c r="LPD69"/>
      <c r="LPE69"/>
      <c r="LPF69"/>
      <c r="LPG69"/>
      <c r="LPH69"/>
      <c r="LPI69"/>
      <c r="LPJ69"/>
      <c r="LPK69"/>
      <c r="LPL69"/>
      <c r="LPM69"/>
      <c r="LPN69"/>
      <c r="LPO69"/>
      <c r="LPP69"/>
      <c r="LPQ69"/>
      <c r="LPR69"/>
      <c r="LPS69"/>
      <c r="LPT69"/>
      <c r="LPU69"/>
      <c r="LPV69"/>
      <c r="LPW69"/>
      <c r="LPX69"/>
      <c r="LPY69"/>
      <c r="LPZ69"/>
      <c r="LQA69"/>
      <c r="LQB69"/>
      <c r="LQC69"/>
      <c r="LQD69"/>
      <c r="LQE69"/>
      <c r="LQF69"/>
      <c r="LQG69"/>
      <c r="LQH69"/>
      <c r="LQI69"/>
      <c r="LQJ69"/>
      <c r="LQK69"/>
      <c r="LQL69"/>
      <c r="LQM69"/>
      <c r="LQN69"/>
      <c r="LQO69"/>
      <c r="LQP69"/>
      <c r="LQQ69"/>
      <c r="LQR69"/>
      <c r="LQS69"/>
      <c r="LQT69"/>
      <c r="LQU69"/>
      <c r="LQV69"/>
      <c r="LQW69"/>
      <c r="LQX69"/>
      <c r="LQY69"/>
      <c r="LQZ69"/>
      <c r="LRA69"/>
      <c r="LRB69"/>
      <c r="LRC69"/>
      <c r="LRD69"/>
      <c r="LRE69"/>
      <c r="LRF69"/>
      <c r="LRG69"/>
      <c r="LRH69"/>
      <c r="LRI69"/>
      <c r="LRJ69"/>
      <c r="LRK69"/>
      <c r="LRL69"/>
      <c r="LRM69"/>
      <c r="LRN69"/>
      <c r="LRO69"/>
      <c r="LRP69"/>
      <c r="LRQ69"/>
      <c r="LRR69"/>
      <c r="LRS69"/>
      <c r="LRT69"/>
      <c r="LRU69"/>
      <c r="LRV69"/>
      <c r="LRW69"/>
      <c r="LRX69"/>
      <c r="LRY69"/>
      <c r="LRZ69"/>
      <c r="LSA69"/>
      <c r="LSB69"/>
      <c r="LSC69"/>
      <c r="LSD69"/>
      <c r="LSE69"/>
      <c r="LSF69"/>
      <c r="LSG69"/>
      <c r="LSH69"/>
      <c r="LSI69"/>
      <c r="LSJ69"/>
      <c r="LSK69"/>
      <c r="LSL69"/>
      <c r="LSM69"/>
      <c r="LSN69"/>
      <c r="LSO69"/>
      <c r="LSP69"/>
      <c r="LSQ69"/>
      <c r="LSR69"/>
      <c r="LSS69"/>
      <c r="LST69"/>
      <c r="LSU69"/>
      <c r="LSV69"/>
      <c r="LSW69"/>
      <c r="LSX69"/>
      <c r="LSY69"/>
      <c r="LSZ69"/>
      <c r="LTA69"/>
      <c r="LTB69"/>
      <c r="LTC69"/>
      <c r="LTD69"/>
      <c r="LTE69"/>
      <c r="LTF69"/>
      <c r="LTG69"/>
      <c r="LTH69"/>
      <c r="LTI69"/>
      <c r="LTJ69"/>
      <c r="LTK69"/>
      <c r="LTL69"/>
      <c r="LTM69"/>
      <c r="LTN69"/>
      <c r="LTO69"/>
      <c r="LTP69"/>
      <c r="LTQ69"/>
      <c r="LTR69"/>
      <c r="LTS69"/>
      <c r="LTT69"/>
      <c r="LTU69"/>
      <c r="LTV69"/>
      <c r="LTW69"/>
      <c r="LTX69"/>
      <c r="LTY69"/>
      <c r="LTZ69"/>
      <c r="LUA69"/>
      <c r="LUB69"/>
      <c r="LUC69"/>
      <c r="LUD69"/>
      <c r="LUE69"/>
      <c r="LUF69"/>
      <c r="LUG69"/>
      <c r="LUH69"/>
      <c r="LUI69"/>
      <c r="LUJ69"/>
      <c r="LUK69"/>
      <c r="LUL69"/>
      <c r="LUM69"/>
      <c r="LUN69"/>
      <c r="LUO69"/>
      <c r="LUP69"/>
      <c r="LUQ69"/>
      <c r="LUR69"/>
      <c r="LUS69"/>
      <c r="LUT69"/>
      <c r="LUU69"/>
      <c r="LUV69"/>
      <c r="LUW69"/>
      <c r="LUX69"/>
      <c r="LUY69"/>
      <c r="LUZ69"/>
      <c r="LVA69"/>
      <c r="LVB69"/>
      <c r="LVC69"/>
      <c r="LVD69"/>
      <c r="LVE69"/>
      <c r="LVF69"/>
      <c r="LVG69"/>
      <c r="LVH69"/>
      <c r="LVI69"/>
      <c r="LVJ69"/>
      <c r="LVK69"/>
      <c r="LVL69"/>
      <c r="LVM69"/>
      <c r="LVN69"/>
      <c r="LVO69"/>
      <c r="LVP69"/>
      <c r="LVQ69"/>
      <c r="LVR69"/>
      <c r="LVS69"/>
      <c r="LVT69"/>
      <c r="LVU69"/>
      <c r="LVV69"/>
      <c r="LVW69"/>
      <c r="LVX69"/>
      <c r="LVY69"/>
      <c r="LVZ69"/>
      <c r="LWA69"/>
      <c r="LWB69"/>
      <c r="LWC69"/>
      <c r="LWD69"/>
      <c r="LWE69"/>
      <c r="LWF69"/>
      <c r="LWG69"/>
      <c r="LWH69"/>
      <c r="LWI69"/>
      <c r="LWJ69"/>
      <c r="LWK69"/>
      <c r="LWL69"/>
      <c r="LWM69"/>
      <c r="LWN69"/>
      <c r="LWO69"/>
      <c r="LWP69"/>
      <c r="LWQ69"/>
      <c r="LWR69"/>
      <c r="LWS69"/>
      <c r="LWT69"/>
      <c r="LWU69"/>
      <c r="LWV69"/>
      <c r="LWW69"/>
      <c r="LWX69"/>
      <c r="LWY69"/>
      <c r="LWZ69"/>
      <c r="LXA69"/>
      <c r="LXB69"/>
      <c r="LXC69"/>
      <c r="LXD69"/>
      <c r="LXE69"/>
      <c r="LXF69"/>
      <c r="LXG69"/>
      <c r="LXH69"/>
      <c r="LXI69"/>
      <c r="LXJ69"/>
      <c r="LXK69"/>
      <c r="LXL69"/>
      <c r="LXM69"/>
      <c r="LXN69"/>
      <c r="LXO69"/>
      <c r="LXP69"/>
      <c r="LXQ69"/>
      <c r="LXR69"/>
      <c r="LXS69"/>
      <c r="LXT69"/>
      <c r="LXU69"/>
      <c r="LXV69"/>
      <c r="LXW69"/>
      <c r="LXX69"/>
      <c r="LXY69"/>
      <c r="LXZ69"/>
      <c r="LYA69"/>
      <c r="LYB69"/>
      <c r="LYC69"/>
      <c r="LYD69"/>
      <c r="LYE69"/>
      <c r="LYF69"/>
      <c r="LYG69"/>
      <c r="LYH69"/>
      <c r="LYI69"/>
      <c r="LYJ69"/>
      <c r="LYK69"/>
      <c r="LYL69"/>
      <c r="LYM69"/>
      <c r="LYN69"/>
      <c r="LYO69"/>
      <c r="LYP69"/>
      <c r="LYQ69"/>
      <c r="LYR69"/>
      <c r="LYS69"/>
      <c r="LYT69"/>
      <c r="LYU69"/>
      <c r="LYV69"/>
      <c r="LYW69"/>
      <c r="LYX69"/>
      <c r="LYY69"/>
      <c r="LYZ69"/>
      <c r="LZA69"/>
      <c r="LZB69"/>
      <c r="LZC69"/>
      <c r="LZD69"/>
      <c r="LZE69"/>
      <c r="LZF69"/>
      <c r="LZG69"/>
      <c r="LZH69"/>
      <c r="LZI69"/>
      <c r="LZJ69"/>
      <c r="LZK69"/>
      <c r="LZL69"/>
      <c r="LZM69"/>
      <c r="LZN69"/>
      <c r="LZO69"/>
      <c r="LZP69"/>
      <c r="LZQ69"/>
      <c r="LZR69"/>
      <c r="LZS69"/>
      <c r="LZT69"/>
      <c r="LZU69"/>
      <c r="LZV69"/>
      <c r="LZW69"/>
      <c r="LZX69"/>
      <c r="LZY69"/>
      <c r="LZZ69"/>
      <c r="MAA69"/>
      <c r="MAB69"/>
      <c r="MAC69"/>
      <c r="MAD69"/>
      <c r="MAE69"/>
      <c r="MAF69"/>
      <c r="MAG69"/>
      <c r="MAH69"/>
      <c r="MAI69"/>
      <c r="MAJ69"/>
      <c r="MAK69"/>
      <c r="MAL69"/>
      <c r="MAM69"/>
      <c r="MAN69"/>
      <c r="MAO69"/>
      <c r="MAP69"/>
      <c r="MAQ69"/>
      <c r="MAR69"/>
      <c r="MAS69"/>
      <c r="MAT69"/>
      <c r="MAU69"/>
      <c r="MAV69"/>
      <c r="MAW69"/>
      <c r="MAX69"/>
      <c r="MAY69"/>
      <c r="MAZ69"/>
      <c r="MBA69"/>
      <c r="MBB69"/>
      <c r="MBC69"/>
      <c r="MBD69"/>
      <c r="MBE69"/>
      <c r="MBF69"/>
      <c r="MBG69"/>
      <c r="MBH69"/>
      <c r="MBI69"/>
      <c r="MBJ69"/>
      <c r="MBK69"/>
      <c r="MBL69"/>
      <c r="MBM69"/>
      <c r="MBN69"/>
      <c r="MBO69"/>
      <c r="MBP69"/>
      <c r="MBQ69"/>
      <c r="MBR69"/>
      <c r="MBS69"/>
      <c r="MBT69"/>
      <c r="MBU69"/>
      <c r="MBV69"/>
      <c r="MBW69"/>
      <c r="MBX69"/>
      <c r="MBY69"/>
      <c r="MBZ69"/>
      <c r="MCA69"/>
      <c r="MCB69"/>
      <c r="MCC69"/>
      <c r="MCD69"/>
      <c r="MCE69"/>
      <c r="MCF69"/>
      <c r="MCG69"/>
      <c r="MCH69"/>
      <c r="MCI69"/>
      <c r="MCJ69"/>
      <c r="MCK69"/>
      <c r="MCL69"/>
      <c r="MCM69"/>
      <c r="MCN69"/>
      <c r="MCO69"/>
      <c r="MCP69"/>
      <c r="MCQ69"/>
      <c r="MCR69"/>
      <c r="MCS69"/>
      <c r="MCT69"/>
      <c r="MCU69"/>
      <c r="MCV69"/>
      <c r="MCW69"/>
      <c r="MCX69"/>
      <c r="MCY69"/>
      <c r="MCZ69"/>
      <c r="MDA69"/>
      <c r="MDB69"/>
      <c r="MDC69"/>
      <c r="MDD69"/>
      <c r="MDE69"/>
      <c r="MDF69"/>
      <c r="MDG69"/>
      <c r="MDH69"/>
      <c r="MDI69"/>
      <c r="MDJ69"/>
      <c r="MDK69"/>
      <c r="MDL69"/>
      <c r="MDM69"/>
      <c r="MDN69"/>
      <c r="MDO69"/>
      <c r="MDP69"/>
      <c r="MDQ69"/>
      <c r="MDR69"/>
      <c r="MDS69"/>
      <c r="MDT69"/>
      <c r="MDU69"/>
      <c r="MDV69"/>
      <c r="MDW69"/>
      <c r="MDX69"/>
      <c r="MDY69"/>
      <c r="MDZ69"/>
      <c r="MEA69"/>
      <c r="MEB69"/>
      <c r="MEC69"/>
      <c r="MED69"/>
      <c r="MEE69"/>
      <c r="MEF69"/>
      <c r="MEG69"/>
      <c r="MEH69"/>
      <c r="MEI69"/>
      <c r="MEJ69"/>
      <c r="MEK69"/>
      <c r="MEL69"/>
      <c r="MEM69"/>
      <c r="MEN69"/>
      <c r="MEO69"/>
      <c r="MEP69"/>
      <c r="MEQ69"/>
      <c r="MER69"/>
      <c r="MES69"/>
      <c r="MET69"/>
      <c r="MEU69"/>
      <c r="MEV69"/>
      <c r="MEW69"/>
      <c r="MEX69"/>
      <c r="MEY69"/>
      <c r="MEZ69"/>
      <c r="MFA69"/>
      <c r="MFB69"/>
      <c r="MFC69"/>
      <c r="MFD69"/>
      <c r="MFE69"/>
      <c r="MFF69"/>
      <c r="MFG69"/>
      <c r="MFH69"/>
      <c r="MFI69"/>
      <c r="MFJ69"/>
      <c r="MFK69"/>
      <c r="MFL69"/>
      <c r="MFM69"/>
      <c r="MFN69"/>
      <c r="MFO69"/>
      <c r="MFP69"/>
      <c r="MFQ69"/>
      <c r="MFR69"/>
      <c r="MFS69"/>
      <c r="MFT69"/>
      <c r="MFU69"/>
      <c r="MFV69"/>
      <c r="MFW69"/>
      <c r="MFX69"/>
      <c r="MFY69"/>
      <c r="MFZ69"/>
      <c r="MGA69"/>
      <c r="MGB69"/>
      <c r="MGC69"/>
      <c r="MGD69"/>
      <c r="MGE69"/>
      <c r="MGF69"/>
      <c r="MGG69"/>
      <c r="MGH69"/>
      <c r="MGI69"/>
      <c r="MGJ69"/>
      <c r="MGK69"/>
      <c r="MGL69"/>
      <c r="MGM69"/>
      <c r="MGN69"/>
      <c r="MGO69"/>
      <c r="MGP69"/>
      <c r="MGQ69"/>
      <c r="MGR69"/>
      <c r="MGS69"/>
      <c r="MGT69"/>
      <c r="MGU69"/>
      <c r="MGV69"/>
      <c r="MGW69"/>
      <c r="MGX69"/>
      <c r="MGY69"/>
      <c r="MGZ69"/>
      <c r="MHA69"/>
      <c r="MHB69"/>
      <c r="MHC69"/>
      <c r="MHD69"/>
      <c r="MHE69"/>
      <c r="MHF69"/>
      <c r="MHG69"/>
      <c r="MHH69"/>
      <c r="MHI69"/>
      <c r="MHJ69"/>
      <c r="MHK69"/>
      <c r="MHL69"/>
      <c r="MHM69"/>
      <c r="MHN69"/>
      <c r="MHO69"/>
      <c r="MHP69"/>
      <c r="MHQ69"/>
      <c r="MHR69"/>
      <c r="MHS69"/>
      <c r="MHT69"/>
      <c r="MHU69"/>
      <c r="MHV69"/>
      <c r="MHW69"/>
      <c r="MHX69"/>
      <c r="MHY69"/>
      <c r="MHZ69"/>
      <c r="MIA69"/>
      <c r="MIB69"/>
      <c r="MIC69"/>
      <c r="MID69"/>
      <c r="MIE69"/>
      <c r="MIF69"/>
      <c r="MIG69"/>
      <c r="MIH69"/>
      <c r="MII69"/>
      <c r="MIJ69"/>
      <c r="MIK69"/>
      <c r="MIL69"/>
      <c r="MIM69"/>
      <c r="MIN69"/>
      <c r="MIO69"/>
      <c r="MIP69"/>
      <c r="MIQ69"/>
      <c r="MIR69"/>
      <c r="MIS69"/>
      <c r="MIT69"/>
      <c r="MIU69"/>
      <c r="MIV69"/>
      <c r="MIW69"/>
      <c r="MIX69"/>
      <c r="MIY69"/>
      <c r="MIZ69"/>
      <c r="MJA69"/>
      <c r="MJB69"/>
      <c r="MJC69"/>
      <c r="MJD69"/>
      <c r="MJE69"/>
      <c r="MJF69"/>
      <c r="MJG69"/>
      <c r="MJH69"/>
      <c r="MJI69"/>
      <c r="MJJ69"/>
      <c r="MJK69"/>
      <c r="MJL69"/>
      <c r="MJM69"/>
      <c r="MJN69"/>
      <c r="MJO69"/>
      <c r="MJP69"/>
      <c r="MJQ69"/>
      <c r="MJR69"/>
      <c r="MJS69"/>
      <c r="MJT69"/>
      <c r="MJU69"/>
      <c r="MJV69"/>
      <c r="MJW69"/>
      <c r="MJX69"/>
      <c r="MJY69"/>
      <c r="MJZ69"/>
      <c r="MKA69"/>
      <c r="MKB69"/>
      <c r="MKC69"/>
      <c r="MKD69"/>
      <c r="MKE69"/>
      <c r="MKF69"/>
      <c r="MKG69"/>
      <c r="MKH69"/>
      <c r="MKI69"/>
      <c r="MKJ69"/>
      <c r="MKK69"/>
      <c r="MKL69"/>
      <c r="MKM69"/>
      <c r="MKN69"/>
      <c r="MKO69"/>
      <c r="MKP69"/>
      <c r="MKQ69"/>
      <c r="MKR69"/>
      <c r="MKS69"/>
      <c r="MKT69"/>
      <c r="MKU69"/>
      <c r="MKV69"/>
      <c r="MKW69"/>
      <c r="MKX69"/>
      <c r="MKY69"/>
      <c r="MKZ69"/>
      <c r="MLA69"/>
      <c r="MLB69"/>
      <c r="MLC69"/>
      <c r="MLD69"/>
      <c r="MLE69"/>
      <c r="MLF69"/>
      <c r="MLG69"/>
      <c r="MLH69"/>
      <c r="MLI69"/>
      <c r="MLJ69"/>
      <c r="MLK69"/>
      <c r="MLL69"/>
      <c r="MLM69"/>
      <c r="MLN69"/>
      <c r="MLO69"/>
      <c r="MLP69"/>
      <c r="MLQ69"/>
      <c r="MLR69"/>
      <c r="MLS69"/>
      <c r="MLT69"/>
      <c r="MLU69"/>
      <c r="MLV69"/>
      <c r="MLW69"/>
      <c r="MLX69"/>
      <c r="MLY69"/>
      <c r="MLZ69"/>
      <c r="MMA69"/>
      <c r="MMB69"/>
      <c r="MMC69"/>
      <c r="MMD69"/>
      <c r="MME69"/>
      <c r="MMF69"/>
      <c r="MMG69"/>
      <c r="MMH69"/>
      <c r="MMI69"/>
      <c r="MMJ69"/>
      <c r="MMK69"/>
      <c r="MML69"/>
      <c r="MMM69"/>
      <c r="MMN69"/>
      <c r="MMO69"/>
      <c r="MMP69"/>
      <c r="MMQ69"/>
      <c r="MMR69"/>
      <c r="MMS69"/>
      <c r="MMT69"/>
      <c r="MMU69"/>
      <c r="MMV69"/>
      <c r="MMW69"/>
      <c r="MMX69"/>
      <c r="MMY69"/>
      <c r="MMZ69"/>
      <c r="MNA69"/>
      <c r="MNB69"/>
      <c r="MNC69"/>
      <c r="MND69"/>
      <c r="MNE69"/>
      <c r="MNF69"/>
      <c r="MNG69"/>
      <c r="MNH69"/>
      <c r="MNI69"/>
      <c r="MNJ69"/>
      <c r="MNK69"/>
      <c r="MNL69"/>
      <c r="MNM69"/>
      <c r="MNN69"/>
      <c r="MNO69"/>
      <c r="MNP69"/>
      <c r="MNQ69"/>
      <c r="MNR69"/>
      <c r="MNS69"/>
      <c r="MNT69"/>
      <c r="MNU69"/>
      <c r="MNV69"/>
      <c r="MNW69"/>
      <c r="MNX69"/>
      <c r="MNY69"/>
      <c r="MNZ69"/>
      <c r="MOA69"/>
      <c r="MOB69"/>
      <c r="MOC69"/>
      <c r="MOD69"/>
      <c r="MOE69"/>
      <c r="MOF69"/>
      <c r="MOG69"/>
      <c r="MOH69"/>
      <c r="MOI69"/>
      <c r="MOJ69"/>
      <c r="MOK69"/>
      <c r="MOL69"/>
      <c r="MOM69"/>
      <c r="MON69"/>
      <c r="MOO69"/>
      <c r="MOP69"/>
      <c r="MOQ69"/>
      <c r="MOR69"/>
      <c r="MOS69"/>
      <c r="MOT69"/>
      <c r="MOU69"/>
      <c r="MOV69"/>
      <c r="MOW69"/>
      <c r="MOX69"/>
      <c r="MOY69"/>
      <c r="MOZ69"/>
      <c r="MPA69"/>
      <c r="MPB69"/>
      <c r="MPC69"/>
      <c r="MPD69"/>
      <c r="MPE69"/>
      <c r="MPF69"/>
      <c r="MPG69"/>
      <c r="MPH69"/>
      <c r="MPI69"/>
      <c r="MPJ69"/>
      <c r="MPK69"/>
      <c r="MPL69"/>
      <c r="MPM69"/>
      <c r="MPN69"/>
      <c r="MPO69"/>
      <c r="MPP69"/>
      <c r="MPQ69"/>
      <c r="MPR69"/>
      <c r="MPS69"/>
      <c r="MPT69"/>
      <c r="MPU69"/>
      <c r="MPV69"/>
      <c r="MPW69"/>
      <c r="MPX69"/>
      <c r="MPY69"/>
      <c r="MPZ69"/>
      <c r="MQA69"/>
      <c r="MQB69"/>
      <c r="MQC69"/>
      <c r="MQD69"/>
      <c r="MQE69"/>
      <c r="MQF69"/>
      <c r="MQG69"/>
      <c r="MQH69"/>
      <c r="MQI69"/>
      <c r="MQJ69"/>
      <c r="MQK69"/>
      <c r="MQL69"/>
      <c r="MQM69"/>
      <c r="MQN69"/>
      <c r="MQO69"/>
      <c r="MQP69"/>
      <c r="MQQ69"/>
      <c r="MQR69"/>
      <c r="MQS69"/>
      <c r="MQT69"/>
      <c r="MQU69"/>
      <c r="MQV69"/>
      <c r="MQW69"/>
      <c r="MQX69"/>
      <c r="MQY69"/>
      <c r="MQZ69"/>
      <c r="MRA69"/>
      <c r="MRB69"/>
      <c r="MRC69"/>
      <c r="MRD69"/>
      <c r="MRE69"/>
      <c r="MRF69"/>
      <c r="MRG69"/>
      <c r="MRH69"/>
      <c r="MRI69"/>
      <c r="MRJ69"/>
      <c r="MRK69"/>
      <c r="MRL69"/>
      <c r="MRM69"/>
      <c r="MRN69"/>
      <c r="MRO69"/>
      <c r="MRP69"/>
      <c r="MRQ69"/>
      <c r="MRR69"/>
      <c r="MRS69"/>
      <c r="MRT69"/>
      <c r="MRU69"/>
      <c r="MRV69"/>
      <c r="MRW69"/>
      <c r="MRX69"/>
      <c r="MRY69"/>
      <c r="MRZ69"/>
      <c r="MSA69"/>
      <c r="MSB69"/>
      <c r="MSC69"/>
      <c r="MSD69"/>
      <c r="MSE69"/>
      <c r="MSF69"/>
      <c r="MSG69"/>
      <c r="MSH69"/>
      <c r="MSI69"/>
      <c r="MSJ69"/>
      <c r="MSK69"/>
      <c r="MSL69"/>
      <c r="MSM69"/>
      <c r="MSN69"/>
      <c r="MSO69"/>
      <c r="MSP69"/>
      <c r="MSQ69"/>
      <c r="MSR69"/>
      <c r="MSS69"/>
      <c r="MST69"/>
      <c r="MSU69"/>
      <c r="MSV69"/>
      <c r="MSW69"/>
      <c r="MSX69"/>
      <c r="MSY69"/>
      <c r="MSZ69"/>
      <c r="MTA69"/>
      <c r="MTB69"/>
      <c r="MTC69"/>
      <c r="MTD69"/>
      <c r="MTE69"/>
      <c r="MTF69"/>
      <c r="MTG69"/>
      <c r="MTH69"/>
      <c r="MTI69"/>
      <c r="MTJ69"/>
      <c r="MTK69"/>
      <c r="MTL69"/>
      <c r="MTM69"/>
      <c r="MTN69"/>
      <c r="MTO69"/>
      <c r="MTP69"/>
      <c r="MTQ69"/>
      <c r="MTR69"/>
      <c r="MTS69"/>
      <c r="MTT69"/>
      <c r="MTU69"/>
      <c r="MTV69"/>
      <c r="MTW69"/>
      <c r="MTX69"/>
      <c r="MTY69"/>
      <c r="MTZ69"/>
      <c r="MUA69"/>
      <c r="MUB69"/>
      <c r="MUC69"/>
      <c r="MUD69"/>
      <c r="MUE69"/>
      <c r="MUF69"/>
      <c r="MUG69"/>
      <c r="MUH69"/>
      <c r="MUI69"/>
      <c r="MUJ69"/>
      <c r="MUK69"/>
      <c r="MUL69"/>
      <c r="MUM69"/>
      <c r="MUN69"/>
      <c r="MUO69"/>
      <c r="MUP69"/>
      <c r="MUQ69"/>
      <c r="MUR69"/>
      <c r="MUS69"/>
      <c r="MUT69"/>
      <c r="MUU69"/>
      <c r="MUV69"/>
      <c r="MUW69"/>
      <c r="MUX69"/>
      <c r="MUY69"/>
      <c r="MUZ69"/>
      <c r="MVA69"/>
      <c r="MVB69"/>
      <c r="MVC69"/>
      <c r="MVD69"/>
      <c r="MVE69"/>
      <c r="MVF69"/>
      <c r="MVG69"/>
      <c r="MVH69"/>
      <c r="MVI69"/>
      <c r="MVJ69"/>
      <c r="MVK69"/>
      <c r="MVL69"/>
      <c r="MVM69"/>
      <c r="MVN69"/>
      <c r="MVO69"/>
      <c r="MVP69"/>
      <c r="MVQ69"/>
      <c r="MVR69"/>
      <c r="MVS69"/>
      <c r="MVT69"/>
      <c r="MVU69"/>
      <c r="MVV69"/>
      <c r="MVW69"/>
      <c r="MVX69"/>
      <c r="MVY69"/>
      <c r="MVZ69"/>
      <c r="MWA69"/>
      <c r="MWB69"/>
      <c r="MWC69"/>
      <c r="MWD69"/>
      <c r="MWE69"/>
      <c r="MWF69"/>
      <c r="MWG69"/>
      <c r="MWH69"/>
      <c r="MWI69"/>
      <c r="MWJ69"/>
      <c r="MWK69"/>
      <c r="MWL69"/>
      <c r="MWM69"/>
      <c r="MWN69"/>
      <c r="MWO69"/>
      <c r="MWP69"/>
      <c r="MWQ69"/>
      <c r="MWR69"/>
      <c r="MWS69"/>
      <c r="MWT69"/>
      <c r="MWU69"/>
      <c r="MWV69"/>
      <c r="MWW69"/>
      <c r="MWX69"/>
      <c r="MWY69"/>
      <c r="MWZ69"/>
      <c r="MXA69"/>
      <c r="MXB69"/>
      <c r="MXC69"/>
      <c r="MXD69"/>
      <c r="MXE69"/>
      <c r="MXF69"/>
      <c r="MXG69"/>
      <c r="MXH69"/>
      <c r="MXI69"/>
      <c r="MXJ69"/>
      <c r="MXK69"/>
      <c r="MXL69"/>
      <c r="MXM69"/>
      <c r="MXN69"/>
      <c r="MXO69"/>
      <c r="MXP69"/>
      <c r="MXQ69"/>
      <c r="MXR69"/>
      <c r="MXS69"/>
      <c r="MXT69"/>
      <c r="MXU69"/>
      <c r="MXV69"/>
      <c r="MXW69"/>
      <c r="MXX69"/>
      <c r="MXY69"/>
      <c r="MXZ69"/>
      <c r="MYA69"/>
      <c r="MYB69"/>
      <c r="MYC69"/>
      <c r="MYD69"/>
      <c r="MYE69"/>
      <c r="MYF69"/>
      <c r="MYG69"/>
      <c r="MYH69"/>
      <c r="MYI69"/>
      <c r="MYJ69"/>
      <c r="MYK69"/>
      <c r="MYL69"/>
      <c r="MYM69"/>
      <c r="MYN69"/>
      <c r="MYO69"/>
      <c r="MYP69"/>
      <c r="MYQ69"/>
      <c r="MYR69"/>
      <c r="MYS69"/>
      <c r="MYT69"/>
      <c r="MYU69"/>
      <c r="MYV69"/>
      <c r="MYW69"/>
      <c r="MYX69"/>
      <c r="MYY69"/>
      <c r="MYZ69"/>
      <c r="MZA69"/>
      <c r="MZB69"/>
      <c r="MZC69"/>
      <c r="MZD69"/>
      <c r="MZE69"/>
      <c r="MZF69"/>
      <c r="MZG69"/>
      <c r="MZH69"/>
      <c r="MZI69"/>
      <c r="MZJ69"/>
      <c r="MZK69"/>
      <c r="MZL69"/>
      <c r="MZM69"/>
      <c r="MZN69"/>
      <c r="MZO69"/>
      <c r="MZP69"/>
      <c r="MZQ69"/>
      <c r="MZR69"/>
      <c r="MZS69"/>
      <c r="MZT69"/>
      <c r="MZU69"/>
      <c r="MZV69"/>
      <c r="MZW69"/>
      <c r="MZX69"/>
      <c r="MZY69"/>
      <c r="MZZ69"/>
      <c r="NAA69"/>
      <c r="NAB69"/>
      <c r="NAC69"/>
      <c r="NAD69"/>
      <c r="NAE69"/>
      <c r="NAF69"/>
      <c r="NAG69"/>
      <c r="NAH69"/>
      <c r="NAI69"/>
      <c r="NAJ69"/>
      <c r="NAK69"/>
      <c r="NAL69"/>
      <c r="NAM69"/>
      <c r="NAN69"/>
      <c r="NAO69"/>
      <c r="NAP69"/>
      <c r="NAQ69"/>
      <c r="NAR69"/>
      <c r="NAS69"/>
      <c r="NAT69"/>
      <c r="NAU69"/>
      <c r="NAV69"/>
      <c r="NAW69"/>
      <c r="NAX69"/>
      <c r="NAY69"/>
      <c r="NAZ69"/>
      <c r="NBA69"/>
      <c r="NBB69"/>
      <c r="NBC69"/>
      <c r="NBD69"/>
      <c r="NBE69"/>
      <c r="NBF69"/>
      <c r="NBG69"/>
      <c r="NBH69"/>
      <c r="NBI69"/>
      <c r="NBJ69"/>
      <c r="NBK69"/>
      <c r="NBL69"/>
      <c r="NBM69"/>
      <c r="NBN69"/>
      <c r="NBO69"/>
      <c r="NBP69"/>
      <c r="NBQ69"/>
      <c r="NBR69"/>
      <c r="NBS69"/>
      <c r="NBT69"/>
      <c r="NBU69"/>
      <c r="NBV69"/>
      <c r="NBW69"/>
      <c r="NBX69"/>
      <c r="NBY69"/>
      <c r="NBZ69"/>
      <c r="NCA69"/>
      <c r="NCB69"/>
      <c r="NCC69"/>
      <c r="NCD69"/>
      <c r="NCE69"/>
      <c r="NCF69"/>
      <c r="NCG69"/>
      <c r="NCH69"/>
      <c r="NCI69"/>
      <c r="NCJ69"/>
      <c r="NCK69"/>
      <c r="NCL69"/>
      <c r="NCM69"/>
      <c r="NCN69"/>
      <c r="NCO69"/>
      <c r="NCP69"/>
      <c r="NCQ69"/>
      <c r="NCR69"/>
      <c r="NCS69"/>
      <c r="NCT69"/>
      <c r="NCU69"/>
      <c r="NCV69"/>
      <c r="NCW69"/>
      <c r="NCX69"/>
      <c r="NCY69"/>
      <c r="NCZ69"/>
      <c r="NDA69"/>
      <c r="NDB69"/>
      <c r="NDC69"/>
      <c r="NDD69"/>
      <c r="NDE69"/>
      <c r="NDF69"/>
      <c r="NDG69"/>
      <c r="NDH69"/>
      <c r="NDI69"/>
      <c r="NDJ69"/>
      <c r="NDK69"/>
      <c r="NDL69"/>
      <c r="NDM69"/>
      <c r="NDN69"/>
      <c r="NDO69"/>
      <c r="NDP69"/>
      <c r="NDQ69"/>
      <c r="NDR69"/>
      <c r="NDS69"/>
      <c r="NDT69"/>
      <c r="NDU69"/>
      <c r="NDV69"/>
      <c r="NDW69"/>
      <c r="NDX69"/>
      <c r="NDY69"/>
      <c r="NDZ69"/>
      <c r="NEA69"/>
      <c r="NEB69"/>
      <c r="NEC69"/>
      <c r="NED69"/>
      <c r="NEE69"/>
      <c r="NEF69"/>
      <c r="NEG69"/>
      <c r="NEH69"/>
      <c r="NEI69"/>
      <c r="NEJ69"/>
      <c r="NEK69"/>
      <c r="NEL69"/>
      <c r="NEM69"/>
      <c r="NEN69"/>
      <c r="NEO69"/>
      <c r="NEP69"/>
      <c r="NEQ69"/>
      <c r="NER69"/>
      <c r="NES69"/>
      <c r="NET69"/>
      <c r="NEU69"/>
      <c r="NEV69"/>
      <c r="NEW69"/>
      <c r="NEX69"/>
      <c r="NEY69"/>
      <c r="NEZ69"/>
      <c r="NFA69"/>
      <c r="NFB69"/>
      <c r="NFC69"/>
      <c r="NFD69"/>
      <c r="NFE69"/>
      <c r="NFF69"/>
      <c r="NFG69"/>
      <c r="NFH69"/>
      <c r="NFI69"/>
      <c r="NFJ69"/>
      <c r="NFK69"/>
      <c r="NFL69"/>
      <c r="NFM69"/>
      <c r="NFN69"/>
      <c r="NFO69"/>
      <c r="NFP69"/>
      <c r="NFQ69"/>
      <c r="NFR69"/>
      <c r="NFS69"/>
      <c r="NFT69"/>
      <c r="NFU69"/>
      <c r="NFV69"/>
      <c r="NFW69"/>
      <c r="NFX69"/>
      <c r="NFY69"/>
      <c r="NFZ69"/>
      <c r="NGA69"/>
      <c r="NGB69"/>
      <c r="NGC69"/>
      <c r="NGD69"/>
      <c r="NGE69"/>
      <c r="NGF69"/>
      <c r="NGG69"/>
      <c r="NGH69"/>
      <c r="NGI69"/>
      <c r="NGJ69"/>
      <c r="NGK69"/>
      <c r="NGL69"/>
      <c r="NGM69"/>
      <c r="NGN69"/>
      <c r="NGO69"/>
      <c r="NGP69"/>
      <c r="NGQ69"/>
      <c r="NGR69"/>
      <c r="NGS69"/>
      <c r="NGT69"/>
      <c r="NGU69"/>
      <c r="NGV69"/>
      <c r="NGW69"/>
      <c r="NGX69"/>
      <c r="NGY69"/>
      <c r="NGZ69"/>
      <c r="NHA69"/>
      <c r="NHB69"/>
      <c r="NHC69"/>
      <c r="NHD69"/>
      <c r="NHE69"/>
      <c r="NHF69"/>
      <c r="NHG69"/>
      <c r="NHH69"/>
      <c r="NHI69"/>
      <c r="NHJ69"/>
      <c r="NHK69"/>
      <c r="NHL69"/>
      <c r="NHM69"/>
      <c r="NHN69"/>
      <c r="NHO69"/>
      <c r="NHP69"/>
      <c r="NHQ69"/>
      <c r="NHR69"/>
      <c r="NHS69"/>
      <c r="NHT69"/>
      <c r="NHU69"/>
      <c r="NHV69"/>
      <c r="NHW69"/>
      <c r="NHX69"/>
      <c r="NHY69"/>
      <c r="NHZ69"/>
      <c r="NIA69"/>
      <c r="NIB69"/>
      <c r="NIC69"/>
      <c r="NID69"/>
      <c r="NIE69"/>
      <c r="NIF69"/>
      <c r="NIG69"/>
      <c r="NIH69"/>
      <c r="NII69"/>
      <c r="NIJ69"/>
      <c r="NIK69"/>
      <c r="NIL69"/>
      <c r="NIM69"/>
      <c r="NIN69"/>
      <c r="NIO69"/>
      <c r="NIP69"/>
      <c r="NIQ69"/>
      <c r="NIR69"/>
      <c r="NIS69"/>
      <c r="NIT69"/>
      <c r="NIU69"/>
      <c r="NIV69"/>
      <c r="NIW69"/>
      <c r="NIX69"/>
      <c r="NIY69"/>
      <c r="NIZ69"/>
      <c r="NJA69"/>
      <c r="NJB69"/>
      <c r="NJC69"/>
      <c r="NJD69"/>
      <c r="NJE69"/>
      <c r="NJF69"/>
      <c r="NJG69"/>
      <c r="NJH69"/>
      <c r="NJI69"/>
      <c r="NJJ69"/>
      <c r="NJK69"/>
      <c r="NJL69"/>
      <c r="NJM69"/>
      <c r="NJN69"/>
      <c r="NJO69"/>
      <c r="NJP69"/>
      <c r="NJQ69"/>
      <c r="NJR69"/>
      <c r="NJS69"/>
      <c r="NJT69"/>
      <c r="NJU69"/>
      <c r="NJV69"/>
      <c r="NJW69"/>
      <c r="NJX69"/>
      <c r="NJY69"/>
      <c r="NJZ69"/>
      <c r="NKA69"/>
      <c r="NKB69"/>
      <c r="NKC69"/>
      <c r="NKD69"/>
      <c r="NKE69"/>
      <c r="NKF69"/>
      <c r="NKG69"/>
      <c r="NKH69"/>
      <c r="NKI69"/>
      <c r="NKJ69"/>
      <c r="NKK69"/>
      <c r="NKL69"/>
      <c r="NKM69"/>
      <c r="NKN69"/>
      <c r="NKO69"/>
      <c r="NKP69"/>
      <c r="NKQ69"/>
      <c r="NKR69"/>
      <c r="NKS69"/>
      <c r="NKT69"/>
      <c r="NKU69"/>
      <c r="NKV69"/>
      <c r="NKW69"/>
      <c r="NKX69"/>
      <c r="NKY69"/>
      <c r="NKZ69"/>
      <c r="NLA69"/>
      <c r="NLB69"/>
      <c r="NLC69"/>
      <c r="NLD69"/>
      <c r="NLE69"/>
      <c r="NLF69"/>
      <c r="NLG69"/>
      <c r="NLH69"/>
      <c r="NLI69"/>
      <c r="NLJ69"/>
      <c r="NLK69"/>
      <c r="NLL69"/>
      <c r="NLM69"/>
      <c r="NLN69"/>
      <c r="NLO69"/>
      <c r="NLP69"/>
      <c r="NLQ69"/>
      <c r="NLR69"/>
      <c r="NLS69"/>
      <c r="NLT69"/>
      <c r="NLU69"/>
      <c r="NLV69"/>
      <c r="NLW69"/>
      <c r="NLX69"/>
      <c r="NLY69"/>
      <c r="NLZ69"/>
      <c r="NMA69"/>
      <c r="NMB69"/>
      <c r="NMC69"/>
      <c r="NMD69"/>
      <c r="NME69"/>
      <c r="NMF69"/>
      <c r="NMG69"/>
      <c r="NMH69"/>
      <c r="NMI69"/>
      <c r="NMJ69"/>
      <c r="NMK69"/>
      <c r="NML69"/>
      <c r="NMM69"/>
      <c r="NMN69"/>
      <c r="NMO69"/>
      <c r="NMP69"/>
      <c r="NMQ69"/>
      <c r="NMR69"/>
      <c r="NMS69"/>
      <c r="NMT69"/>
      <c r="NMU69"/>
      <c r="NMV69"/>
      <c r="NMW69"/>
      <c r="NMX69"/>
      <c r="NMY69"/>
      <c r="NMZ69"/>
      <c r="NNA69"/>
      <c r="NNB69"/>
      <c r="NNC69"/>
      <c r="NND69"/>
      <c r="NNE69"/>
      <c r="NNF69"/>
      <c r="NNG69"/>
      <c r="NNH69"/>
      <c r="NNI69"/>
      <c r="NNJ69"/>
      <c r="NNK69"/>
      <c r="NNL69"/>
      <c r="NNM69"/>
      <c r="NNN69"/>
      <c r="NNO69"/>
      <c r="NNP69"/>
      <c r="NNQ69"/>
      <c r="NNR69"/>
      <c r="NNS69"/>
      <c r="NNT69"/>
      <c r="NNU69"/>
      <c r="NNV69"/>
      <c r="NNW69"/>
      <c r="NNX69"/>
      <c r="NNY69"/>
      <c r="NNZ69"/>
      <c r="NOA69"/>
      <c r="NOB69"/>
      <c r="NOC69"/>
      <c r="NOD69"/>
      <c r="NOE69"/>
      <c r="NOF69"/>
      <c r="NOG69"/>
      <c r="NOH69"/>
      <c r="NOI69"/>
      <c r="NOJ69"/>
      <c r="NOK69"/>
      <c r="NOL69"/>
      <c r="NOM69"/>
      <c r="NON69"/>
      <c r="NOO69"/>
      <c r="NOP69"/>
      <c r="NOQ69"/>
      <c r="NOR69"/>
      <c r="NOS69"/>
      <c r="NOT69"/>
      <c r="NOU69"/>
      <c r="NOV69"/>
      <c r="NOW69"/>
      <c r="NOX69"/>
      <c r="NOY69"/>
      <c r="NOZ69"/>
      <c r="NPA69"/>
      <c r="NPB69"/>
      <c r="NPC69"/>
      <c r="NPD69"/>
      <c r="NPE69"/>
      <c r="NPF69"/>
      <c r="NPG69"/>
      <c r="NPH69"/>
      <c r="NPI69"/>
      <c r="NPJ69"/>
      <c r="NPK69"/>
      <c r="NPL69"/>
      <c r="NPM69"/>
      <c r="NPN69"/>
      <c r="NPO69"/>
      <c r="NPP69"/>
      <c r="NPQ69"/>
      <c r="NPR69"/>
      <c r="NPS69"/>
      <c r="NPT69"/>
      <c r="NPU69"/>
      <c r="NPV69"/>
      <c r="NPW69"/>
      <c r="NPX69"/>
      <c r="NPY69"/>
      <c r="NPZ69"/>
      <c r="NQA69"/>
      <c r="NQB69"/>
      <c r="NQC69"/>
      <c r="NQD69"/>
      <c r="NQE69"/>
      <c r="NQF69"/>
      <c r="NQG69"/>
      <c r="NQH69"/>
      <c r="NQI69"/>
      <c r="NQJ69"/>
      <c r="NQK69"/>
      <c r="NQL69"/>
      <c r="NQM69"/>
      <c r="NQN69"/>
      <c r="NQO69"/>
      <c r="NQP69"/>
      <c r="NQQ69"/>
      <c r="NQR69"/>
      <c r="NQS69"/>
      <c r="NQT69"/>
      <c r="NQU69"/>
      <c r="NQV69"/>
      <c r="NQW69"/>
      <c r="NQX69"/>
      <c r="NQY69"/>
      <c r="NQZ69"/>
      <c r="NRA69"/>
      <c r="NRB69"/>
      <c r="NRC69"/>
      <c r="NRD69"/>
      <c r="NRE69"/>
      <c r="NRF69"/>
      <c r="NRG69"/>
      <c r="NRH69"/>
      <c r="NRI69"/>
      <c r="NRJ69"/>
      <c r="NRK69"/>
      <c r="NRL69"/>
      <c r="NRM69"/>
      <c r="NRN69"/>
      <c r="NRO69"/>
      <c r="NRP69"/>
      <c r="NRQ69"/>
      <c r="NRR69"/>
      <c r="NRS69"/>
      <c r="NRT69"/>
      <c r="NRU69"/>
      <c r="NRV69"/>
      <c r="NRW69"/>
      <c r="NRX69"/>
      <c r="NRY69"/>
      <c r="NRZ69"/>
      <c r="NSA69"/>
      <c r="NSB69"/>
      <c r="NSC69"/>
      <c r="NSD69"/>
      <c r="NSE69"/>
      <c r="NSF69"/>
      <c r="NSG69"/>
      <c r="NSH69"/>
      <c r="NSI69"/>
      <c r="NSJ69"/>
      <c r="NSK69"/>
      <c r="NSL69"/>
      <c r="NSM69"/>
      <c r="NSN69"/>
      <c r="NSO69"/>
      <c r="NSP69"/>
      <c r="NSQ69"/>
      <c r="NSR69"/>
      <c r="NSS69"/>
      <c r="NST69"/>
      <c r="NSU69"/>
      <c r="NSV69"/>
      <c r="NSW69"/>
      <c r="NSX69"/>
      <c r="NSY69"/>
      <c r="NSZ69"/>
      <c r="NTA69"/>
      <c r="NTB69"/>
      <c r="NTC69"/>
      <c r="NTD69"/>
      <c r="NTE69"/>
      <c r="NTF69"/>
      <c r="NTG69"/>
      <c r="NTH69"/>
      <c r="NTI69"/>
      <c r="NTJ69"/>
      <c r="NTK69"/>
      <c r="NTL69"/>
      <c r="NTM69"/>
      <c r="NTN69"/>
      <c r="NTO69"/>
      <c r="NTP69"/>
      <c r="NTQ69"/>
      <c r="NTR69"/>
      <c r="NTS69"/>
      <c r="NTT69"/>
      <c r="NTU69"/>
      <c r="NTV69"/>
      <c r="NTW69"/>
      <c r="NTX69"/>
      <c r="NTY69"/>
      <c r="NTZ69"/>
      <c r="NUA69"/>
      <c r="NUB69"/>
      <c r="NUC69"/>
      <c r="NUD69"/>
      <c r="NUE69"/>
      <c r="NUF69"/>
      <c r="NUG69"/>
      <c r="NUH69"/>
      <c r="NUI69"/>
      <c r="NUJ69"/>
      <c r="NUK69"/>
      <c r="NUL69"/>
      <c r="NUM69"/>
      <c r="NUN69"/>
      <c r="NUO69"/>
      <c r="NUP69"/>
      <c r="NUQ69"/>
      <c r="NUR69"/>
      <c r="NUS69"/>
      <c r="NUT69"/>
      <c r="NUU69"/>
      <c r="NUV69"/>
      <c r="NUW69"/>
      <c r="NUX69"/>
      <c r="NUY69"/>
      <c r="NUZ69"/>
      <c r="NVA69"/>
      <c r="NVB69"/>
      <c r="NVC69"/>
      <c r="NVD69"/>
      <c r="NVE69"/>
      <c r="NVF69"/>
      <c r="NVG69"/>
      <c r="NVH69"/>
      <c r="NVI69"/>
      <c r="NVJ69"/>
      <c r="NVK69"/>
      <c r="NVL69"/>
      <c r="NVM69"/>
      <c r="NVN69"/>
      <c r="NVO69"/>
      <c r="NVP69"/>
      <c r="NVQ69"/>
      <c r="NVR69"/>
      <c r="NVS69"/>
      <c r="NVT69"/>
      <c r="NVU69"/>
      <c r="NVV69"/>
      <c r="NVW69"/>
      <c r="NVX69"/>
      <c r="NVY69"/>
      <c r="NVZ69"/>
      <c r="NWA69"/>
      <c r="NWB69"/>
      <c r="NWC69"/>
      <c r="NWD69"/>
      <c r="NWE69"/>
      <c r="NWF69"/>
      <c r="NWG69"/>
      <c r="NWH69"/>
      <c r="NWI69"/>
      <c r="NWJ69"/>
      <c r="NWK69"/>
      <c r="NWL69"/>
      <c r="NWM69"/>
      <c r="NWN69"/>
      <c r="NWO69"/>
      <c r="NWP69"/>
      <c r="NWQ69"/>
      <c r="NWR69"/>
      <c r="NWS69"/>
      <c r="NWT69"/>
      <c r="NWU69"/>
      <c r="NWV69"/>
      <c r="NWW69"/>
      <c r="NWX69"/>
      <c r="NWY69"/>
      <c r="NWZ69"/>
      <c r="NXA69"/>
      <c r="NXB69"/>
      <c r="NXC69"/>
      <c r="NXD69"/>
      <c r="NXE69"/>
      <c r="NXF69"/>
      <c r="NXG69"/>
      <c r="NXH69"/>
      <c r="NXI69"/>
      <c r="NXJ69"/>
      <c r="NXK69"/>
      <c r="NXL69"/>
      <c r="NXM69"/>
      <c r="NXN69"/>
      <c r="NXO69"/>
      <c r="NXP69"/>
      <c r="NXQ69"/>
      <c r="NXR69"/>
      <c r="NXS69"/>
      <c r="NXT69"/>
      <c r="NXU69"/>
      <c r="NXV69"/>
      <c r="NXW69"/>
      <c r="NXX69"/>
      <c r="NXY69"/>
      <c r="NXZ69"/>
      <c r="NYA69"/>
      <c r="NYB69"/>
      <c r="NYC69"/>
      <c r="NYD69"/>
      <c r="NYE69"/>
      <c r="NYF69"/>
      <c r="NYG69"/>
      <c r="NYH69"/>
      <c r="NYI69"/>
      <c r="NYJ69"/>
      <c r="NYK69"/>
      <c r="NYL69"/>
      <c r="NYM69"/>
      <c r="NYN69"/>
      <c r="NYO69"/>
      <c r="NYP69"/>
      <c r="NYQ69"/>
      <c r="NYR69"/>
      <c r="NYS69"/>
      <c r="NYT69"/>
      <c r="NYU69"/>
      <c r="NYV69"/>
      <c r="NYW69"/>
      <c r="NYX69"/>
      <c r="NYY69"/>
      <c r="NYZ69"/>
      <c r="NZA69"/>
      <c r="NZB69"/>
      <c r="NZC69"/>
      <c r="NZD69"/>
      <c r="NZE69"/>
      <c r="NZF69"/>
      <c r="NZG69"/>
      <c r="NZH69"/>
      <c r="NZI69"/>
      <c r="NZJ69"/>
      <c r="NZK69"/>
      <c r="NZL69"/>
      <c r="NZM69"/>
      <c r="NZN69"/>
      <c r="NZO69"/>
      <c r="NZP69"/>
      <c r="NZQ69"/>
      <c r="NZR69"/>
      <c r="NZS69"/>
      <c r="NZT69"/>
      <c r="NZU69"/>
      <c r="NZV69"/>
      <c r="NZW69"/>
      <c r="NZX69"/>
      <c r="NZY69"/>
      <c r="NZZ69"/>
      <c r="OAA69"/>
      <c r="OAB69"/>
      <c r="OAC69"/>
      <c r="OAD69"/>
      <c r="OAE69"/>
      <c r="OAF69"/>
      <c r="OAG69"/>
      <c r="OAH69"/>
      <c r="OAI69"/>
      <c r="OAJ69"/>
      <c r="OAK69"/>
      <c r="OAL69"/>
      <c r="OAM69"/>
      <c r="OAN69"/>
      <c r="OAO69"/>
      <c r="OAP69"/>
      <c r="OAQ69"/>
      <c r="OAR69"/>
      <c r="OAS69"/>
      <c r="OAT69"/>
      <c r="OAU69"/>
      <c r="OAV69"/>
      <c r="OAW69"/>
      <c r="OAX69"/>
      <c r="OAY69"/>
      <c r="OAZ69"/>
      <c r="OBA69"/>
      <c r="OBB69"/>
      <c r="OBC69"/>
      <c r="OBD69"/>
      <c r="OBE69"/>
      <c r="OBF69"/>
      <c r="OBG69"/>
      <c r="OBH69"/>
      <c r="OBI69"/>
      <c r="OBJ69"/>
      <c r="OBK69"/>
      <c r="OBL69"/>
      <c r="OBM69"/>
      <c r="OBN69"/>
      <c r="OBO69"/>
      <c r="OBP69"/>
      <c r="OBQ69"/>
      <c r="OBR69"/>
      <c r="OBS69"/>
      <c r="OBT69"/>
      <c r="OBU69"/>
      <c r="OBV69"/>
      <c r="OBW69"/>
      <c r="OBX69"/>
      <c r="OBY69"/>
      <c r="OBZ69"/>
      <c r="OCA69"/>
      <c r="OCB69"/>
      <c r="OCC69"/>
      <c r="OCD69"/>
      <c r="OCE69"/>
      <c r="OCF69"/>
      <c r="OCG69"/>
      <c r="OCH69"/>
      <c r="OCI69"/>
      <c r="OCJ69"/>
      <c r="OCK69"/>
      <c r="OCL69"/>
      <c r="OCM69"/>
      <c r="OCN69"/>
      <c r="OCO69"/>
      <c r="OCP69"/>
      <c r="OCQ69"/>
      <c r="OCR69"/>
      <c r="OCS69"/>
      <c r="OCT69"/>
      <c r="OCU69"/>
      <c r="OCV69"/>
      <c r="OCW69"/>
      <c r="OCX69"/>
      <c r="OCY69"/>
      <c r="OCZ69"/>
      <c r="ODA69"/>
      <c r="ODB69"/>
      <c r="ODC69"/>
      <c r="ODD69"/>
      <c r="ODE69"/>
      <c r="ODF69"/>
      <c r="ODG69"/>
      <c r="ODH69"/>
      <c r="ODI69"/>
      <c r="ODJ69"/>
      <c r="ODK69"/>
      <c r="ODL69"/>
      <c r="ODM69"/>
      <c r="ODN69"/>
      <c r="ODO69"/>
      <c r="ODP69"/>
      <c r="ODQ69"/>
      <c r="ODR69"/>
      <c r="ODS69"/>
      <c r="ODT69"/>
      <c r="ODU69"/>
      <c r="ODV69"/>
      <c r="ODW69"/>
      <c r="ODX69"/>
      <c r="ODY69"/>
      <c r="ODZ69"/>
      <c r="OEA69"/>
      <c r="OEB69"/>
      <c r="OEC69"/>
      <c r="OED69"/>
      <c r="OEE69"/>
      <c r="OEF69"/>
      <c r="OEG69"/>
      <c r="OEH69"/>
      <c r="OEI69"/>
      <c r="OEJ69"/>
      <c r="OEK69"/>
      <c r="OEL69"/>
      <c r="OEM69"/>
      <c r="OEN69"/>
      <c r="OEO69"/>
      <c r="OEP69"/>
      <c r="OEQ69"/>
      <c r="OER69"/>
      <c r="OES69"/>
      <c r="OET69"/>
      <c r="OEU69"/>
      <c r="OEV69"/>
      <c r="OEW69"/>
      <c r="OEX69"/>
      <c r="OEY69"/>
      <c r="OEZ69"/>
      <c r="OFA69"/>
      <c r="OFB69"/>
      <c r="OFC69"/>
      <c r="OFD69"/>
      <c r="OFE69"/>
      <c r="OFF69"/>
      <c r="OFG69"/>
      <c r="OFH69"/>
      <c r="OFI69"/>
      <c r="OFJ69"/>
      <c r="OFK69"/>
      <c r="OFL69"/>
      <c r="OFM69"/>
      <c r="OFN69"/>
      <c r="OFO69"/>
      <c r="OFP69"/>
      <c r="OFQ69"/>
      <c r="OFR69"/>
      <c r="OFS69"/>
      <c r="OFT69"/>
      <c r="OFU69"/>
      <c r="OFV69"/>
      <c r="OFW69"/>
      <c r="OFX69"/>
      <c r="OFY69"/>
      <c r="OFZ69"/>
      <c r="OGA69"/>
      <c r="OGB69"/>
      <c r="OGC69"/>
      <c r="OGD69"/>
      <c r="OGE69"/>
      <c r="OGF69"/>
      <c r="OGG69"/>
      <c r="OGH69"/>
      <c r="OGI69"/>
      <c r="OGJ69"/>
      <c r="OGK69"/>
      <c r="OGL69"/>
      <c r="OGM69"/>
      <c r="OGN69"/>
      <c r="OGO69"/>
      <c r="OGP69"/>
      <c r="OGQ69"/>
      <c r="OGR69"/>
      <c r="OGS69"/>
      <c r="OGT69"/>
      <c r="OGU69"/>
      <c r="OGV69"/>
      <c r="OGW69"/>
      <c r="OGX69"/>
      <c r="OGY69"/>
      <c r="OGZ69"/>
      <c r="OHA69"/>
      <c r="OHB69"/>
      <c r="OHC69"/>
      <c r="OHD69"/>
      <c r="OHE69"/>
      <c r="OHF69"/>
      <c r="OHG69"/>
      <c r="OHH69"/>
      <c r="OHI69"/>
      <c r="OHJ69"/>
      <c r="OHK69"/>
      <c r="OHL69"/>
      <c r="OHM69"/>
      <c r="OHN69"/>
      <c r="OHO69"/>
      <c r="OHP69"/>
      <c r="OHQ69"/>
      <c r="OHR69"/>
      <c r="OHS69"/>
      <c r="OHT69"/>
      <c r="OHU69"/>
      <c r="OHV69"/>
      <c r="OHW69"/>
      <c r="OHX69"/>
      <c r="OHY69"/>
      <c r="OHZ69"/>
      <c r="OIA69"/>
      <c r="OIB69"/>
      <c r="OIC69"/>
      <c r="OID69"/>
      <c r="OIE69"/>
      <c r="OIF69"/>
      <c r="OIG69"/>
      <c r="OIH69"/>
      <c r="OII69"/>
      <c r="OIJ69"/>
      <c r="OIK69"/>
      <c r="OIL69"/>
      <c r="OIM69"/>
      <c r="OIN69"/>
      <c r="OIO69"/>
      <c r="OIP69"/>
      <c r="OIQ69"/>
      <c r="OIR69"/>
      <c r="OIS69"/>
      <c r="OIT69"/>
      <c r="OIU69"/>
      <c r="OIV69"/>
      <c r="OIW69"/>
      <c r="OIX69"/>
      <c r="OIY69"/>
      <c r="OIZ69"/>
      <c r="OJA69"/>
      <c r="OJB69"/>
      <c r="OJC69"/>
      <c r="OJD69"/>
      <c r="OJE69"/>
      <c r="OJF69"/>
      <c r="OJG69"/>
      <c r="OJH69"/>
      <c r="OJI69"/>
      <c r="OJJ69"/>
      <c r="OJK69"/>
      <c r="OJL69"/>
      <c r="OJM69"/>
      <c r="OJN69"/>
      <c r="OJO69"/>
      <c r="OJP69"/>
      <c r="OJQ69"/>
      <c r="OJR69"/>
      <c r="OJS69"/>
      <c r="OJT69"/>
      <c r="OJU69"/>
      <c r="OJV69"/>
      <c r="OJW69"/>
      <c r="OJX69"/>
      <c r="OJY69"/>
      <c r="OJZ69"/>
      <c r="OKA69"/>
      <c r="OKB69"/>
      <c r="OKC69"/>
      <c r="OKD69"/>
      <c r="OKE69"/>
      <c r="OKF69"/>
      <c r="OKG69"/>
      <c r="OKH69"/>
      <c r="OKI69"/>
      <c r="OKJ69"/>
      <c r="OKK69"/>
      <c r="OKL69"/>
      <c r="OKM69"/>
      <c r="OKN69"/>
      <c r="OKO69"/>
      <c r="OKP69"/>
      <c r="OKQ69"/>
      <c r="OKR69"/>
      <c r="OKS69"/>
      <c r="OKT69"/>
      <c r="OKU69"/>
      <c r="OKV69"/>
      <c r="OKW69"/>
      <c r="OKX69"/>
      <c r="OKY69"/>
      <c r="OKZ69"/>
      <c r="OLA69"/>
      <c r="OLB69"/>
      <c r="OLC69"/>
      <c r="OLD69"/>
      <c r="OLE69"/>
      <c r="OLF69"/>
      <c r="OLG69"/>
      <c r="OLH69"/>
      <c r="OLI69"/>
      <c r="OLJ69"/>
      <c r="OLK69"/>
      <c r="OLL69"/>
      <c r="OLM69"/>
      <c r="OLN69"/>
      <c r="OLO69"/>
      <c r="OLP69"/>
      <c r="OLQ69"/>
      <c r="OLR69"/>
      <c r="OLS69"/>
      <c r="OLT69"/>
      <c r="OLU69"/>
      <c r="OLV69"/>
      <c r="OLW69"/>
      <c r="OLX69"/>
      <c r="OLY69"/>
      <c r="OLZ69"/>
      <c r="OMA69"/>
      <c r="OMB69"/>
      <c r="OMC69"/>
      <c r="OMD69"/>
      <c r="OME69"/>
      <c r="OMF69"/>
      <c r="OMG69"/>
      <c r="OMH69"/>
      <c r="OMI69"/>
      <c r="OMJ69"/>
      <c r="OMK69"/>
      <c r="OML69"/>
      <c r="OMM69"/>
      <c r="OMN69"/>
      <c r="OMO69"/>
      <c r="OMP69"/>
      <c r="OMQ69"/>
      <c r="OMR69"/>
      <c r="OMS69"/>
      <c r="OMT69"/>
      <c r="OMU69"/>
      <c r="OMV69"/>
      <c r="OMW69"/>
      <c r="OMX69"/>
      <c r="OMY69"/>
      <c r="OMZ69"/>
      <c r="ONA69"/>
      <c r="ONB69"/>
      <c r="ONC69"/>
      <c r="OND69"/>
      <c r="ONE69"/>
      <c r="ONF69"/>
      <c r="ONG69"/>
      <c r="ONH69"/>
      <c r="ONI69"/>
      <c r="ONJ69"/>
      <c r="ONK69"/>
      <c r="ONL69"/>
      <c r="ONM69"/>
      <c r="ONN69"/>
      <c r="ONO69"/>
      <c r="ONP69"/>
      <c r="ONQ69"/>
      <c r="ONR69"/>
      <c r="ONS69"/>
      <c r="ONT69"/>
      <c r="ONU69"/>
      <c r="ONV69"/>
      <c r="ONW69"/>
      <c r="ONX69"/>
      <c r="ONY69"/>
      <c r="ONZ69"/>
      <c r="OOA69"/>
      <c r="OOB69"/>
      <c r="OOC69"/>
      <c r="OOD69"/>
      <c r="OOE69"/>
      <c r="OOF69"/>
      <c r="OOG69"/>
      <c r="OOH69"/>
      <c r="OOI69"/>
      <c r="OOJ69"/>
      <c r="OOK69"/>
      <c r="OOL69"/>
      <c r="OOM69"/>
      <c r="OON69"/>
      <c r="OOO69"/>
      <c r="OOP69"/>
      <c r="OOQ69"/>
      <c r="OOR69"/>
      <c r="OOS69"/>
      <c r="OOT69"/>
      <c r="OOU69"/>
      <c r="OOV69"/>
      <c r="OOW69"/>
      <c r="OOX69"/>
      <c r="OOY69"/>
      <c r="OOZ69"/>
      <c r="OPA69"/>
      <c r="OPB69"/>
      <c r="OPC69"/>
      <c r="OPD69"/>
      <c r="OPE69"/>
      <c r="OPF69"/>
      <c r="OPG69"/>
      <c r="OPH69"/>
      <c r="OPI69"/>
      <c r="OPJ69"/>
      <c r="OPK69"/>
      <c r="OPL69"/>
      <c r="OPM69"/>
      <c r="OPN69"/>
      <c r="OPO69"/>
      <c r="OPP69"/>
      <c r="OPQ69"/>
      <c r="OPR69"/>
      <c r="OPS69"/>
      <c r="OPT69"/>
      <c r="OPU69"/>
      <c r="OPV69"/>
      <c r="OPW69"/>
      <c r="OPX69"/>
      <c r="OPY69"/>
      <c r="OPZ69"/>
      <c r="OQA69"/>
      <c r="OQB69"/>
      <c r="OQC69"/>
      <c r="OQD69"/>
      <c r="OQE69"/>
      <c r="OQF69"/>
      <c r="OQG69"/>
      <c r="OQH69"/>
      <c r="OQI69"/>
      <c r="OQJ69"/>
      <c r="OQK69"/>
      <c r="OQL69"/>
      <c r="OQM69"/>
      <c r="OQN69"/>
      <c r="OQO69"/>
      <c r="OQP69"/>
      <c r="OQQ69"/>
      <c r="OQR69"/>
      <c r="OQS69"/>
      <c r="OQT69"/>
      <c r="OQU69"/>
      <c r="OQV69"/>
      <c r="OQW69"/>
      <c r="OQX69"/>
      <c r="OQY69"/>
      <c r="OQZ69"/>
      <c r="ORA69"/>
      <c r="ORB69"/>
      <c r="ORC69"/>
      <c r="ORD69"/>
      <c r="ORE69"/>
      <c r="ORF69"/>
      <c r="ORG69"/>
      <c r="ORH69"/>
      <c r="ORI69"/>
      <c r="ORJ69"/>
      <c r="ORK69"/>
      <c r="ORL69"/>
      <c r="ORM69"/>
      <c r="ORN69"/>
      <c r="ORO69"/>
      <c r="ORP69"/>
      <c r="ORQ69"/>
      <c r="ORR69"/>
      <c r="ORS69"/>
      <c r="ORT69"/>
      <c r="ORU69"/>
      <c r="ORV69"/>
      <c r="ORW69"/>
      <c r="ORX69"/>
      <c r="ORY69"/>
      <c r="ORZ69"/>
      <c r="OSA69"/>
      <c r="OSB69"/>
      <c r="OSC69"/>
      <c r="OSD69"/>
      <c r="OSE69"/>
      <c r="OSF69"/>
      <c r="OSG69"/>
      <c r="OSH69"/>
      <c r="OSI69"/>
      <c r="OSJ69"/>
      <c r="OSK69"/>
      <c r="OSL69"/>
      <c r="OSM69"/>
      <c r="OSN69"/>
      <c r="OSO69"/>
      <c r="OSP69"/>
      <c r="OSQ69"/>
      <c r="OSR69"/>
      <c r="OSS69"/>
      <c r="OST69"/>
      <c r="OSU69"/>
      <c r="OSV69"/>
      <c r="OSW69"/>
      <c r="OSX69"/>
      <c r="OSY69"/>
      <c r="OSZ69"/>
      <c r="OTA69"/>
      <c r="OTB69"/>
      <c r="OTC69"/>
      <c r="OTD69"/>
      <c r="OTE69"/>
      <c r="OTF69"/>
      <c r="OTG69"/>
      <c r="OTH69"/>
      <c r="OTI69"/>
      <c r="OTJ69"/>
      <c r="OTK69"/>
      <c r="OTL69"/>
      <c r="OTM69"/>
      <c r="OTN69"/>
      <c r="OTO69"/>
      <c r="OTP69"/>
      <c r="OTQ69"/>
      <c r="OTR69"/>
      <c r="OTS69"/>
      <c r="OTT69"/>
      <c r="OTU69"/>
      <c r="OTV69"/>
      <c r="OTW69"/>
      <c r="OTX69"/>
      <c r="OTY69"/>
      <c r="OTZ69"/>
      <c r="OUA69"/>
      <c r="OUB69"/>
      <c r="OUC69"/>
      <c r="OUD69"/>
      <c r="OUE69"/>
      <c r="OUF69"/>
      <c r="OUG69"/>
      <c r="OUH69"/>
      <c r="OUI69"/>
      <c r="OUJ69"/>
      <c r="OUK69"/>
      <c r="OUL69"/>
      <c r="OUM69"/>
      <c r="OUN69"/>
      <c r="OUO69"/>
      <c r="OUP69"/>
      <c r="OUQ69"/>
      <c r="OUR69"/>
      <c r="OUS69"/>
      <c r="OUT69"/>
      <c r="OUU69"/>
      <c r="OUV69"/>
      <c r="OUW69"/>
      <c r="OUX69"/>
      <c r="OUY69"/>
      <c r="OUZ69"/>
      <c r="OVA69"/>
      <c r="OVB69"/>
      <c r="OVC69"/>
      <c r="OVD69"/>
      <c r="OVE69"/>
      <c r="OVF69"/>
      <c r="OVG69"/>
      <c r="OVH69"/>
      <c r="OVI69"/>
      <c r="OVJ69"/>
      <c r="OVK69"/>
      <c r="OVL69"/>
      <c r="OVM69"/>
      <c r="OVN69"/>
      <c r="OVO69"/>
      <c r="OVP69"/>
      <c r="OVQ69"/>
      <c r="OVR69"/>
      <c r="OVS69"/>
      <c r="OVT69"/>
      <c r="OVU69"/>
      <c r="OVV69"/>
      <c r="OVW69"/>
      <c r="OVX69"/>
      <c r="OVY69"/>
      <c r="OVZ69"/>
      <c r="OWA69"/>
      <c r="OWB69"/>
      <c r="OWC69"/>
      <c r="OWD69"/>
      <c r="OWE69"/>
      <c r="OWF69"/>
      <c r="OWG69"/>
      <c r="OWH69"/>
      <c r="OWI69"/>
      <c r="OWJ69"/>
      <c r="OWK69"/>
      <c r="OWL69"/>
      <c r="OWM69"/>
      <c r="OWN69"/>
      <c r="OWO69"/>
      <c r="OWP69"/>
      <c r="OWQ69"/>
      <c r="OWR69"/>
      <c r="OWS69"/>
      <c r="OWT69"/>
      <c r="OWU69"/>
      <c r="OWV69"/>
      <c r="OWW69"/>
      <c r="OWX69"/>
      <c r="OWY69"/>
      <c r="OWZ69"/>
      <c r="OXA69"/>
      <c r="OXB69"/>
      <c r="OXC69"/>
      <c r="OXD69"/>
      <c r="OXE69"/>
      <c r="OXF69"/>
      <c r="OXG69"/>
      <c r="OXH69"/>
      <c r="OXI69"/>
      <c r="OXJ69"/>
      <c r="OXK69"/>
      <c r="OXL69"/>
      <c r="OXM69"/>
      <c r="OXN69"/>
      <c r="OXO69"/>
      <c r="OXP69"/>
      <c r="OXQ69"/>
      <c r="OXR69"/>
      <c r="OXS69"/>
      <c r="OXT69"/>
      <c r="OXU69"/>
      <c r="OXV69"/>
      <c r="OXW69"/>
      <c r="OXX69"/>
      <c r="OXY69"/>
      <c r="OXZ69"/>
      <c r="OYA69"/>
      <c r="OYB69"/>
      <c r="OYC69"/>
      <c r="OYD69"/>
      <c r="OYE69"/>
      <c r="OYF69"/>
      <c r="OYG69"/>
      <c r="OYH69"/>
      <c r="OYI69"/>
      <c r="OYJ69"/>
      <c r="OYK69"/>
      <c r="OYL69"/>
      <c r="OYM69"/>
      <c r="OYN69"/>
      <c r="OYO69"/>
      <c r="OYP69"/>
      <c r="OYQ69"/>
      <c r="OYR69"/>
      <c r="OYS69"/>
      <c r="OYT69"/>
      <c r="OYU69"/>
      <c r="OYV69"/>
      <c r="OYW69"/>
      <c r="OYX69"/>
      <c r="OYY69"/>
      <c r="OYZ69"/>
      <c r="OZA69"/>
      <c r="OZB69"/>
      <c r="OZC69"/>
      <c r="OZD69"/>
      <c r="OZE69"/>
      <c r="OZF69"/>
      <c r="OZG69"/>
      <c r="OZH69"/>
      <c r="OZI69"/>
      <c r="OZJ69"/>
      <c r="OZK69"/>
      <c r="OZL69"/>
      <c r="OZM69"/>
      <c r="OZN69"/>
      <c r="OZO69"/>
      <c r="OZP69"/>
      <c r="OZQ69"/>
      <c r="OZR69"/>
      <c r="OZS69"/>
      <c r="OZT69"/>
      <c r="OZU69"/>
      <c r="OZV69"/>
      <c r="OZW69"/>
      <c r="OZX69"/>
      <c r="OZY69"/>
      <c r="OZZ69"/>
      <c r="PAA69"/>
      <c r="PAB69"/>
      <c r="PAC69"/>
      <c r="PAD69"/>
      <c r="PAE69"/>
      <c r="PAF69"/>
      <c r="PAG69"/>
      <c r="PAH69"/>
      <c r="PAI69"/>
      <c r="PAJ69"/>
      <c r="PAK69"/>
      <c r="PAL69"/>
      <c r="PAM69"/>
      <c r="PAN69"/>
      <c r="PAO69"/>
      <c r="PAP69"/>
      <c r="PAQ69"/>
      <c r="PAR69"/>
      <c r="PAS69"/>
      <c r="PAT69"/>
      <c r="PAU69"/>
      <c r="PAV69"/>
      <c r="PAW69"/>
      <c r="PAX69"/>
      <c r="PAY69"/>
      <c r="PAZ69"/>
      <c r="PBA69"/>
      <c r="PBB69"/>
      <c r="PBC69"/>
      <c r="PBD69"/>
      <c r="PBE69"/>
      <c r="PBF69"/>
      <c r="PBG69"/>
      <c r="PBH69"/>
      <c r="PBI69"/>
      <c r="PBJ69"/>
      <c r="PBK69"/>
      <c r="PBL69"/>
      <c r="PBM69"/>
      <c r="PBN69"/>
      <c r="PBO69"/>
      <c r="PBP69"/>
      <c r="PBQ69"/>
      <c r="PBR69"/>
      <c r="PBS69"/>
      <c r="PBT69"/>
      <c r="PBU69"/>
      <c r="PBV69"/>
      <c r="PBW69"/>
      <c r="PBX69"/>
      <c r="PBY69"/>
      <c r="PBZ69"/>
      <c r="PCA69"/>
      <c r="PCB69"/>
      <c r="PCC69"/>
      <c r="PCD69"/>
      <c r="PCE69"/>
      <c r="PCF69"/>
      <c r="PCG69"/>
      <c r="PCH69"/>
      <c r="PCI69"/>
      <c r="PCJ69"/>
      <c r="PCK69"/>
      <c r="PCL69"/>
      <c r="PCM69"/>
      <c r="PCN69"/>
      <c r="PCO69"/>
      <c r="PCP69"/>
      <c r="PCQ69"/>
      <c r="PCR69"/>
      <c r="PCS69"/>
      <c r="PCT69"/>
      <c r="PCU69"/>
      <c r="PCV69"/>
      <c r="PCW69"/>
      <c r="PCX69"/>
      <c r="PCY69"/>
      <c r="PCZ69"/>
      <c r="PDA69"/>
      <c r="PDB69"/>
      <c r="PDC69"/>
      <c r="PDD69"/>
      <c r="PDE69"/>
      <c r="PDF69"/>
      <c r="PDG69"/>
      <c r="PDH69"/>
      <c r="PDI69"/>
      <c r="PDJ69"/>
      <c r="PDK69"/>
      <c r="PDL69"/>
      <c r="PDM69"/>
      <c r="PDN69"/>
      <c r="PDO69"/>
      <c r="PDP69"/>
      <c r="PDQ69"/>
      <c r="PDR69"/>
      <c r="PDS69"/>
      <c r="PDT69"/>
      <c r="PDU69"/>
      <c r="PDV69"/>
      <c r="PDW69"/>
      <c r="PDX69"/>
      <c r="PDY69"/>
      <c r="PDZ69"/>
      <c r="PEA69"/>
      <c r="PEB69"/>
      <c r="PEC69"/>
      <c r="PED69"/>
      <c r="PEE69"/>
      <c r="PEF69"/>
      <c r="PEG69"/>
      <c r="PEH69"/>
      <c r="PEI69"/>
      <c r="PEJ69"/>
      <c r="PEK69"/>
      <c r="PEL69"/>
      <c r="PEM69"/>
      <c r="PEN69"/>
      <c r="PEO69"/>
      <c r="PEP69"/>
      <c r="PEQ69"/>
      <c r="PER69"/>
      <c r="PES69"/>
      <c r="PET69"/>
      <c r="PEU69"/>
      <c r="PEV69"/>
      <c r="PEW69"/>
      <c r="PEX69"/>
      <c r="PEY69"/>
      <c r="PEZ69"/>
      <c r="PFA69"/>
      <c r="PFB69"/>
      <c r="PFC69"/>
      <c r="PFD69"/>
      <c r="PFE69"/>
      <c r="PFF69"/>
      <c r="PFG69"/>
      <c r="PFH69"/>
      <c r="PFI69"/>
      <c r="PFJ69"/>
      <c r="PFK69"/>
      <c r="PFL69"/>
      <c r="PFM69"/>
      <c r="PFN69"/>
      <c r="PFO69"/>
      <c r="PFP69"/>
      <c r="PFQ69"/>
      <c r="PFR69"/>
      <c r="PFS69"/>
      <c r="PFT69"/>
      <c r="PFU69"/>
      <c r="PFV69"/>
      <c r="PFW69"/>
      <c r="PFX69"/>
      <c r="PFY69"/>
      <c r="PFZ69"/>
      <c r="PGA69"/>
      <c r="PGB69"/>
      <c r="PGC69"/>
      <c r="PGD69"/>
      <c r="PGE69"/>
      <c r="PGF69"/>
      <c r="PGG69"/>
      <c r="PGH69"/>
      <c r="PGI69"/>
      <c r="PGJ69"/>
      <c r="PGK69"/>
      <c r="PGL69"/>
      <c r="PGM69"/>
      <c r="PGN69"/>
      <c r="PGO69"/>
      <c r="PGP69"/>
      <c r="PGQ69"/>
      <c r="PGR69"/>
      <c r="PGS69"/>
      <c r="PGT69"/>
      <c r="PGU69"/>
      <c r="PGV69"/>
      <c r="PGW69"/>
      <c r="PGX69"/>
      <c r="PGY69"/>
      <c r="PGZ69"/>
      <c r="PHA69"/>
      <c r="PHB69"/>
      <c r="PHC69"/>
      <c r="PHD69"/>
      <c r="PHE69"/>
      <c r="PHF69"/>
      <c r="PHG69"/>
      <c r="PHH69"/>
      <c r="PHI69"/>
      <c r="PHJ69"/>
      <c r="PHK69"/>
      <c r="PHL69"/>
      <c r="PHM69"/>
      <c r="PHN69"/>
      <c r="PHO69"/>
      <c r="PHP69"/>
      <c r="PHQ69"/>
      <c r="PHR69"/>
      <c r="PHS69"/>
      <c r="PHT69"/>
      <c r="PHU69"/>
      <c r="PHV69"/>
      <c r="PHW69"/>
      <c r="PHX69"/>
      <c r="PHY69"/>
      <c r="PHZ69"/>
      <c r="PIA69"/>
      <c r="PIB69"/>
      <c r="PIC69"/>
      <c r="PID69"/>
      <c r="PIE69"/>
      <c r="PIF69"/>
      <c r="PIG69"/>
      <c r="PIH69"/>
      <c r="PII69"/>
      <c r="PIJ69"/>
      <c r="PIK69"/>
      <c r="PIL69"/>
      <c r="PIM69"/>
      <c r="PIN69"/>
      <c r="PIO69"/>
      <c r="PIP69"/>
      <c r="PIQ69"/>
      <c r="PIR69"/>
      <c r="PIS69"/>
      <c r="PIT69"/>
      <c r="PIU69"/>
      <c r="PIV69"/>
      <c r="PIW69"/>
      <c r="PIX69"/>
      <c r="PIY69"/>
      <c r="PIZ69"/>
      <c r="PJA69"/>
      <c r="PJB69"/>
      <c r="PJC69"/>
      <c r="PJD69"/>
      <c r="PJE69"/>
      <c r="PJF69"/>
      <c r="PJG69"/>
      <c r="PJH69"/>
      <c r="PJI69"/>
      <c r="PJJ69"/>
      <c r="PJK69"/>
      <c r="PJL69"/>
      <c r="PJM69"/>
      <c r="PJN69"/>
      <c r="PJO69"/>
      <c r="PJP69"/>
      <c r="PJQ69"/>
      <c r="PJR69"/>
      <c r="PJS69"/>
      <c r="PJT69"/>
      <c r="PJU69"/>
      <c r="PJV69"/>
      <c r="PJW69"/>
      <c r="PJX69"/>
      <c r="PJY69"/>
      <c r="PJZ69"/>
      <c r="PKA69"/>
      <c r="PKB69"/>
      <c r="PKC69"/>
      <c r="PKD69"/>
      <c r="PKE69"/>
      <c r="PKF69"/>
      <c r="PKG69"/>
      <c r="PKH69"/>
      <c r="PKI69"/>
      <c r="PKJ69"/>
      <c r="PKK69"/>
      <c r="PKL69"/>
      <c r="PKM69"/>
      <c r="PKN69"/>
      <c r="PKO69"/>
      <c r="PKP69"/>
      <c r="PKQ69"/>
      <c r="PKR69"/>
      <c r="PKS69"/>
      <c r="PKT69"/>
      <c r="PKU69"/>
      <c r="PKV69"/>
      <c r="PKW69"/>
      <c r="PKX69"/>
      <c r="PKY69"/>
      <c r="PKZ69"/>
      <c r="PLA69"/>
      <c r="PLB69"/>
      <c r="PLC69"/>
      <c r="PLD69"/>
      <c r="PLE69"/>
      <c r="PLF69"/>
      <c r="PLG69"/>
      <c r="PLH69"/>
      <c r="PLI69"/>
      <c r="PLJ69"/>
      <c r="PLK69"/>
      <c r="PLL69"/>
      <c r="PLM69"/>
      <c r="PLN69"/>
      <c r="PLO69"/>
      <c r="PLP69"/>
      <c r="PLQ69"/>
      <c r="PLR69"/>
      <c r="PLS69"/>
      <c r="PLT69"/>
      <c r="PLU69"/>
      <c r="PLV69"/>
      <c r="PLW69"/>
      <c r="PLX69"/>
      <c r="PLY69"/>
      <c r="PLZ69"/>
      <c r="PMA69"/>
      <c r="PMB69"/>
      <c r="PMC69"/>
      <c r="PMD69"/>
      <c r="PME69"/>
      <c r="PMF69"/>
      <c r="PMG69"/>
      <c r="PMH69"/>
      <c r="PMI69"/>
      <c r="PMJ69"/>
      <c r="PMK69"/>
      <c r="PML69"/>
      <c r="PMM69"/>
      <c r="PMN69"/>
      <c r="PMO69"/>
      <c r="PMP69"/>
      <c r="PMQ69"/>
      <c r="PMR69"/>
      <c r="PMS69"/>
      <c r="PMT69"/>
      <c r="PMU69"/>
      <c r="PMV69"/>
      <c r="PMW69"/>
      <c r="PMX69"/>
      <c r="PMY69"/>
      <c r="PMZ69"/>
      <c r="PNA69"/>
      <c r="PNB69"/>
      <c r="PNC69"/>
      <c r="PND69"/>
      <c r="PNE69"/>
      <c r="PNF69"/>
      <c r="PNG69"/>
      <c r="PNH69"/>
      <c r="PNI69"/>
      <c r="PNJ69"/>
      <c r="PNK69"/>
      <c r="PNL69"/>
      <c r="PNM69"/>
      <c r="PNN69"/>
      <c r="PNO69"/>
      <c r="PNP69"/>
      <c r="PNQ69"/>
      <c r="PNR69"/>
      <c r="PNS69"/>
      <c r="PNT69"/>
      <c r="PNU69"/>
      <c r="PNV69"/>
      <c r="PNW69"/>
      <c r="PNX69"/>
      <c r="PNY69"/>
      <c r="PNZ69"/>
      <c r="POA69"/>
      <c r="POB69"/>
      <c r="POC69"/>
      <c r="POD69"/>
      <c r="POE69"/>
      <c r="POF69"/>
      <c r="POG69"/>
      <c r="POH69"/>
      <c r="POI69"/>
      <c r="POJ69"/>
      <c r="POK69"/>
      <c r="POL69"/>
      <c r="POM69"/>
      <c r="PON69"/>
      <c r="POO69"/>
      <c r="POP69"/>
      <c r="POQ69"/>
      <c r="POR69"/>
      <c r="POS69"/>
      <c r="POT69"/>
      <c r="POU69"/>
      <c r="POV69"/>
      <c r="POW69"/>
      <c r="POX69"/>
      <c r="POY69"/>
      <c r="POZ69"/>
      <c r="PPA69"/>
      <c r="PPB69"/>
      <c r="PPC69"/>
      <c r="PPD69"/>
      <c r="PPE69"/>
      <c r="PPF69"/>
      <c r="PPG69"/>
      <c r="PPH69"/>
      <c r="PPI69"/>
      <c r="PPJ69"/>
      <c r="PPK69"/>
      <c r="PPL69"/>
      <c r="PPM69"/>
      <c r="PPN69"/>
      <c r="PPO69"/>
      <c r="PPP69"/>
      <c r="PPQ69"/>
      <c r="PPR69"/>
      <c r="PPS69"/>
      <c r="PPT69"/>
      <c r="PPU69"/>
      <c r="PPV69"/>
      <c r="PPW69"/>
      <c r="PPX69"/>
      <c r="PPY69"/>
      <c r="PPZ69"/>
      <c r="PQA69"/>
      <c r="PQB69"/>
      <c r="PQC69"/>
      <c r="PQD69"/>
      <c r="PQE69"/>
      <c r="PQF69"/>
      <c r="PQG69"/>
      <c r="PQH69"/>
      <c r="PQI69"/>
      <c r="PQJ69"/>
      <c r="PQK69"/>
      <c r="PQL69"/>
      <c r="PQM69"/>
      <c r="PQN69"/>
      <c r="PQO69"/>
      <c r="PQP69"/>
      <c r="PQQ69"/>
      <c r="PQR69"/>
      <c r="PQS69"/>
      <c r="PQT69"/>
      <c r="PQU69"/>
      <c r="PQV69"/>
      <c r="PQW69"/>
      <c r="PQX69"/>
      <c r="PQY69"/>
      <c r="PQZ69"/>
      <c r="PRA69"/>
      <c r="PRB69"/>
      <c r="PRC69"/>
      <c r="PRD69"/>
      <c r="PRE69"/>
      <c r="PRF69"/>
      <c r="PRG69"/>
      <c r="PRH69"/>
      <c r="PRI69"/>
      <c r="PRJ69"/>
      <c r="PRK69"/>
      <c r="PRL69"/>
      <c r="PRM69"/>
      <c r="PRN69"/>
      <c r="PRO69"/>
      <c r="PRP69"/>
      <c r="PRQ69"/>
      <c r="PRR69"/>
      <c r="PRS69"/>
      <c r="PRT69"/>
      <c r="PRU69"/>
      <c r="PRV69"/>
      <c r="PRW69"/>
      <c r="PRX69"/>
      <c r="PRY69"/>
      <c r="PRZ69"/>
      <c r="PSA69"/>
      <c r="PSB69"/>
      <c r="PSC69"/>
      <c r="PSD69"/>
      <c r="PSE69"/>
      <c r="PSF69"/>
      <c r="PSG69"/>
      <c r="PSH69"/>
      <c r="PSI69"/>
      <c r="PSJ69"/>
      <c r="PSK69"/>
      <c r="PSL69"/>
      <c r="PSM69"/>
      <c r="PSN69"/>
      <c r="PSO69"/>
      <c r="PSP69"/>
      <c r="PSQ69"/>
      <c r="PSR69"/>
      <c r="PSS69"/>
      <c r="PST69"/>
      <c r="PSU69"/>
      <c r="PSV69"/>
      <c r="PSW69"/>
      <c r="PSX69"/>
      <c r="PSY69"/>
      <c r="PSZ69"/>
      <c r="PTA69"/>
      <c r="PTB69"/>
      <c r="PTC69"/>
      <c r="PTD69"/>
      <c r="PTE69"/>
      <c r="PTF69"/>
      <c r="PTG69"/>
      <c r="PTH69"/>
      <c r="PTI69"/>
      <c r="PTJ69"/>
      <c r="PTK69"/>
      <c r="PTL69"/>
      <c r="PTM69"/>
      <c r="PTN69"/>
      <c r="PTO69"/>
      <c r="PTP69"/>
      <c r="PTQ69"/>
      <c r="PTR69"/>
      <c r="PTS69"/>
      <c r="PTT69"/>
      <c r="PTU69"/>
      <c r="PTV69"/>
      <c r="PTW69"/>
      <c r="PTX69"/>
      <c r="PTY69"/>
      <c r="PTZ69"/>
      <c r="PUA69"/>
      <c r="PUB69"/>
      <c r="PUC69"/>
      <c r="PUD69"/>
      <c r="PUE69"/>
      <c r="PUF69"/>
      <c r="PUG69"/>
      <c r="PUH69"/>
      <c r="PUI69"/>
      <c r="PUJ69"/>
      <c r="PUK69"/>
      <c r="PUL69"/>
      <c r="PUM69"/>
      <c r="PUN69"/>
      <c r="PUO69"/>
      <c r="PUP69"/>
      <c r="PUQ69"/>
      <c r="PUR69"/>
      <c r="PUS69"/>
      <c r="PUT69"/>
      <c r="PUU69"/>
      <c r="PUV69"/>
      <c r="PUW69"/>
      <c r="PUX69"/>
      <c r="PUY69"/>
      <c r="PUZ69"/>
      <c r="PVA69"/>
      <c r="PVB69"/>
      <c r="PVC69"/>
      <c r="PVD69"/>
      <c r="PVE69"/>
      <c r="PVF69"/>
      <c r="PVG69"/>
      <c r="PVH69"/>
      <c r="PVI69"/>
      <c r="PVJ69"/>
      <c r="PVK69"/>
      <c r="PVL69"/>
      <c r="PVM69"/>
      <c r="PVN69"/>
      <c r="PVO69"/>
      <c r="PVP69"/>
      <c r="PVQ69"/>
      <c r="PVR69"/>
      <c r="PVS69"/>
      <c r="PVT69"/>
      <c r="PVU69"/>
      <c r="PVV69"/>
      <c r="PVW69"/>
      <c r="PVX69"/>
      <c r="PVY69"/>
      <c r="PVZ69"/>
      <c r="PWA69"/>
      <c r="PWB69"/>
      <c r="PWC69"/>
      <c r="PWD69"/>
      <c r="PWE69"/>
      <c r="PWF69"/>
      <c r="PWG69"/>
      <c r="PWH69"/>
      <c r="PWI69"/>
      <c r="PWJ69"/>
      <c r="PWK69"/>
      <c r="PWL69"/>
      <c r="PWM69"/>
      <c r="PWN69"/>
      <c r="PWO69"/>
      <c r="PWP69"/>
      <c r="PWQ69"/>
      <c r="PWR69"/>
      <c r="PWS69"/>
      <c r="PWT69"/>
      <c r="PWU69"/>
      <c r="PWV69"/>
      <c r="PWW69"/>
      <c r="PWX69"/>
      <c r="PWY69"/>
      <c r="PWZ69"/>
      <c r="PXA69"/>
      <c r="PXB69"/>
      <c r="PXC69"/>
      <c r="PXD69"/>
      <c r="PXE69"/>
      <c r="PXF69"/>
      <c r="PXG69"/>
      <c r="PXH69"/>
      <c r="PXI69"/>
      <c r="PXJ69"/>
      <c r="PXK69"/>
      <c r="PXL69"/>
      <c r="PXM69"/>
      <c r="PXN69"/>
      <c r="PXO69"/>
      <c r="PXP69"/>
      <c r="PXQ69"/>
      <c r="PXR69"/>
      <c r="PXS69"/>
      <c r="PXT69"/>
      <c r="PXU69"/>
      <c r="PXV69"/>
      <c r="PXW69"/>
      <c r="PXX69"/>
      <c r="PXY69"/>
      <c r="PXZ69"/>
      <c r="PYA69"/>
      <c r="PYB69"/>
      <c r="PYC69"/>
      <c r="PYD69"/>
      <c r="PYE69"/>
      <c r="PYF69"/>
      <c r="PYG69"/>
      <c r="PYH69"/>
      <c r="PYI69"/>
      <c r="PYJ69"/>
      <c r="PYK69"/>
      <c r="PYL69"/>
      <c r="PYM69"/>
      <c r="PYN69"/>
      <c r="PYO69"/>
      <c r="PYP69"/>
      <c r="PYQ69"/>
      <c r="PYR69"/>
      <c r="PYS69"/>
      <c r="PYT69"/>
      <c r="PYU69"/>
      <c r="PYV69"/>
      <c r="PYW69"/>
      <c r="PYX69"/>
      <c r="PYY69"/>
      <c r="PYZ69"/>
      <c r="PZA69"/>
      <c r="PZB69"/>
      <c r="PZC69"/>
      <c r="PZD69"/>
      <c r="PZE69"/>
      <c r="PZF69"/>
      <c r="PZG69"/>
      <c r="PZH69"/>
      <c r="PZI69"/>
      <c r="PZJ69"/>
      <c r="PZK69"/>
      <c r="PZL69"/>
      <c r="PZM69"/>
      <c r="PZN69"/>
      <c r="PZO69"/>
      <c r="PZP69"/>
      <c r="PZQ69"/>
      <c r="PZR69"/>
      <c r="PZS69"/>
      <c r="PZT69"/>
      <c r="PZU69"/>
      <c r="PZV69"/>
      <c r="PZW69"/>
      <c r="PZX69"/>
      <c r="PZY69"/>
      <c r="PZZ69"/>
      <c r="QAA69"/>
      <c r="QAB69"/>
      <c r="QAC69"/>
      <c r="QAD69"/>
      <c r="QAE69"/>
      <c r="QAF69"/>
      <c r="QAG69"/>
      <c r="QAH69"/>
      <c r="QAI69"/>
      <c r="QAJ69"/>
      <c r="QAK69"/>
      <c r="QAL69"/>
      <c r="QAM69"/>
      <c r="QAN69"/>
      <c r="QAO69"/>
      <c r="QAP69"/>
      <c r="QAQ69"/>
      <c r="QAR69"/>
      <c r="QAS69"/>
      <c r="QAT69"/>
      <c r="QAU69"/>
      <c r="QAV69"/>
      <c r="QAW69"/>
      <c r="QAX69"/>
      <c r="QAY69"/>
      <c r="QAZ69"/>
      <c r="QBA69"/>
      <c r="QBB69"/>
      <c r="QBC69"/>
      <c r="QBD69"/>
      <c r="QBE69"/>
      <c r="QBF69"/>
      <c r="QBG69"/>
      <c r="QBH69"/>
      <c r="QBI69"/>
      <c r="QBJ69"/>
      <c r="QBK69"/>
      <c r="QBL69"/>
      <c r="QBM69"/>
      <c r="QBN69"/>
      <c r="QBO69"/>
      <c r="QBP69"/>
      <c r="QBQ69"/>
      <c r="QBR69"/>
      <c r="QBS69"/>
      <c r="QBT69"/>
      <c r="QBU69"/>
      <c r="QBV69"/>
      <c r="QBW69"/>
      <c r="QBX69"/>
      <c r="QBY69"/>
      <c r="QBZ69"/>
      <c r="QCA69"/>
      <c r="QCB69"/>
      <c r="QCC69"/>
      <c r="QCD69"/>
      <c r="QCE69"/>
      <c r="QCF69"/>
      <c r="QCG69"/>
      <c r="QCH69"/>
      <c r="QCI69"/>
      <c r="QCJ69"/>
      <c r="QCK69"/>
      <c r="QCL69"/>
      <c r="QCM69"/>
      <c r="QCN69"/>
      <c r="QCO69"/>
      <c r="QCP69"/>
      <c r="QCQ69"/>
      <c r="QCR69"/>
      <c r="QCS69"/>
      <c r="QCT69"/>
      <c r="QCU69"/>
      <c r="QCV69"/>
      <c r="QCW69"/>
      <c r="QCX69"/>
      <c r="QCY69"/>
      <c r="QCZ69"/>
      <c r="QDA69"/>
      <c r="QDB69"/>
      <c r="QDC69"/>
      <c r="QDD69"/>
      <c r="QDE69"/>
      <c r="QDF69"/>
      <c r="QDG69"/>
      <c r="QDH69"/>
      <c r="QDI69"/>
      <c r="QDJ69"/>
      <c r="QDK69"/>
      <c r="QDL69"/>
      <c r="QDM69"/>
      <c r="QDN69"/>
      <c r="QDO69"/>
      <c r="QDP69"/>
      <c r="QDQ69"/>
      <c r="QDR69"/>
      <c r="QDS69"/>
      <c r="QDT69"/>
      <c r="QDU69"/>
      <c r="QDV69"/>
      <c r="QDW69"/>
      <c r="QDX69"/>
      <c r="QDY69"/>
      <c r="QDZ69"/>
      <c r="QEA69"/>
      <c r="QEB69"/>
      <c r="QEC69"/>
      <c r="QED69"/>
      <c r="QEE69"/>
      <c r="QEF69"/>
      <c r="QEG69"/>
      <c r="QEH69"/>
      <c r="QEI69"/>
      <c r="QEJ69"/>
      <c r="QEK69"/>
      <c r="QEL69"/>
      <c r="QEM69"/>
      <c r="QEN69"/>
      <c r="QEO69"/>
      <c r="QEP69"/>
      <c r="QEQ69"/>
      <c r="QER69"/>
      <c r="QES69"/>
      <c r="QET69"/>
      <c r="QEU69"/>
      <c r="QEV69"/>
      <c r="QEW69"/>
      <c r="QEX69"/>
      <c r="QEY69"/>
      <c r="QEZ69"/>
      <c r="QFA69"/>
      <c r="QFB69"/>
      <c r="QFC69"/>
      <c r="QFD69"/>
      <c r="QFE69"/>
      <c r="QFF69"/>
      <c r="QFG69"/>
      <c r="QFH69"/>
      <c r="QFI69"/>
      <c r="QFJ69"/>
      <c r="QFK69"/>
      <c r="QFL69"/>
      <c r="QFM69"/>
      <c r="QFN69"/>
      <c r="QFO69"/>
      <c r="QFP69"/>
      <c r="QFQ69"/>
      <c r="QFR69"/>
      <c r="QFS69"/>
      <c r="QFT69"/>
      <c r="QFU69"/>
      <c r="QFV69"/>
      <c r="QFW69"/>
      <c r="QFX69"/>
      <c r="QFY69"/>
      <c r="QFZ69"/>
      <c r="QGA69"/>
      <c r="QGB69"/>
      <c r="QGC69"/>
      <c r="QGD69"/>
      <c r="QGE69"/>
      <c r="QGF69"/>
      <c r="QGG69"/>
      <c r="QGH69"/>
      <c r="QGI69"/>
      <c r="QGJ69"/>
      <c r="QGK69"/>
      <c r="QGL69"/>
      <c r="QGM69"/>
      <c r="QGN69"/>
      <c r="QGO69"/>
      <c r="QGP69"/>
      <c r="QGQ69"/>
      <c r="QGR69"/>
      <c r="QGS69"/>
      <c r="QGT69"/>
      <c r="QGU69"/>
      <c r="QGV69"/>
      <c r="QGW69"/>
      <c r="QGX69"/>
      <c r="QGY69"/>
      <c r="QGZ69"/>
      <c r="QHA69"/>
      <c r="QHB69"/>
      <c r="QHC69"/>
      <c r="QHD69"/>
      <c r="QHE69"/>
      <c r="QHF69"/>
      <c r="QHG69"/>
      <c r="QHH69"/>
      <c r="QHI69"/>
      <c r="QHJ69"/>
      <c r="QHK69"/>
      <c r="QHL69"/>
      <c r="QHM69"/>
      <c r="QHN69"/>
      <c r="QHO69"/>
      <c r="QHP69"/>
      <c r="QHQ69"/>
      <c r="QHR69"/>
      <c r="QHS69"/>
      <c r="QHT69"/>
      <c r="QHU69"/>
      <c r="QHV69"/>
      <c r="QHW69"/>
      <c r="QHX69"/>
      <c r="QHY69"/>
      <c r="QHZ69"/>
      <c r="QIA69"/>
      <c r="QIB69"/>
      <c r="QIC69"/>
      <c r="QID69"/>
      <c r="QIE69"/>
      <c r="QIF69"/>
      <c r="QIG69"/>
      <c r="QIH69"/>
      <c r="QII69"/>
      <c r="QIJ69"/>
      <c r="QIK69"/>
      <c r="QIL69"/>
      <c r="QIM69"/>
      <c r="QIN69"/>
      <c r="QIO69"/>
      <c r="QIP69"/>
      <c r="QIQ69"/>
      <c r="QIR69"/>
      <c r="QIS69"/>
      <c r="QIT69"/>
      <c r="QIU69"/>
      <c r="QIV69"/>
      <c r="QIW69"/>
      <c r="QIX69"/>
      <c r="QIY69"/>
      <c r="QIZ69"/>
      <c r="QJA69"/>
      <c r="QJB69"/>
      <c r="QJC69"/>
      <c r="QJD69"/>
      <c r="QJE69"/>
      <c r="QJF69"/>
      <c r="QJG69"/>
      <c r="QJH69"/>
      <c r="QJI69"/>
      <c r="QJJ69"/>
      <c r="QJK69"/>
      <c r="QJL69"/>
      <c r="QJM69"/>
      <c r="QJN69"/>
      <c r="QJO69"/>
      <c r="QJP69"/>
      <c r="QJQ69"/>
      <c r="QJR69"/>
      <c r="QJS69"/>
      <c r="QJT69"/>
      <c r="QJU69"/>
      <c r="QJV69"/>
      <c r="QJW69"/>
      <c r="QJX69"/>
      <c r="QJY69"/>
      <c r="QJZ69"/>
      <c r="QKA69"/>
      <c r="QKB69"/>
      <c r="QKC69"/>
      <c r="QKD69"/>
      <c r="QKE69"/>
      <c r="QKF69"/>
      <c r="QKG69"/>
      <c r="QKH69"/>
      <c r="QKI69"/>
      <c r="QKJ69"/>
      <c r="QKK69"/>
      <c r="QKL69"/>
      <c r="QKM69"/>
      <c r="QKN69"/>
      <c r="QKO69"/>
      <c r="QKP69"/>
      <c r="QKQ69"/>
      <c r="QKR69"/>
      <c r="QKS69"/>
      <c r="QKT69"/>
      <c r="QKU69"/>
      <c r="QKV69"/>
      <c r="QKW69"/>
      <c r="QKX69"/>
      <c r="QKY69"/>
      <c r="QKZ69"/>
      <c r="QLA69"/>
      <c r="QLB69"/>
      <c r="QLC69"/>
      <c r="QLD69"/>
      <c r="QLE69"/>
      <c r="QLF69"/>
      <c r="QLG69"/>
      <c r="QLH69"/>
      <c r="QLI69"/>
      <c r="QLJ69"/>
      <c r="QLK69"/>
      <c r="QLL69"/>
      <c r="QLM69"/>
      <c r="QLN69"/>
      <c r="QLO69"/>
      <c r="QLP69"/>
      <c r="QLQ69"/>
      <c r="QLR69"/>
      <c r="QLS69"/>
      <c r="QLT69"/>
      <c r="QLU69"/>
      <c r="QLV69"/>
      <c r="QLW69"/>
      <c r="QLX69"/>
      <c r="QLY69"/>
      <c r="QLZ69"/>
      <c r="QMA69"/>
      <c r="QMB69"/>
      <c r="QMC69"/>
      <c r="QMD69"/>
      <c r="QME69"/>
      <c r="QMF69"/>
      <c r="QMG69"/>
      <c r="QMH69"/>
      <c r="QMI69"/>
      <c r="QMJ69"/>
      <c r="QMK69"/>
      <c r="QML69"/>
      <c r="QMM69"/>
      <c r="QMN69"/>
      <c r="QMO69"/>
      <c r="QMP69"/>
      <c r="QMQ69"/>
      <c r="QMR69"/>
      <c r="QMS69"/>
      <c r="QMT69"/>
      <c r="QMU69"/>
      <c r="QMV69"/>
      <c r="QMW69"/>
      <c r="QMX69"/>
      <c r="QMY69"/>
      <c r="QMZ69"/>
      <c r="QNA69"/>
      <c r="QNB69"/>
      <c r="QNC69"/>
      <c r="QND69"/>
      <c r="QNE69"/>
      <c r="QNF69"/>
      <c r="QNG69"/>
      <c r="QNH69"/>
      <c r="QNI69"/>
      <c r="QNJ69"/>
      <c r="QNK69"/>
      <c r="QNL69"/>
      <c r="QNM69"/>
      <c r="QNN69"/>
      <c r="QNO69"/>
      <c r="QNP69"/>
      <c r="QNQ69"/>
      <c r="QNR69"/>
      <c r="QNS69"/>
      <c r="QNT69"/>
      <c r="QNU69"/>
      <c r="QNV69"/>
      <c r="QNW69"/>
      <c r="QNX69"/>
      <c r="QNY69"/>
      <c r="QNZ69"/>
      <c r="QOA69"/>
      <c r="QOB69"/>
      <c r="QOC69"/>
      <c r="QOD69"/>
      <c r="QOE69"/>
      <c r="QOF69"/>
      <c r="QOG69"/>
      <c r="QOH69"/>
      <c r="QOI69"/>
      <c r="QOJ69"/>
      <c r="QOK69"/>
      <c r="QOL69"/>
      <c r="QOM69"/>
      <c r="QON69"/>
      <c r="QOO69"/>
      <c r="QOP69"/>
      <c r="QOQ69"/>
      <c r="QOR69"/>
      <c r="QOS69"/>
      <c r="QOT69"/>
      <c r="QOU69"/>
      <c r="QOV69"/>
      <c r="QOW69"/>
      <c r="QOX69"/>
      <c r="QOY69"/>
      <c r="QOZ69"/>
      <c r="QPA69"/>
      <c r="QPB69"/>
      <c r="QPC69"/>
      <c r="QPD69"/>
      <c r="QPE69"/>
      <c r="QPF69"/>
      <c r="QPG69"/>
      <c r="QPH69"/>
      <c r="QPI69"/>
      <c r="QPJ69"/>
      <c r="QPK69"/>
      <c r="QPL69"/>
      <c r="QPM69"/>
      <c r="QPN69"/>
      <c r="QPO69"/>
      <c r="QPP69"/>
      <c r="QPQ69"/>
      <c r="QPR69"/>
      <c r="QPS69"/>
      <c r="QPT69"/>
      <c r="QPU69"/>
      <c r="QPV69"/>
      <c r="QPW69"/>
      <c r="QPX69"/>
      <c r="QPY69"/>
      <c r="QPZ69"/>
      <c r="QQA69"/>
      <c r="QQB69"/>
      <c r="QQC69"/>
      <c r="QQD69"/>
      <c r="QQE69"/>
      <c r="QQF69"/>
      <c r="QQG69"/>
      <c r="QQH69"/>
      <c r="QQI69"/>
      <c r="QQJ69"/>
      <c r="QQK69"/>
      <c r="QQL69"/>
      <c r="QQM69"/>
      <c r="QQN69"/>
      <c r="QQO69"/>
      <c r="QQP69"/>
      <c r="QQQ69"/>
      <c r="QQR69"/>
      <c r="QQS69"/>
      <c r="QQT69"/>
      <c r="QQU69"/>
      <c r="QQV69"/>
      <c r="QQW69"/>
      <c r="QQX69"/>
      <c r="QQY69"/>
      <c r="QQZ69"/>
      <c r="QRA69"/>
      <c r="QRB69"/>
      <c r="QRC69"/>
      <c r="QRD69"/>
      <c r="QRE69"/>
      <c r="QRF69"/>
      <c r="QRG69"/>
      <c r="QRH69"/>
      <c r="QRI69"/>
      <c r="QRJ69"/>
      <c r="QRK69"/>
      <c r="QRL69"/>
      <c r="QRM69"/>
      <c r="QRN69"/>
      <c r="QRO69"/>
      <c r="QRP69"/>
      <c r="QRQ69"/>
      <c r="QRR69"/>
      <c r="QRS69"/>
      <c r="QRT69"/>
      <c r="QRU69"/>
      <c r="QRV69"/>
      <c r="QRW69"/>
      <c r="QRX69"/>
      <c r="QRY69"/>
      <c r="QRZ69"/>
      <c r="QSA69"/>
      <c r="QSB69"/>
      <c r="QSC69"/>
      <c r="QSD69"/>
      <c r="QSE69"/>
      <c r="QSF69"/>
      <c r="QSG69"/>
      <c r="QSH69"/>
      <c r="QSI69"/>
      <c r="QSJ69"/>
      <c r="QSK69"/>
      <c r="QSL69"/>
      <c r="QSM69"/>
      <c r="QSN69"/>
      <c r="QSO69"/>
      <c r="QSP69"/>
      <c r="QSQ69"/>
      <c r="QSR69"/>
      <c r="QSS69"/>
      <c r="QST69"/>
      <c r="QSU69"/>
      <c r="QSV69"/>
      <c r="QSW69"/>
      <c r="QSX69"/>
      <c r="QSY69"/>
      <c r="QSZ69"/>
      <c r="QTA69"/>
      <c r="QTB69"/>
      <c r="QTC69"/>
      <c r="QTD69"/>
      <c r="QTE69"/>
      <c r="QTF69"/>
      <c r="QTG69"/>
      <c r="QTH69"/>
      <c r="QTI69"/>
      <c r="QTJ69"/>
      <c r="QTK69"/>
      <c r="QTL69"/>
      <c r="QTM69"/>
      <c r="QTN69"/>
      <c r="QTO69"/>
      <c r="QTP69"/>
      <c r="QTQ69"/>
      <c r="QTR69"/>
      <c r="QTS69"/>
      <c r="QTT69"/>
      <c r="QTU69"/>
      <c r="QTV69"/>
      <c r="QTW69"/>
      <c r="QTX69"/>
      <c r="QTY69"/>
      <c r="QTZ69"/>
      <c r="QUA69"/>
      <c r="QUB69"/>
      <c r="QUC69"/>
      <c r="QUD69"/>
      <c r="QUE69"/>
      <c r="QUF69"/>
      <c r="QUG69"/>
      <c r="QUH69"/>
      <c r="QUI69"/>
      <c r="QUJ69"/>
      <c r="QUK69"/>
      <c r="QUL69"/>
      <c r="QUM69"/>
      <c r="QUN69"/>
      <c r="QUO69"/>
      <c r="QUP69"/>
      <c r="QUQ69"/>
      <c r="QUR69"/>
      <c r="QUS69"/>
      <c r="QUT69"/>
      <c r="QUU69"/>
      <c r="QUV69"/>
      <c r="QUW69"/>
      <c r="QUX69"/>
      <c r="QUY69"/>
      <c r="QUZ69"/>
      <c r="QVA69"/>
      <c r="QVB69"/>
      <c r="QVC69"/>
      <c r="QVD69"/>
      <c r="QVE69"/>
      <c r="QVF69"/>
      <c r="QVG69"/>
      <c r="QVH69"/>
      <c r="QVI69"/>
      <c r="QVJ69"/>
      <c r="QVK69"/>
      <c r="QVL69"/>
      <c r="QVM69"/>
      <c r="QVN69"/>
      <c r="QVO69"/>
      <c r="QVP69"/>
      <c r="QVQ69"/>
      <c r="QVR69"/>
      <c r="QVS69"/>
      <c r="QVT69"/>
      <c r="QVU69"/>
      <c r="QVV69"/>
      <c r="QVW69"/>
      <c r="QVX69"/>
      <c r="QVY69"/>
      <c r="QVZ69"/>
      <c r="QWA69"/>
      <c r="QWB69"/>
      <c r="QWC69"/>
      <c r="QWD69"/>
      <c r="QWE69"/>
      <c r="QWF69"/>
      <c r="QWG69"/>
      <c r="QWH69"/>
      <c r="QWI69"/>
      <c r="QWJ69"/>
      <c r="QWK69"/>
      <c r="QWL69"/>
      <c r="QWM69"/>
      <c r="QWN69"/>
      <c r="QWO69"/>
      <c r="QWP69"/>
      <c r="QWQ69"/>
      <c r="QWR69"/>
      <c r="QWS69"/>
      <c r="QWT69"/>
      <c r="QWU69"/>
      <c r="QWV69"/>
      <c r="QWW69"/>
      <c r="QWX69"/>
      <c r="QWY69"/>
      <c r="QWZ69"/>
      <c r="QXA69"/>
      <c r="QXB69"/>
      <c r="QXC69"/>
      <c r="QXD69"/>
      <c r="QXE69"/>
      <c r="QXF69"/>
      <c r="QXG69"/>
      <c r="QXH69"/>
      <c r="QXI69"/>
      <c r="QXJ69"/>
      <c r="QXK69"/>
      <c r="QXL69"/>
      <c r="QXM69"/>
      <c r="QXN69"/>
      <c r="QXO69"/>
      <c r="QXP69"/>
      <c r="QXQ69"/>
      <c r="QXR69"/>
      <c r="QXS69"/>
      <c r="QXT69"/>
      <c r="QXU69"/>
      <c r="QXV69"/>
      <c r="QXW69"/>
      <c r="QXX69"/>
      <c r="QXY69"/>
      <c r="QXZ69"/>
      <c r="QYA69"/>
      <c r="QYB69"/>
      <c r="QYC69"/>
      <c r="QYD69"/>
      <c r="QYE69"/>
      <c r="QYF69"/>
      <c r="QYG69"/>
      <c r="QYH69"/>
      <c r="QYI69"/>
      <c r="QYJ69"/>
      <c r="QYK69"/>
      <c r="QYL69"/>
      <c r="QYM69"/>
      <c r="QYN69"/>
      <c r="QYO69"/>
      <c r="QYP69"/>
      <c r="QYQ69"/>
      <c r="QYR69"/>
      <c r="QYS69"/>
      <c r="QYT69"/>
      <c r="QYU69"/>
      <c r="QYV69"/>
      <c r="QYW69"/>
      <c r="QYX69"/>
      <c r="QYY69"/>
      <c r="QYZ69"/>
      <c r="QZA69"/>
      <c r="QZB69"/>
      <c r="QZC69"/>
      <c r="QZD69"/>
      <c r="QZE69"/>
      <c r="QZF69"/>
      <c r="QZG69"/>
      <c r="QZH69"/>
      <c r="QZI69"/>
      <c r="QZJ69"/>
      <c r="QZK69"/>
      <c r="QZL69"/>
      <c r="QZM69"/>
      <c r="QZN69"/>
      <c r="QZO69"/>
      <c r="QZP69"/>
      <c r="QZQ69"/>
      <c r="QZR69"/>
      <c r="QZS69"/>
      <c r="QZT69"/>
      <c r="QZU69"/>
      <c r="QZV69"/>
      <c r="QZW69"/>
      <c r="QZX69"/>
      <c r="QZY69"/>
      <c r="QZZ69"/>
      <c r="RAA69"/>
      <c r="RAB69"/>
      <c r="RAC69"/>
      <c r="RAD69"/>
      <c r="RAE69"/>
      <c r="RAF69"/>
      <c r="RAG69"/>
      <c r="RAH69"/>
      <c r="RAI69"/>
      <c r="RAJ69"/>
      <c r="RAK69"/>
      <c r="RAL69"/>
      <c r="RAM69"/>
      <c r="RAN69"/>
      <c r="RAO69"/>
      <c r="RAP69"/>
      <c r="RAQ69"/>
      <c r="RAR69"/>
      <c r="RAS69"/>
      <c r="RAT69"/>
      <c r="RAU69"/>
      <c r="RAV69"/>
      <c r="RAW69"/>
      <c r="RAX69"/>
      <c r="RAY69"/>
      <c r="RAZ69"/>
      <c r="RBA69"/>
      <c r="RBB69"/>
      <c r="RBC69"/>
      <c r="RBD69"/>
      <c r="RBE69"/>
      <c r="RBF69"/>
      <c r="RBG69"/>
      <c r="RBH69"/>
      <c r="RBI69"/>
      <c r="RBJ69"/>
      <c r="RBK69"/>
      <c r="RBL69"/>
      <c r="RBM69"/>
      <c r="RBN69"/>
      <c r="RBO69"/>
      <c r="RBP69"/>
      <c r="RBQ69"/>
      <c r="RBR69"/>
      <c r="RBS69"/>
      <c r="RBT69"/>
      <c r="RBU69"/>
      <c r="RBV69"/>
      <c r="RBW69"/>
      <c r="RBX69"/>
      <c r="RBY69"/>
      <c r="RBZ69"/>
      <c r="RCA69"/>
      <c r="RCB69"/>
      <c r="RCC69"/>
      <c r="RCD69"/>
      <c r="RCE69"/>
      <c r="RCF69"/>
      <c r="RCG69"/>
      <c r="RCH69"/>
      <c r="RCI69"/>
      <c r="RCJ69"/>
      <c r="RCK69"/>
      <c r="RCL69"/>
      <c r="RCM69"/>
      <c r="RCN69"/>
      <c r="RCO69"/>
      <c r="RCP69"/>
      <c r="RCQ69"/>
      <c r="RCR69"/>
      <c r="RCS69"/>
      <c r="RCT69"/>
      <c r="RCU69"/>
      <c r="RCV69"/>
      <c r="RCW69"/>
      <c r="RCX69"/>
      <c r="RCY69"/>
      <c r="RCZ69"/>
      <c r="RDA69"/>
      <c r="RDB69"/>
      <c r="RDC69"/>
      <c r="RDD69"/>
      <c r="RDE69"/>
      <c r="RDF69"/>
      <c r="RDG69"/>
      <c r="RDH69"/>
      <c r="RDI69"/>
      <c r="RDJ69"/>
      <c r="RDK69"/>
      <c r="RDL69"/>
      <c r="RDM69"/>
      <c r="RDN69"/>
      <c r="RDO69"/>
      <c r="RDP69"/>
      <c r="RDQ69"/>
      <c r="RDR69"/>
      <c r="RDS69"/>
      <c r="RDT69"/>
      <c r="RDU69"/>
      <c r="RDV69"/>
      <c r="RDW69"/>
      <c r="RDX69"/>
      <c r="RDY69"/>
      <c r="RDZ69"/>
      <c r="REA69"/>
      <c r="REB69"/>
      <c r="REC69"/>
      <c r="RED69"/>
      <c r="REE69"/>
      <c r="REF69"/>
      <c r="REG69"/>
      <c r="REH69"/>
      <c r="REI69"/>
      <c r="REJ69"/>
      <c r="REK69"/>
      <c r="REL69"/>
      <c r="REM69"/>
      <c r="REN69"/>
      <c r="REO69"/>
      <c r="REP69"/>
      <c r="REQ69"/>
      <c r="RER69"/>
      <c r="RES69"/>
      <c r="RET69"/>
      <c r="REU69"/>
      <c r="REV69"/>
      <c r="REW69"/>
      <c r="REX69"/>
      <c r="REY69"/>
      <c r="REZ69"/>
      <c r="RFA69"/>
      <c r="RFB69"/>
      <c r="RFC69"/>
      <c r="RFD69"/>
      <c r="RFE69"/>
      <c r="RFF69"/>
      <c r="RFG69"/>
      <c r="RFH69"/>
      <c r="RFI69"/>
      <c r="RFJ69"/>
      <c r="RFK69"/>
      <c r="RFL69"/>
      <c r="RFM69"/>
      <c r="RFN69"/>
      <c r="RFO69"/>
      <c r="RFP69"/>
      <c r="RFQ69"/>
      <c r="RFR69"/>
      <c r="RFS69"/>
      <c r="RFT69"/>
      <c r="RFU69"/>
      <c r="RFV69"/>
      <c r="RFW69"/>
      <c r="RFX69"/>
      <c r="RFY69"/>
      <c r="RFZ69"/>
      <c r="RGA69"/>
      <c r="RGB69"/>
      <c r="RGC69"/>
      <c r="RGD69"/>
      <c r="RGE69"/>
      <c r="RGF69"/>
      <c r="RGG69"/>
      <c r="RGH69"/>
      <c r="RGI69"/>
      <c r="RGJ69"/>
      <c r="RGK69"/>
      <c r="RGL69"/>
      <c r="RGM69"/>
      <c r="RGN69"/>
      <c r="RGO69"/>
      <c r="RGP69"/>
      <c r="RGQ69"/>
      <c r="RGR69"/>
      <c r="RGS69"/>
      <c r="RGT69"/>
      <c r="RGU69"/>
      <c r="RGV69"/>
      <c r="RGW69"/>
      <c r="RGX69"/>
      <c r="RGY69"/>
      <c r="RGZ69"/>
      <c r="RHA69"/>
      <c r="RHB69"/>
      <c r="RHC69"/>
      <c r="RHD69"/>
      <c r="RHE69"/>
      <c r="RHF69"/>
      <c r="RHG69"/>
      <c r="RHH69"/>
      <c r="RHI69"/>
      <c r="RHJ69"/>
      <c r="RHK69"/>
      <c r="RHL69"/>
      <c r="RHM69"/>
      <c r="RHN69"/>
      <c r="RHO69"/>
      <c r="RHP69"/>
      <c r="RHQ69"/>
      <c r="RHR69"/>
      <c r="RHS69"/>
      <c r="RHT69"/>
      <c r="RHU69"/>
      <c r="RHV69"/>
      <c r="RHW69"/>
      <c r="RHX69"/>
      <c r="RHY69"/>
      <c r="RHZ69"/>
      <c r="RIA69"/>
      <c r="RIB69"/>
      <c r="RIC69"/>
      <c r="RID69"/>
      <c r="RIE69"/>
      <c r="RIF69"/>
      <c r="RIG69"/>
      <c r="RIH69"/>
      <c r="RII69"/>
      <c r="RIJ69"/>
      <c r="RIK69"/>
      <c r="RIL69"/>
      <c r="RIM69"/>
      <c r="RIN69"/>
      <c r="RIO69"/>
      <c r="RIP69"/>
      <c r="RIQ69"/>
      <c r="RIR69"/>
      <c r="RIS69"/>
      <c r="RIT69"/>
      <c r="RIU69"/>
      <c r="RIV69"/>
      <c r="RIW69"/>
      <c r="RIX69"/>
      <c r="RIY69"/>
      <c r="RIZ69"/>
      <c r="RJA69"/>
      <c r="RJB69"/>
      <c r="RJC69"/>
      <c r="RJD69"/>
      <c r="RJE69"/>
      <c r="RJF69"/>
      <c r="RJG69"/>
      <c r="RJH69"/>
      <c r="RJI69"/>
      <c r="RJJ69"/>
      <c r="RJK69"/>
      <c r="RJL69"/>
      <c r="RJM69"/>
      <c r="RJN69"/>
      <c r="RJO69"/>
      <c r="RJP69"/>
      <c r="RJQ69"/>
      <c r="RJR69"/>
      <c r="RJS69"/>
      <c r="RJT69"/>
      <c r="RJU69"/>
      <c r="RJV69"/>
      <c r="RJW69"/>
      <c r="RJX69"/>
      <c r="RJY69"/>
      <c r="RJZ69"/>
      <c r="RKA69"/>
      <c r="RKB69"/>
      <c r="RKC69"/>
      <c r="RKD69"/>
      <c r="RKE69"/>
      <c r="RKF69"/>
      <c r="RKG69"/>
      <c r="RKH69"/>
      <c r="RKI69"/>
      <c r="RKJ69"/>
      <c r="RKK69"/>
      <c r="RKL69"/>
      <c r="RKM69"/>
      <c r="RKN69"/>
      <c r="RKO69"/>
      <c r="RKP69"/>
      <c r="RKQ69"/>
      <c r="RKR69"/>
      <c r="RKS69"/>
      <c r="RKT69"/>
      <c r="RKU69"/>
      <c r="RKV69"/>
      <c r="RKW69"/>
      <c r="RKX69"/>
      <c r="RKY69"/>
      <c r="RKZ69"/>
      <c r="RLA69"/>
      <c r="RLB69"/>
      <c r="RLC69"/>
      <c r="RLD69"/>
      <c r="RLE69"/>
      <c r="RLF69"/>
      <c r="RLG69"/>
      <c r="RLH69"/>
      <c r="RLI69"/>
      <c r="RLJ69"/>
      <c r="RLK69"/>
      <c r="RLL69"/>
      <c r="RLM69"/>
      <c r="RLN69"/>
      <c r="RLO69"/>
      <c r="RLP69"/>
      <c r="RLQ69"/>
      <c r="RLR69"/>
      <c r="RLS69"/>
      <c r="RLT69"/>
      <c r="RLU69"/>
      <c r="RLV69"/>
      <c r="RLW69"/>
      <c r="RLX69"/>
      <c r="RLY69"/>
      <c r="RLZ69"/>
      <c r="RMA69"/>
      <c r="RMB69"/>
      <c r="RMC69"/>
      <c r="RMD69"/>
      <c r="RME69"/>
      <c r="RMF69"/>
      <c r="RMG69"/>
      <c r="RMH69"/>
      <c r="RMI69"/>
      <c r="RMJ69"/>
      <c r="RMK69"/>
      <c r="RML69"/>
      <c r="RMM69"/>
      <c r="RMN69"/>
      <c r="RMO69"/>
      <c r="RMP69"/>
      <c r="RMQ69"/>
      <c r="RMR69"/>
      <c r="RMS69"/>
      <c r="RMT69"/>
      <c r="RMU69"/>
      <c r="RMV69"/>
      <c r="RMW69"/>
      <c r="RMX69"/>
      <c r="RMY69"/>
      <c r="RMZ69"/>
      <c r="RNA69"/>
      <c r="RNB69"/>
      <c r="RNC69"/>
      <c r="RND69"/>
      <c r="RNE69"/>
      <c r="RNF69"/>
      <c r="RNG69"/>
      <c r="RNH69"/>
      <c r="RNI69"/>
      <c r="RNJ69"/>
      <c r="RNK69"/>
      <c r="RNL69"/>
      <c r="RNM69"/>
      <c r="RNN69"/>
      <c r="RNO69"/>
      <c r="RNP69"/>
      <c r="RNQ69"/>
      <c r="RNR69"/>
      <c r="RNS69"/>
      <c r="RNT69"/>
      <c r="RNU69"/>
      <c r="RNV69"/>
      <c r="RNW69"/>
      <c r="RNX69"/>
      <c r="RNY69"/>
      <c r="RNZ69"/>
      <c r="ROA69"/>
      <c r="ROB69"/>
      <c r="ROC69"/>
      <c r="ROD69"/>
      <c r="ROE69"/>
      <c r="ROF69"/>
      <c r="ROG69"/>
      <c r="ROH69"/>
      <c r="ROI69"/>
      <c r="ROJ69"/>
      <c r="ROK69"/>
      <c r="ROL69"/>
      <c r="ROM69"/>
      <c r="RON69"/>
      <c r="ROO69"/>
      <c r="ROP69"/>
      <c r="ROQ69"/>
      <c r="ROR69"/>
      <c r="ROS69"/>
      <c r="ROT69"/>
      <c r="ROU69"/>
      <c r="ROV69"/>
      <c r="ROW69"/>
      <c r="ROX69"/>
      <c r="ROY69"/>
      <c r="ROZ69"/>
      <c r="RPA69"/>
      <c r="RPB69"/>
      <c r="RPC69"/>
      <c r="RPD69"/>
      <c r="RPE69"/>
      <c r="RPF69"/>
      <c r="RPG69"/>
      <c r="RPH69"/>
      <c r="RPI69"/>
      <c r="RPJ69"/>
      <c r="RPK69"/>
      <c r="RPL69"/>
      <c r="RPM69"/>
      <c r="RPN69"/>
      <c r="RPO69"/>
      <c r="RPP69"/>
      <c r="RPQ69"/>
      <c r="RPR69"/>
      <c r="RPS69"/>
      <c r="RPT69"/>
      <c r="RPU69"/>
      <c r="RPV69"/>
      <c r="RPW69"/>
      <c r="RPX69"/>
      <c r="RPY69"/>
      <c r="RPZ69"/>
      <c r="RQA69"/>
      <c r="RQB69"/>
      <c r="RQC69"/>
      <c r="RQD69"/>
      <c r="RQE69"/>
      <c r="RQF69"/>
      <c r="RQG69"/>
      <c r="RQH69"/>
      <c r="RQI69"/>
      <c r="RQJ69"/>
      <c r="RQK69"/>
      <c r="RQL69"/>
      <c r="RQM69"/>
      <c r="RQN69"/>
      <c r="RQO69"/>
      <c r="RQP69"/>
      <c r="RQQ69"/>
      <c r="RQR69"/>
      <c r="RQS69"/>
      <c r="RQT69"/>
      <c r="RQU69"/>
      <c r="RQV69"/>
      <c r="RQW69"/>
      <c r="RQX69"/>
      <c r="RQY69"/>
      <c r="RQZ69"/>
      <c r="RRA69"/>
      <c r="RRB69"/>
      <c r="RRC69"/>
      <c r="RRD69"/>
      <c r="RRE69"/>
      <c r="RRF69"/>
      <c r="RRG69"/>
      <c r="RRH69"/>
      <c r="RRI69"/>
      <c r="RRJ69"/>
      <c r="RRK69"/>
      <c r="RRL69"/>
      <c r="RRM69"/>
      <c r="RRN69"/>
      <c r="RRO69"/>
      <c r="RRP69"/>
      <c r="RRQ69"/>
      <c r="RRR69"/>
      <c r="RRS69"/>
      <c r="RRT69"/>
      <c r="RRU69"/>
      <c r="RRV69"/>
      <c r="RRW69"/>
      <c r="RRX69"/>
      <c r="RRY69"/>
      <c r="RRZ69"/>
      <c r="RSA69"/>
      <c r="RSB69"/>
      <c r="RSC69"/>
      <c r="RSD69"/>
      <c r="RSE69"/>
      <c r="RSF69"/>
      <c r="RSG69"/>
      <c r="RSH69"/>
      <c r="RSI69"/>
      <c r="RSJ69"/>
      <c r="RSK69"/>
      <c r="RSL69"/>
      <c r="RSM69"/>
      <c r="RSN69"/>
      <c r="RSO69"/>
      <c r="RSP69"/>
      <c r="RSQ69"/>
      <c r="RSR69"/>
      <c r="RSS69"/>
      <c r="RST69"/>
      <c r="RSU69"/>
      <c r="RSV69"/>
      <c r="RSW69"/>
      <c r="RSX69"/>
      <c r="RSY69"/>
      <c r="RSZ69"/>
      <c r="RTA69"/>
      <c r="RTB69"/>
      <c r="RTC69"/>
      <c r="RTD69"/>
      <c r="RTE69"/>
      <c r="RTF69"/>
      <c r="RTG69"/>
      <c r="RTH69"/>
      <c r="RTI69"/>
      <c r="RTJ69"/>
      <c r="RTK69"/>
      <c r="RTL69"/>
      <c r="RTM69"/>
      <c r="RTN69"/>
      <c r="RTO69"/>
      <c r="RTP69"/>
      <c r="RTQ69"/>
      <c r="RTR69"/>
      <c r="RTS69"/>
      <c r="RTT69"/>
      <c r="RTU69"/>
      <c r="RTV69"/>
      <c r="RTW69"/>
      <c r="RTX69"/>
      <c r="RTY69"/>
      <c r="RTZ69"/>
      <c r="RUA69"/>
      <c r="RUB69"/>
      <c r="RUC69"/>
      <c r="RUD69"/>
      <c r="RUE69"/>
      <c r="RUF69"/>
      <c r="RUG69"/>
      <c r="RUH69"/>
      <c r="RUI69"/>
      <c r="RUJ69"/>
      <c r="RUK69"/>
      <c r="RUL69"/>
      <c r="RUM69"/>
      <c r="RUN69"/>
      <c r="RUO69"/>
      <c r="RUP69"/>
      <c r="RUQ69"/>
      <c r="RUR69"/>
      <c r="RUS69"/>
      <c r="RUT69"/>
      <c r="RUU69"/>
      <c r="RUV69"/>
      <c r="RUW69"/>
      <c r="RUX69"/>
      <c r="RUY69"/>
      <c r="RUZ69"/>
      <c r="RVA69"/>
      <c r="RVB69"/>
      <c r="RVC69"/>
      <c r="RVD69"/>
      <c r="RVE69"/>
      <c r="RVF69"/>
      <c r="RVG69"/>
      <c r="RVH69"/>
      <c r="RVI69"/>
      <c r="RVJ69"/>
      <c r="RVK69"/>
      <c r="RVL69"/>
      <c r="RVM69"/>
      <c r="RVN69"/>
      <c r="RVO69"/>
      <c r="RVP69"/>
      <c r="RVQ69"/>
      <c r="RVR69"/>
      <c r="RVS69"/>
      <c r="RVT69"/>
      <c r="RVU69"/>
      <c r="RVV69"/>
      <c r="RVW69"/>
      <c r="RVX69"/>
      <c r="RVY69"/>
      <c r="RVZ69"/>
      <c r="RWA69"/>
      <c r="RWB69"/>
      <c r="RWC69"/>
      <c r="RWD69"/>
      <c r="RWE69"/>
      <c r="RWF69"/>
      <c r="RWG69"/>
      <c r="RWH69"/>
      <c r="RWI69"/>
      <c r="RWJ69"/>
      <c r="RWK69"/>
      <c r="RWL69"/>
      <c r="RWM69"/>
      <c r="RWN69"/>
      <c r="RWO69"/>
      <c r="RWP69"/>
      <c r="RWQ69"/>
      <c r="RWR69"/>
      <c r="RWS69"/>
      <c r="RWT69"/>
      <c r="RWU69"/>
      <c r="RWV69"/>
      <c r="RWW69"/>
      <c r="RWX69"/>
      <c r="RWY69"/>
      <c r="RWZ69"/>
      <c r="RXA69"/>
      <c r="RXB69"/>
      <c r="RXC69"/>
      <c r="RXD69"/>
      <c r="RXE69"/>
      <c r="RXF69"/>
      <c r="RXG69"/>
      <c r="RXH69"/>
      <c r="RXI69"/>
      <c r="RXJ69"/>
      <c r="RXK69"/>
      <c r="RXL69"/>
      <c r="RXM69"/>
      <c r="RXN69"/>
      <c r="RXO69"/>
      <c r="RXP69"/>
      <c r="RXQ69"/>
      <c r="RXR69"/>
      <c r="RXS69"/>
      <c r="RXT69"/>
      <c r="RXU69"/>
      <c r="RXV69"/>
      <c r="RXW69"/>
      <c r="RXX69"/>
      <c r="RXY69"/>
      <c r="RXZ69"/>
      <c r="RYA69"/>
      <c r="RYB69"/>
      <c r="RYC69"/>
      <c r="RYD69"/>
      <c r="RYE69"/>
      <c r="RYF69"/>
      <c r="RYG69"/>
      <c r="RYH69"/>
      <c r="RYI69"/>
      <c r="RYJ69"/>
      <c r="RYK69"/>
      <c r="RYL69"/>
      <c r="RYM69"/>
      <c r="RYN69"/>
      <c r="RYO69"/>
      <c r="RYP69"/>
      <c r="RYQ69"/>
      <c r="RYR69"/>
      <c r="RYS69"/>
      <c r="RYT69"/>
      <c r="RYU69"/>
      <c r="RYV69"/>
      <c r="RYW69"/>
      <c r="RYX69"/>
      <c r="RYY69"/>
      <c r="RYZ69"/>
      <c r="RZA69"/>
      <c r="RZB69"/>
      <c r="RZC69"/>
      <c r="RZD69"/>
      <c r="RZE69"/>
      <c r="RZF69"/>
      <c r="RZG69"/>
      <c r="RZH69"/>
      <c r="RZI69"/>
      <c r="RZJ69"/>
      <c r="RZK69"/>
      <c r="RZL69"/>
      <c r="RZM69"/>
      <c r="RZN69"/>
      <c r="RZO69"/>
      <c r="RZP69"/>
      <c r="RZQ69"/>
      <c r="RZR69"/>
      <c r="RZS69"/>
      <c r="RZT69"/>
      <c r="RZU69"/>
      <c r="RZV69"/>
      <c r="RZW69"/>
      <c r="RZX69"/>
      <c r="RZY69"/>
      <c r="RZZ69"/>
      <c r="SAA69"/>
      <c r="SAB69"/>
      <c r="SAC69"/>
      <c r="SAD69"/>
      <c r="SAE69"/>
      <c r="SAF69"/>
      <c r="SAG69"/>
      <c r="SAH69"/>
      <c r="SAI69"/>
      <c r="SAJ69"/>
      <c r="SAK69"/>
      <c r="SAL69"/>
      <c r="SAM69"/>
      <c r="SAN69"/>
      <c r="SAO69"/>
      <c r="SAP69"/>
      <c r="SAQ69"/>
      <c r="SAR69"/>
      <c r="SAS69"/>
      <c r="SAT69"/>
      <c r="SAU69"/>
      <c r="SAV69"/>
      <c r="SAW69"/>
      <c r="SAX69"/>
      <c r="SAY69"/>
      <c r="SAZ69"/>
      <c r="SBA69"/>
      <c r="SBB69"/>
      <c r="SBC69"/>
      <c r="SBD69"/>
      <c r="SBE69"/>
      <c r="SBF69"/>
      <c r="SBG69"/>
      <c r="SBH69"/>
      <c r="SBI69"/>
      <c r="SBJ69"/>
      <c r="SBK69"/>
      <c r="SBL69"/>
      <c r="SBM69"/>
      <c r="SBN69"/>
      <c r="SBO69"/>
      <c r="SBP69"/>
      <c r="SBQ69"/>
      <c r="SBR69"/>
      <c r="SBS69"/>
      <c r="SBT69"/>
      <c r="SBU69"/>
      <c r="SBV69"/>
      <c r="SBW69"/>
      <c r="SBX69"/>
      <c r="SBY69"/>
      <c r="SBZ69"/>
      <c r="SCA69"/>
      <c r="SCB69"/>
      <c r="SCC69"/>
      <c r="SCD69"/>
      <c r="SCE69"/>
      <c r="SCF69"/>
      <c r="SCG69"/>
      <c r="SCH69"/>
      <c r="SCI69"/>
      <c r="SCJ69"/>
      <c r="SCK69"/>
      <c r="SCL69"/>
      <c r="SCM69"/>
      <c r="SCN69"/>
      <c r="SCO69"/>
      <c r="SCP69"/>
      <c r="SCQ69"/>
      <c r="SCR69"/>
      <c r="SCS69"/>
      <c r="SCT69"/>
      <c r="SCU69"/>
      <c r="SCV69"/>
      <c r="SCW69"/>
      <c r="SCX69"/>
      <c r="SCY69"/>
      <c r="SCZ69"/>
      <c r="SDA69"/>
      <c r="SDB69"/>
      <c r="SDC69"/>
      <c r="SDD69"/>
      <c r="SDE69"/>
      <c r="SDF69"/>
      <c r="SDG69"/>
      <c r="SDH69"/>
      <c r="SDI69"/>
      <c r="SDJ69"/>
      <c r="SDK69"/>
      <c r="SDL69"/>
      <c r="SDM69"/>
      <c r="SDN69"/>
      <c r="SDO69"/>
      <c r="SDP69"/>
      <c r="SDQ69"/>
      <c r="SDR69"/>
      <c r="SDS69"/>
      <c r="SDT69"/>
      <c r="SDU69"/>
      <c r="SDV69"/>
      <c r="SDW69"/>
      <c r="SDX69"/>
      <c r="SDY69"/>
      <c r="SDZ69"/>
      <c r="SEA69"/>
      <c r="SEB69"/>
      <c r="SEC69"/>
      <c r="SED69"/>
      <c r="SEE69"/>
      <c r="SEF69"/>
      <c r="SEG69"/>
      <c r="SEH69"/>
      <c r="SEI69"/>
      <c r="SEJ69"/>
      <c r="SEK69"/>
      <c r="SEL69"/>
      <c r="SEM69"/>
      <c r="SEN69"/>
      <c r="SEO69"/>
      <c r="SEP69"/>
      <c r="SEQ69"/>
      <c r="SER69"/>
      <c r="SES69"/>
      <c r="SET69"/>
      <c r="SEU69"/>
      <c r="SEV69"/>
      <c r="SEW69"/>
      <c r="SEX69"/>
      <c r="SEY69"/>
      <c r="SEZ69"/>
      <c r="SFA69"/>
      <c r="SFB69"/>
      <c r="SFC69"/>
      <c r="SFD69"/>
      <c r="SFE69"/>
      <c r="SFF69"/>
      <c r="SFG69"/>
      <c r="SFH69"/>
      <c r="SFI69"/>
      <c r="SFJ69"/>
      <c r="SFK69"/>
      <c r="SFL69"/>
      <c r="SFM69"/>
      <c r="SFN69"/>
      <c r="SFO69"/>
      <c r="SFP69"/>
      <c r="SFQ69"/>
      <c r="SFR69"/>
      <c r="SFS69"/>
      <c r="SFT69"/>
      <c r="SFU69"/>
      <c r="SFV69"/>
      <c r="SFW69"/>
      <c r="SFX69"/>
      <c r="SFY69"/>
      <c r="SFZ69"/>
      <c r="SGA69"/>
      <c r="SGB69"/>
      <c r="SGC69"/>
      <c r="SGD69"/>
      <c r="SGE69"/>
      <c r="SGF69"/>
      <c r="SGG69"/>
      <c r="SGH69"/>
      <c r="SGI69"/>
      <c r="SGJ69"/>
      <c r="SGK69"/>
      <c r="SGL69"/>
      <c r="SGM69"/>
      <c r="SGN69"/>
      <c r="SGO69"/>
      <c r="SGP69"/>
      <c r="SGQ69"/>
      <c r="SGR69"/>
      <c r="SGS69"/>
      <c r="SGT69"/>
      <c r="SGU69"/>
      <c r="SGV69"/>
      <c r="SGW69"/>
      <c r="SGX69"/>
      <c r="SGY69"/>
      <c r="SGZ69"/>
      <c r="SHA69"/>
      <c r="SHB69"/>
      <c r="SHC69"/>
      <c r="SHD69"/>
      <c r="SHE69"/>
      <c r="SHF69"/>
      <c r="SHG69"/>
      <c r="SHH69"/>
      <c r="SHI69"/>
      <c r="SHJ69"/>
      <c r="SHK69"/>
      <c r="SHL69"/>
      <c r="SHM69"/>
      <c r="SHN69"/>
      <c r="SHO69"/>
      <c r="SHP69"/>
      <c r="SHQ69"/>
      <c r="SHR69"/>
      <c r="SHS69"/>
      <c r="SHT69"/>
      <c r="SHU69"/>
      <c r="SHV69"/>
      <c r="SHW69"/>
      <c r="SHX69"/>
      <c r="SHY69"/>
      <c r="SHZ69"/>
      <c r="SIA69"/>
      <c r="SIB69"/>
      <c r="SIC69"/>
      <c r="SID69"/>
      <c r="SIE69"/>
      <c r="SIF69"/>
      <c r="SIG69"/>
      <c r="SIH69"/>
      <c r="SII69"/>
      <c r="SIJ69"/>
      <c r="SIK69"/>
      <c r="SIL69"/>
      <c r="SIM69"/>
      <c r="SIN69"/>
      <c r="SIO69"/>
      <c r="SIP69"/>
      <c r="SIQ69"/>
      <c r="SIR69"/>
      <c r="SIS69"/>
      <c r="SIT69"/>
      <c r="SIU69"/>
      <c r="SIV69"/>
      <c r="SIW69"/>
      <c r="SIX69"/>
      <c r="SIY69"/>
      <c r="SIZ69"/>
      <c r="SJA69"/>
      <c r="SJB69"/>
      <c r="SJC69"/>
      <c r="SJD69"/>
      <c r="SJE69"/>
      <c r="SJF69"/>
      <c r="SJG69"/>
      <c r="SJH69"/>
      <c r="SJI69"/>
      <c r="SJJ69"/>
      <c r="SJK69"/>
      <c r="SJL69"/>
      <c r="SJM69"/>
      <c r="SJN69"/>
      <c r="SJO69"/>
      <c r="SJP69"/>
      <c r="SJQ69"/>
      <c r="SJR69"/>
      <c r="SJS69"/>
      <c r="SJT69"/>
      <c r="SJU69"/>
      <c r="SJV69"/>
      <c r="SJW69"/>
      <c r="SJX69"/>
      <c r="SJY69"/>
      <c r="SJZ69"/>
      <c r="SKA69"/>
      <c r="SKB69"/>
      <c r="SKC69"/>
      <c r="SKD69"/>
      <c r="SKE69"/>
      <c r="SKF69"/>
      <c r="SKG69"/>
      <c r="SKH69"/>
      <c r="SKI69"/>
      <c r="SKJ69"/>
      <c r="SKK69"/>
      <c r="SKL69"/>
      <c r="SKM69"/>
      <c r="SKN69"/>
      <c r="SKO69"/>
      <c r="SKP69"/>
      <c r="SKQ69"/>
      <c r="SKR69"/>
      <c r="SKS69"/>
      <c r="SKT69"/>
      <c r="SKU69"/>
      <c r="SKV69"/>
      <c r="SKW69"/>
      <c r="SKX69"/>
      <c r="SKY69"/>
      <c r="SKZ69"/>
      <c r="SLA69"/>
      <c r="SLB69"/>
      <c r="SLC69"/>
      <c r="SLD69"/>
      <c r="SLE69"/>
      <c r="SLF69"/>
      <c r="SLG69"/>
      <c r="SLH69"/>
      <c r="SLI69"/>
      <c r="SLJ69"/>
      <c r="SLK69"/>
      <c r="SLL69"/>
      <c r="SLM69"/>
      <c r="SLN69"/>
      <c r="SLO69"/>
      <c r="SLP69"/>
      <c r="SLQ69"/>
      <c r="SLR69"/>
      <c r="SLS69"/>
      <c r="SLT69"/>
      <c r="SLU69"/>
      <c r="SLV69"/>
      <c r="SLW69"/>
      <c r="SLX69"/>
      <c r="SLY69"/>
      <c r="SLZ69"/>
      <c r="SMA69"/>
      <c r="SMB69"/>
      <c r="SMC69"/>
      <c r="SMD69"/>
      <c r="SME69"/>
      <c r="SMF69"/>
      <c r="SMG69"/>
      <c r="SMH69"/>
      <c r="SMI69"/>
      <c r="SMJ69"/>
      <c r="SMK69"/>
      <c r="SML69"/>
      <c r="SMM69"/>
      <c r="SMN69"/>
      <c r="SMO69"/>
      <c r="SMP69"/>
      <c r="SMQ69"/>
      <c r="SMR69"/>
      <c r="SMS69"/>
      <c r="SMT69"/>
      <c r="SMU69"/>
      <c r="SMV69"/>
      <c r="SMW69"/>
      <c r="SMX69"/>
      <c r="SMY69"/>
      <c r="SMZ69"/>
      <c r="SNA69"/>
      <c r="SNB69"/>
      <c r="SNC69"/>
      <c r="SND69"/>
      <c r="SNE69"/>
      <c r="SNF69"/>
      <c r="SNG69"/>
      <c r="SNH69"/>
      <c r="SNI69"/>
      <c r="SNJ69"/>
      <c r="SNK69"/>
      <c r="SNL69"/>
      <c r="SNM69"/>
      <c r="SNN69"/>
      <c r="SNO69"/>
      <c r="SNP69"/>
      <c r="SNQ69"/>
      <c r="SNR69"/>
      <c r="SNS69"/>
      <c r="SNT69"/>
      <c r="SNU69"/>
      <c r="SNV69"/>
      <c r="SNW69"/>
      <c r="SNX69"/>
      <c r="SNY69"/>
      <c r="SNZ69"/>
      <c r="SOA69"/>
      <c r="SOB69"/>
      <c r="SOC69"/>
      <c r="SOD69"/>
      <c r="SOE69"/>
      <c r="SOF69"/>
      <c r="SOG69"/>
      <c r="SOH69"/>
      <c r="SOI69"/>
      <c r="SOJ69"/>
      <c r="SOK69"/>
      <c r="SOL69"/>
      <c r="SOM69"/>
      <c r="SON69"/>
      <c r="SOO69"/>
      <c r="SOP69"/>
      <c r="SOQ69"/>
      <c r="SOR69"/>
      <c r="SOS69"/>
      <c r="SOT69"/>
      <c r="SOU69"/>
      <c r="SOV69"/>
      <c r="SOW69"/>
      <c r="SOX69"/>
      <c r="SOY69"/>
      <c r="SOZ69"/>
      <c r="SPA69"/>
      <c r="SPB69"/>
      <c r="SPC69"/>
      <c r="SPD69"/>
      <c r="SPE69"/>
      <c r="SPF69"/>
      <c r="SPG69"/>
      <c r="SPH69"/>
      <c r="SPI69"/>
      <c r="SPJ69"/>
      <c r="SPK69"/>
      <c r="SPL69"/>
      <c r="SPM69"/>
      <c r="SPN69"/>
      <c r="SPO69"/>
      <c r="SPP69"/>
      <c r="SPQ69"/>
      <c r="SPR69"/>
      <c r="SPS69"/>
      <c r="SPT69"/>
      <c r="SPU69"/>
      <c r="SPV69"/>
      <c r="SPW69"/>
      <c r="SPX69"/>
      <c r="SPY69"/>
      <c r="SPZ69"/>
      <c r="SQA69"/>
      <c r="SQB69"/>
      <c r="SQC69"/>
      <c r="SQD69"/>
      <c r="SQE69"/>
      <c r="SQF69"/>
      <c r="SQG69"/>
      <c r="SQH69"/>
      <c r="SQI69"/>
      <c r="SQJ69"/>
      <c r="SQK69"/>
      <c r="SQL69"/>
      <c r="SQM69"/>
      <c r="SQN69"/>
      <c r="SQO69"/>
      <c r="SQP69"/>
      <c r="SQQ69"/>
      <c r="SQR69"/>
      <c r="SQS69"/>
      <c r="SQT69"/>
      <c r="SQU69"/>
      <c r="SQV69"/>
      <c r="SQW69"/>
      <c r="SQX69"/>
      <c r="SQY69"/>
      <c r="SQZ69"/>
      <c r="SRA69"/>
      <c r="SRB69"/>
      <c r="SRC69"/>
      <c r="SRD69"/>
      <c r="SRE69"/>
      <c r="SRF69"/>
      <c r="SRG69"/>
      <c r="SRH69"/>
      <c r="SRI69"/>
      <c r="SRJ69"/>
      <c r="SRK69"/>
      <c r="SRL69"/>
      <c r="SRM69"/>
      <c r="SRN69"/>
      <c r="SRO69"/>
      <c r="SRP69"/>
      <c r="SRQ69"/>
      <c r="SRR69"/>
      <c r="SRS69"/>
      <c r="SRT69"/>
      <c r="SRU69"/>
      <c r="SRV69"/>
      <c r="SRW69"/>
      <c r="SRX69"/>
      <c r="SRY69"/>
      <c r="SRZ69"/>
      <c r="SSA69"/>
      <c r="SSB69"/>
      <c r="SSC69"/>
      <c r="SSD69"/>
      <c r="SSE69"/>
      <c r="SSF69"/>
      <c r="SSG69"/>
      <c r="SSH69"/>
      <c r="SSI69"/>
      <c r="SSJ69"/>
      <c r="SSK69"/>
      <c r="SSL69"/>
      <c r="SSM69"/>
      <c r="SSN69"/>
      <c r="SSO69"/>
      <c r="SSP69"/>
      <c r="SSQ69"/>
      <c r="SSR69"/>
      <c r="SSS69"/>
      <c r="SST69"/>
      <c r="SSU69"/>
      <c r="SSV69"/>
      <c r="SSW69"/>
      <c r="SSX69"/>
      <c r="SSY69"/>
      <c r="SSZ69"/>
      <c r="STA69"/>
      <c r="STB69"/>
      <c r="STC69"/>
      <c r="STD69"/>
      <c r="STE69"/>
      <c r="STF69"/>
      <c r="STG69"/>
      <c r="STH69"/>
      <c r="STI69"/>
      <c r="STJ69"/>
      <c r="STK69"/>
      <c r="STL69"/>
      <c r="STM69"/>
      <c r="STN69"/>
      <c r="STO69"/>
      <c r="STP69"/>
      <c r="STQ69"/>
      <c r="STR69"/>
      <c r="STS69"/>
      <c r="STT69"/>
      <c r="STU69"/>
      <c r="STV69"/>
      <c r="STW69"/>
      <c r="STX69"/>
      <c r="STY69"/>
      <c r="STZ69"/>
      <c r="SUA69"/>
      <c r="SUB69"/>
      <c r="SUC69"/>
      <c r="SUD69"/>
      <c r="SUE69"/>
      <c r="SUF69"/>
      <c r="SUG69"/>
      <c r="SUH69"/>
      <c r="SUI69"/>
      <c r="SUJ69"/>
      <c r="SUK69"/>
      <c r="SUL69"/>
      <c r="SUM69"/>
      <c r="SUN69"/>
      <c r="SUO69"/>
      <c r="SUP69"/>
      <c r="SUQ69"/>
      <c r="SUR69"/>
      <c r="SUS69"/>
      <c r="SUT69"/>
      <c r="SUU69"/>
      <c r="SUV69"/>
      <c r="SUW69"/>
      <c r="SUX69"/>
      <c r="SUY69"/>
      <c r="SUZ69"/>
      <c r="SVA69"/>
      <c r="SVB69"/>
      <c r="SVC69"/>
      <c r="SVD69"/>
      <c r="SVE69"/>
      <c r="SVF69"/>
      <c r="SVG69"/>
      <c r="SVH69"/>
      <c r="SVI69"/>
      <c r="SVJ69"/>
      <c r="SVK69"/>
      <c r="SVL69"/>
      <c r="SVM69"/>
      <c r="SVN69"/>
      <c r="SVO69"/>
      <c r="SVP69"/>
      <c r="SVQ69"/>
      <c r="SVR69"/>
      <c r="SVS69"/>
      <c r="SVT69"/>
      <c r="SVU69"/>
      <c r="SVV69"/>
      <c r="SVW69"/>
      <c r="SVX69"/>
      <c r="SVY69"/>
      <c r="SVZ69"/>
      <c r="SWA69"/>
      <c r="SWB69"/>
      <c r="SWC69"/>
      <c r="SWD69"/>
      <c r="SWE69"/>
      <c r="SWF69"/>
      <c r="SWG69"/>
      <c r="SWH69"/>
      <c r="SWI69"/>
      <c r="SWJ69"/>
      <c r="SWK69"/>
      <c r="SWL69"/>
      <c r="SWM69"/>
      <c r="SWN69"/>
      <c r="SWO69"/>
      <c r="SWP69"/>
      <c r="SWQ69"/>
      <c r="SWR69"/>
      <c r="SWS69"/>
      <c r="SWT69"/>
      <c r="SWU69"/>
      <c r="SWV69"/>
      <c r="SWW69"/>
      <c r="SWX69"/>
      <c r="SWY69"/>
      <c r="SWZ69"/>
      <c r="SXA69"/>
      <c r="SXB69"/>
      <c r="SXC69"/>
      <c r="SXD69"/>
      <c r="SXE69"/>
      <c r="SXF69"/>
      <c r="SXG69"/>
      <c r="SXH69"/>
      <c r="SXI69"/>
      <c r="SXJ69"/>
      <c r="SXK69"/>
      <c r="SXL69"/>
      <c r="SXM69"/>
      <c r="SXN69"/>
      <c r="SXO69"/>
      <c r="SXP69"/>
      <c r="SXQ69"/>
      <c r="SXR69"/>
      <c r="SXS69"/>
      <c r="SXT69"/>
      <c r="SXU69"/>
      <c r="SXV69"/>
      <c r="SXW69"/>
      <c r="SXX69"/>
      <c r="SXY69"/>
      <c r="SXZ69"/>
      <c r="SYA69"/>
      <c r="SYB69"/>
      <c r="SYC69"/>
      <c r="SYD69"/>
      <c r="SYE69"/>
      <c r="SYF69"/>
      <c r="SYG69"/>
      <c r="SYH69"/>
      <c r="SYI69"/>
      <c r="SYJ69"/>
      <c r="SYK69"/>
      <c r="SYL69"/>
      <c r="SYM69"/>
      <c r="SYN69"/>
      <c r="SYO69"/>
      <c r="SYP69"/>
      <c r="SYQ69"/>
      <c r="SYR69"/>
      <c r="SYS69"/>
      <c r="SYT69"/>
      <c r="SYU69"/>
      <c r="SYV69"/>
      <c r="SYW69"/>
      <c r="SYX69"/>
      <c r="SYY69"/>
      <c r="SYZ69"/>
      <c r="SZA69"/>
      <c r="SZB69"/>
      <c r="SZC69"/>
      <c r="SZD69"/>
      <c r="SZE69"/>
      <c r="SZF69"/>
      <c r="SZG69"/>
      <c r="SZH69"/>
      <c r="SZI69"/>
      <c r="SZJ69"/>
      <c r="SZK69"/>
      <c r="SZL69"/>
      <c r="SZM69"/>
      <c r="SZN69"/>
      <c r="SZO69"/>
      <c r="SZP69"/>
      <c r="SZQ69"/>
      <c r="SZR69"/>
      <c r="SZS69"/>
      <c r="SZT69"/>
      <c r="SZU69"/>
      <c r="SZV69"/>
      <c r="SZW69"/>
      <c r="SZX69"/>
      <c r="SZY69"/>
      <c r="SZZ69"/>
      <c r="TAA69"/>
      <c r="TAB69"/>
      <c r="TAC69"/>
      <c r="TAD69"/>
      <c r="TAE69"/>
      <c r="TAF69"/>
      <c r="TAG69"/>
      <c r="TAH69"/>
      <c r="TAI69"/>
      <c r="TAJ69"/>
      <c r="TAK69"/>
      <c r="TAL69"/>
      <c r="TAM69"/>
      <c r="TAN69"/>
      <c r="TAO69"/>
      <c r="TAP69"/>
      <c r="TAQ69"/>
      <c r="TAR69"/>
      <c r="TAS69"/>
      <c r="TAT69"/>
      <c r="TAU69"/>
      <c r="TAV69"/>
      <c r="TAW69"/>
      <c r="TAX69"/>
      <c r="TAY69"/>
      <c r="TAZ69"/>
      <c r="TBA69"/>
      <c r="TBB69"/>
      <c r="TBC69"/>
      <c r="TBD69"/>
      <c r="TBE69"/>
      <c r="TBF69"/>
      <c r="TBG69"/>
      <c r="TBH69"/>
      <c r="TBI69"/>
      <c r="TBJ69"/>
      <c r="TBK69"/>
      <c r="TBL69"/>
      <c r="TBM69"/>
      <c r="TBN69"/>
      <c r="TBO69"/>
      <c r="TBP69"/>
      <c r="TBQ69"/>
      <c r="TBR69"/>
      <c r="TBS69"/>
      <c r="TBT69"/>
      <c r="TBU69"/>
      <c r="TBV69"/>
      <c r="TBW69"/>
      <c r="TBX69"/>
      <c r="TBY69"/>
      <c r="TBZ69"/>
      <c r="TCA69"/>
      <c r="TCB69"/>
      <c r="TCC69"/>
      <c r="TCD69"/>
      <c r="TCE69"/>
      <c r="TCF69"/>
      <c r="TCG69"/>
      <c r="TCH69"/>
      <c r="TCI69"/>
      <c r="TCJ69"/>
      <c r="TCK69"/>
      <c r="TCL69"/>
      <c r="TCM69"/>
      <c r="TCN69"/>
      <c r="TCO69"/>
      <c r="TCP69"/>
      <c r="TCQ69"/>
      <c r="TCR69"/>
      <c r="TCS69"/>
      <c r="TCT69"/>
      <c r="TCU69"/>
      <c r="TCV69"/>
      <c r="TCW69"/>
      <c r="TCX69"/>
      <c r="TCY69"/>
      <c r="TCZ69"/>
      <c r="TDA69"/>
      <c r="TDB69"/>
      <c r="TDC69"/>
      <c r="TDD69"/>
      <c r="TDE69"/>
      <c r="TDF69"/>
      <c r="TDG69"/>
      <c r="TDH69"/>
      <c r="TDI69"/>
      <c r="TDJ69"/>
      <c r="TDK69"/>
      <c r="TDL69"/>
      <c r="TDM69"/>
      <c r="TDN69"/>
      <c r="TDO69"/>
      <c r="TDP69"/>
      <c r="TDQ69"/>
      <c r="TDR69"/>
      <c r="TDS69"/>
      <c r="TDT69"/>
      <c r="TDU69"/>
      <c r="TDV69"/>
      <c r="TDW69"/>
      <c r="TDX69"/>
      <c r="TDY69"/>
      <c r="TDZ69"/>
      <c r="TEA69"/>
      <c r="TEB69"/>
      <c r="TEC69"/>
      <c r="TED69"/>
      <c r="TEE69"/>
      <c r="TEF69"/>
      <c r="TEG69"/>
      <c r="TEH69"/>
      <c r="TEI69"/>
      <c r="TEJ69"/>
      <c r="TEK69"/>
      <c r="TEL69"/>
      <c r="TEM69"/>
      <c r="TEN69"/>
      <c r="TEO69"/>
      <c r="TEP69"/>
      <c r="TEQ69"/>
      <c r="TER69"/>
      <c r="TES69"/>
      <c r="TET69"/>
      <c r="TEU69"/>
      <c r="TEV69"/>
      <c r="TEW69"/>
      <c r="TEX69"/>
      <c r="TEY69"/>
      <c r="TEZ69"/>
      <c r="TFA69"/>
      <c r="TFB69"/>
      <c r="TFC69"/>
      <c r="TFD69"/>
      <c r="TFE69"/>
      <c r="TFF69"/>
      <c r="TFG69"/>
      <c r="TFH69"/>
      <c r="TFI69"/>
      <c r="TFJ69"/>
      <c r="TFK69"/>
      <c r="TFL69"/>
      <c r="TFM69"/>
      <c r="TFN69"/>
      <c r="TFO69"/>
      <c r="TFP69"/>
      <c r="TFQ69"/>
      <c r="TFR69"/>
      <c r="TFS69"/>
      <c r="TFT69"/>
      <c r="TFU69"/>
      <c r="TFV69"/>
      <c r="TFW69"/>
      <c r="TFX69"/>
      <c r="TFY69"/>
      <c r="TFZ69"/>
      <c r="TGA69"/>
      <c r="TGB69"/>
      <c r="TGC69"/>
      <c r="TGD69"/>
      <c r="TGE69"/>
      <c r="TGF69"/>
      <c r="TGG69"/>
      <c r="TGH69"/>
      <c r="TGI69"/>
      <c r="TGJ69"/>
      <c r="TGK69"/>
      <c r="TGL69"/>
      <c r="TGM69"/>
      <c r="TGN69"/>
      <c r="TGO69"/>
      <c r="TGP69"/>
      <c r="TGQ69"/>
      <c r="TGR69"/>
      <c r="TGS69"/>
      <c r="TGT69"/>
      <c r="TGU69"/>
      <c r="TGV69"/>
      <c r="TGW69"/>
      <c r="TGX69"/>
      <c r="TGY69"/>
      <c r="TGZ69"/>
      <c r="THA69"/>
      <c r="THB69"/>
      <c r="THC69"/>
      <c r="THD69"/>
      <c r="THE69"/>
      <c r="THF69"/>
      <c r="THG69"/>
      <c r="THH69"/>
      <c r="THI69"/>
      <c r="THJ69"/>
      <c r="THK69"/>
      <c r="THL69"/>
      <c r="THM69"/>
      <c r="THN69"/>
      <c r="THO69"/>
      <c r="THP69"/>
      <c r="THQ69"/>
      <c r="THR69"/>
      <c r="THS69"/>
      <c r="THT69"/>
      <c r="THU69"/>
      <c r="THV69"/>
      <c r="THW69"/>
      <c r="THX69"/>
      <c r="THY69"/>
      <c r="THZ69"/>
      <c r="TIA69"/>
      <c r="TIB69"/>
      <c r="TIC69"/>
      <c r="TID69"/>
      <c r="TIE69"/>
      <c r="TIF69"/>
      <c r="TIG69"/>
      <c r="TIH69"/>
      <c r="TII69"/>
      <c r="TIJ69"/>
      <c r="TIK69"/>
      <c r="TIL69"/>
      <c r="TIM69"/>
      <c r="TIN69"/>
      <c r="TIO69"/>
      <c r="TIP69"/>
      <c r="TIQ69"/>
      <c r="TIR69"/>
      <c r="TIS69"/>
      <c r="TIT69"/>
      <c r="TIU69"/>
      <c r="TIV69"/>
      <c r="TIW69"/>
      <c r="TIX69"/>
      <c r="TIY69"/>
      <c r="TIZ69"/>
      <c r="TJA69"/>
      <c r="TJB69"/>
      <c r="TJC69"/>
      <c r="TJD69"/>
      <c r="TJE69"/>
      <c r="TJF69"/>
      <c r="TJG69"/>
      <c r="TJH69"/>
      <c r="TJI69"/>
      <c r="TJJ69"/>
      <c r="TJK69"/>
      <c r="TJL69"/>
      <c r="TJM69"/>
      <c r="TJN69"/>
      <c r="TJO69"/>
      <c r="TJP69"/>
      <c r="TJQ69"/>
      <c r="TJR69"/>
      <c r="TJS69"/>
      <c r="TJT69"/>
      <c r="TJU69"/>
      <c r="TJV69"/>
      <c r="TJW69"/>
      <c r="TJX69"/>
      <c r="TJY69"/>
      <c r="TJZ69"/>
      <c r="TKA69"/>
      <c r="TKB69"/>
      <c r="TKC69"/>
      <c r="TKD69"/>
      <c r="TKE69"/>
      <c r="TKF69"/>
      <c r="TKG69"/>
      <c r="TKH69"/>
      <c r="TKI69"/>
      <c r="TKJ69"/>
      <c r="TKK69"/>
      <c r="TKL69"/>
      <c r="TKM69"/>
      <c r="TKN69"/>
      <c r="TKO69"/>
      <c r="TKP69"/>
      <c r="TKQ69"/>
      <c r="TKR69"/>
      <c r="TKS69"/>
      <c r="TKT69"/>
      <c r="TKU69"/>
      <c r="TKV69"/>
      <c r="TKW69"/>
      <c r="TKX69"/>
      <c r="TKY69"/>
      <c r="TKZ69"/>
      <c r="TLA69"/>
      <c r="TLB69"/>
      <c r="TLC69"/>
      <c r="TLD69"/>
      <c r="TLE69"/>
      <c r="TLF69"/>
      <c r="TLG69"/>
      <c r="TLH69"/>
      <c r="TLI69"/>
      <c r="TLJ69"/>
      <c r="TLK69"/>
      <c r="TLL69"/>
      <c r="TLM69"/>
      <c r="TLN69"/>
      <c r="TLO69"/>
      <c r="TLP69"/>
      <c r="TLQ69"/>
      <c r="TLR69"/>
      <c r="TLS69"/>
      <c r="TLT69"/>
      <c r="TLU69"/>
      <c r="TLV69"/>
      <c r="TLW69"/>
      <c r="TLX69"/>
      <c r="TLY69"/>
      <c r="TLZ69"/>
      <c r="TMA69"/>
      <c r="TMB69"/>
      <c r="TMC69"/>
      <c r="TMD69"/>
      <c r="TME69"/>
      <c r="TMF69"/>
      <c r="TMG69"/>
      <c r="TMH69"/>
      <c r="TMI69"/>
      <c r="TMJ69"/>
      <c r="TMK69"/>
      <c r="TML69"/>
      <c r="TMM69"/>
      <c r="TMN69"/>
      <c r="TMO69"/>
      <c r="TMP69"/>
      <c r="TMQ69"/>
      <c r="TMR69"/>
      <c r="TMS69"/>
      <c r="TMT69"/>
      <c r="TMU69"/>
      <c r="TMV69"/>
      <c r="TMW69"/>
      <c r="TMX69"/>
      <c r="TMY69"/>
      <c r="TMZ69"/>
      <c r="TNA69"/>
      <c r="TNB69"/>
      <c r="TNC69"/>
      <c r="TND69"/>
      <c r="TNE69"/>
      <c r="TNF69"/>
      <c r="TNG69"/>
      <c r="TNH69"/>
      <c r="TNI69"/>
      <c r="TNJ69"/>
      <c r="TNK69"/>
      <c r="TNL69"/>
      <c r="TNM69"/>
      <c r="TNN69"/>
      <c r="TNO69"/>
      <c r="TNP69"/>
      <c r="TNQ69"/>
      <c r="TNR69"/>
      <c r="TNS69"/>
      <c r="TNT69"/>
      <c r="TNU69"/>
      <c r="TNV69"/>
      <c r="TNW69"/>
      <c r="TNX69"/>
      <c r="TNY69"/>
      <c r="TNZ69"/>
      <c r="TOA69"/>
      <c r="TOB69"/>
      <c r="TOC69"/>
      <c r="TOD69"/>
      <c r="TOE69"/>
      <c r="TOF69"/>
      <c r="TOG69"/>
      <c r="TOH69"/>
      <c r="TOI69"/>
      <c r="TOJ69"/>
      <c r="TOK69"/>
      <c r="TOL69"/>
      <c r="TOM69"/>
      <c r="TON69"/>
      <c r="TOO69"/>
      <c r="TOP69"/>
      <c r="TOQ69"/>
      <c r="TOR69"/>
      <c r="TOS69"/>
      <c r="TOT69"/>
      <c r="TOU69"/>
      <c r="TOV69"/>
      <c r="TOW69"/>
      <c r="TOX69"/>
      <c r="TOY69"/>
      <c r="TOZ69"/>
      <c r="TPA69"/>
      <c r="TPB69"/>
      <c r="TPC69"/>
      <c r="TPD69"/>
      <c r="TPE69"/>
      <c r="TPF69"/>
      <c r="TPG69"/>
      <c r="TPH69"/>
      <c r="TPI69"/>
      <c r="TPJ69"/>
      <c r="TPK69"/>
      <c r="TPL69"/>
      <c r="TPM69"/>
      <c r="TPN69"/>
      <c r="TPO69"/>
      <c r="TPP69"/>
      <c r="TPQ69"/>
      <c r="TPR69"/>
      <c r="TPS69"/>
      <c r="TPT69"/>
      <c r="TPU69"/>
      <c r="TPV69"/>
      <c r="TPW69"/>
      <c r="TPX69"/>
      <c r="TPY69"/>
      <c r="TPZ69"/>
      <c r="TQA69"/>
      <c r="TQB69"/>
      <c r="TQC69"/>
      <c r="TQD69"/>
      <c r="TQE69"/>
      <c r="TQF69"/>
      <c r="TQG69"/>
      <c r="TQH69"/>
      <c r="TQI69"/>
      <c r="TQJ69"/>
      <c r="TQK69"/>
      <c r="TQL69"/>
      <c r="TQM69"/>
      <c r="TQN69"/>
      <c r="TQO69"/>
      <c r="TQP69"/>
      <c r="TQQ69"/>
      <c r="TQR69"/>
      <c r="TQS69"/>
      <c r="TQT69"/>
      <c r="TQU69"/>
      <c r="TQV69"/>
      <c r="TQW69"/>
      <c r="TQX69"/>
      <c r="TQY69"/>
      <c r="TQZ69"/>
      <c r="TRA69"/>
      <c r="TRB69"/>
      <c r="TRC69"/>
      <c r="TRD69"/>
      <c r="TRE69"/>
      <c r="TRF69"/>
      <c r="TRG69"/>
      <c r="TRH69"/>
      <c r="TRI69"/>
      <c r="TRJ69"/>
      <c r="TRK69"/>
      <c r="TRL69"/>
      <c r="TRM69"/>
      <c r="TRN69"/>
      <c r="TRO69"/>
      <c r="TRP69"/>
      <c r="TRQ69"/>
      <c r="TRR69"/>
      <c r="TRS69"/>
      <c r="TRT69"/>
      <c r="TRU69"/>
      <c r="TRV69"/>
      <c r="TRW69"/>
      <c r="TRX69"/>
      <c r="TRY69"/>
      <c r="TRZ69"/>
      <c r="TSA69"/>
      <c r="TSB69"/>
      <c r="TSC69"/>
      <c r="TSD69"/>
      <c r="TSE69"/>
      <c r="TSF69"/>
      <c r="TSG69"/>
      <c r="TSH69"/>
      <c r="TSI69"/>
      <c r="TSJ69"/>
      <c r="TSK69"/>
      <c r="TSL69"/>
      <c r="TSM69"/>
      <c r="TSN69"/>
      <c r="TSO69"/>
      <c r="TSP69"/>
      <c r="TSQ69"/>
      <c r="TSR69"/>
      <c r="TSS69"/>
      <c r="TST69"/>
      <c r="TSU69"/>
      <c r="TSV69"/>
      <c r="TSW69"/>
      <c r="TSX69"/>
      <c r="TSY69"/>
      <c r="TSZ69"/>
      <c r="TTA69"/>
      <c r="TTB69"/>
      <c r="TTC69"/>
      <c r="TTD69"/>
      <c r="TTE69"/>
      <c r="TTF69"/>
      <c r="TTG69"/>
      <c r="TTH69"/>
      <c r="TTI69"/>
      <c r="TTJ69"/>
      <c r="TTK69"/>
      <c r="TTL69"/>
      <c r="TTM69"/>
      <c r="TTN69"/>
      <c r="TTO69"/>
      <c r="TTP69"/>
      <c r="TTQ69"/>
      <c r="TTR69"/>
      <c r="TTS69"/>
      <c r="TTT69"/>
      <c r="TTU69"/>
      <c r="TTV69"/>
      <c r="TTW69"/>
      <c r="TTX69"/>
      <c r="TTY69"/>
      <c r="TTZ69"/>
      <c r="TUA69"/>
      <c r="TUB69"/>
      <c r="TUC69"/>
      <c r="TUD69"/>
      <c r="TUE69"/>
      <c r="TUF69"/>
      <c r="TUG69"/>
      <c r="TUH69"/>
      <c r="TUI69"/>
      <c r="TUJ69"/>
      <c r="TUK69"/>
      <c r="TUL69"/>
      <c r="TUM69"/>
      <c r="TUN69"/>
      <c r="TUO69"/>
      <c r="TUP69"/>
      <c r="TUQ69"/>
      <c r="TUR69"/>
      <c r="TUS69"/>
      <c r="TUT69"/>
      <c r="TUU69"/>
      <c r="TUV69"/>
      <c r="TUW69"/>
      <c r="TUX69"/>
      <c r="TUY69"/>
      <c r="TUZ69"/>
      <c r="TVA69"/>
      <c r="TVB69"/>
      <c r="TVC69"/>
      <c r="TVD69"/>
      <c r="TVE69"/>
      <c r="TVF69"/>
      <c r="TVG69"/>
      <c r="TVH69"/>
      <c r="TVI69"/>
      <c r="TVJ69"/>
      <c r="TVK69"/>
      <c r="TVL69"/>
      <c r="TVM69"/>
      <c r="TVN69"/>
      <c r="TVO69"/>
      <c r="TVP69"/>
      <c r="TVQ69"/>
      <c r="TVR69"/>
      <c r="TVS69"/>
      <c r="TVT69"/>
      <c r="TVU69"/>
      <c r="TVV69"/>
      <c r="TVW69"/>
      <c r="TVX69"/>
      <c r="TVY69"/>
      <c r="TVZ69"/>
      <c r="TWA69"/>
      <c r="TWB69"/>
      <c r="TWC69"/>
      <c r="TWD69"/>
      <c r="TWE69"/>
      <c r="TWF69"/>
      <c r="TWG69"/>
      <c r="TWH69"/>
      <c r="TWI69"/>
      <c r="TWJ69"/>
      <c r="TWK69"/>
      <c r="TWL69"/>
      <c r="TWM69"/>
      <c r="TWN69"/>
      <c r="TWO69"/>
      <c r="TWP69"/>
      <c r="TWQ69"/>
      <c r="TWR69"/>
      <c r="TWS69"/>
      <c r="TWT69"/>
      <c r="TWU69"/>
      <c r="TWV69"/>
      <c r="TWW69"/>
      <c r="TWX69"/>
      <c r="TWY69"/>
      <c r="TWZ69"/>
      <c r="TXA69"/>
      <c r="TXB69"/>
      <c r="TXC69"/>
      <c r="TXD69"/>
      <c r="TXE69"/>
      <c r="TXF69"/>
      <c r="TXG69"/>
      <c r="TXH69"/>
      <c r="TXI69"/>
      <c r="TXJ69"/>
      <c r="TXK69"/>
      <c r="TXL69"/>
      <c r="TXM69"/>
      <c r="TXN69"/>
      <c r="TXO69"/>
      <c r="TXP69"/>
      <c r="TXQ69"/>
      <c r="TXR69"/>
      <c r="TXS69"/>
      <c r="TXT69"/>
      <c r="TXU69"/>
      <c r="TXV69"/>
      <c r="TXW69"/>
      <c r="TXX69"/>
      <c r="TXY69"/>
      <c r="TXZ69"/>
      <c r="TYA69"/>
      <c r="TYB69"/>
      <c r="TYC69"/>
      <c r="TYD69"/>
      <c r="TYE69"/>
      <c r="TYF69"/>
      <c r="TYG69"/>
      <c r="TYH69"/>
      <c r="TYI69"/>
      <c r="TYJ69"/>
      <c r="TYK69"/>
      <c r="TYL69"/>
      <c r="TYM69"/>
      <c r="TYN69"/>
      <c r="TYO69"/>
      <c r="TYP69"/>
      <c r="TYQ69"/>
      <c r="TYR69"/>
      <c r="TYS69"/>
      <c r="TYT69"/>
      <c r="TYU69"/>
      <c r="TYV69"/>
      <c r="TYW69"/>
      <c r="TYX69"/>
      <c r="TYY69"/>
      <c r="TYZ69"/>
      <c r="TZA69"/>
      <c r="TZB69"/>
      <c r="TZC69"/>
      <c r="TZD69"/>
      <c r="TZE69"/>
      <c r="TZF69"/>
      <c r="TZG69"/>
      <c r="TZH69"/>
      <c r="TZI69"/>
      <c r="TZJ69"/>
      <c r="TZK69"/>
      <c r="TZL69"/>
      <c r="TZM69"/>
      <c r="TZN69"/>
      <c r="TZO69"/>
      <c r="TZP69"/>
      <c r="TZQ69"/>
      <c r="TZR69"/>
      <c r="TZS69"/>
      <c r="TZT69"/>
      <c r="TZU69"/>
      <c r="TZV69"/>
      <c r="TZW69"/>
      <c r="TZX69"/>
      <c r="TZY69"/>
      <c r="TZZ69"/>
      <c r="UAA69"/>
      <c r="UAB69"/>
      <c r="UAC69"/>
      <c r="UAD69"/>
      <c r="UAE69"/>
      <c r="UAF69"/>
      <c r="UAG69"/>
      <c r="UAH69"/>
      <c r="UAI69"/>
      <c r="UAJ69"/>
      <c r="UAK69"/>
      <c r="UAL69"/>
      <c r="UAM69"/>
      <c r="UAN69"/>
      <c r="UAO69"/>
      <c r="UAP69"/>
      <c r="UAQ69"/>
      <c r="UAR69"/>
      <c r="UAS69"/>
      <c r="UAT69"/>
      <c r="UAU69"/>
      <c r="UAV69"/>
      <c r="UAW69"/>
      <c r="UAX69"/>
      <c r="UAY69"/>
      <c r="UAZ69"/>
      <c r="UBA69"/>
      <c r="UBB69"/>
      <c r="UBC69"/>
      <c r="UBD69"/>
      <c r="UBE69"/>
      <c r="UBF69"/>
      <c r="UBG69"/>
      <c r="UBH69"/>
      <c r="UBI69"/>
      <c r="UBJ69"/>
      <c r="UBK69"/>
      <c r="UBL69"/>
      <c r="UBM69"/>
      <c r="UBN69"/>
      <c r="UBO69"/>
      <c r="UBP69"/>
      <c r="UBQ69"/>
      <c r="UBR69"/>
      <c r="UBS69"/>
      <c r="UBT69"/>
      <c r="UBU69"/>
      <c r="UBV69"/>
      <c r="UBW69"/>
      <c r="UBX69"/>
      <c r="UBY69"/>
      <c r="UBZ69"/>
      <c r="UCA69"/>
      <c r="UCB69"/>
      <c r="UCC69"/>
      <c r="UCD69"/>
      <c r="UCE69"/>
      <c r="UCF69"/>
      <c r="UCG69"/>
      <c r="UCH69"/>
      <c r="UCI69"/>
      <c r="UCJ69"/>
      <c r="UCK69"/>
      <c r="UCL69"/>
      <c r="UCM69"/>
      <c r="UCN69"/>
      <c r="UCO69"/>
      <c r="UCP69"/>
      <c r="UCQ69"/>
      <c r="UCR69"/>
      <c r="UCS69"/>
      <c r="UCT69"/>
      <c r="UCU69"/>
      <c r="UCV69"/>
      <c r="UCW69"/>
      <c r="UCX69"/>
      <c r="UCY69"/>
      <c r="UCZ69"/>
      <c r="UDA69"/>
      <c r="UDB69"/>
      <c r="UDC69"/>
      <c r="UDD69"/>
      <c r="UDE69"/>
      <c r="UDF69"/>
      <c r="UDG69"/>
      <c r="UDH69"/>
      <c r="UDI69"/>
      <c r="UDJ69"/>
      <c r="UDK69"/>
      <c r="UDL69"/>
      <c r="UDM69"/>
      <c r="UDN69"/>
      <c r="UDO69"/>
      <c r="UDP69"/>
      <c r="UDQ69"/>
      <c r="UDR69"/>
      <c r="UDS69"/>
      <c r="UDT69"/>
      <c r="UDU69"/>
      <c r="UDV69"/>
      <c r="UDW69"/>
      <c r="UDX69"/>
      <c r="UDY69"/>
      <c r="UDZ69"/>
      <c r="UEA69"/>
      <c r="UEB69"/>
      <c r="UEC69"/>
      <c r="UED69"/>
      <c r="UEE69"/>
      <c r="UEF69"/>
      <c r="UEG69"/>
      <c r="UEH69"/>
      <c r="UEI69"/>
      <c r="UEJ69"/>
      <c r="UEK69"/>
      <c r="UEL69"/>
      <c r="UEM69"/>
      <c r="UEN69"/>
      <c r="UEO69"/>
      <c r="UEP69"/>
      <c r="UEQ69"/>
      <c r="UER69"/>
      <c r="UES69"/>
      <c r="UET69"/>
      <c r="UEU69"/>
      <c r="UEV69"/>
      <c r="UEW69"/>
      <c r="UEX69"/>
      <c r="UEY69"/>
      <c r="UEZ69"/>
      <c r="UFA69"/>
      <c r="UFB69"/>
      <c r="UFC69"/>
      <c r="UFD69"/>
      <c r="UFE69"/>
      <c r="UFF69"/>
      <c r="UFG69"/>
      <c r="UFH69"/>
      <c r="UFI69"/>
      <c r="UFJ69"/>
      <c r="UFK69"/>
      <c r="UFL69"/>
      <c r="UFM69"/>
      <c r="UFN69"/>
      <c r="UFO69"/>
      <c r="UFP69"/>
      <c r="UFQ69"/>
      <c r="UFR69"/>
      <c r="UFS69"/>
      <c r="UFT69"/>
      <c r="UFU69"/>
      <c r="UFV69"/>
      <c r="UFW69"/>
      <c r="UFX69"/>
      <c r="UFY69"/>
      <c r="UFZ69"/>
      <c r="UGA69"/>
      <c r="UGB69"/>
      <c r="UGC69"/>
      <c r="UGD69"/>
      <c r="UGE69"/>
      <c r="UGF69"/>
      <c r="UGG69"/>
      <c r="UGH69"/>
      <c r="UGI69"/>
      <c r="UGJ69"/>
      <c r="UGK69"/>
      <c r="UGL69"/>
      <c r="UGM69"/>
      <c r="UGN69"/>
      <c r="UGO69"/>
      <c r="UGP69"/>
      <c r="UGQ69"/>
      <c r="UGR69"/>
      <c r="UGS69"/>
      <c r="UGT69"/>
      <c r="UGU69"/>
      <c r="UGV69"/>
      <c r="UGW69"/>
      <c r="UGX69"/>
      <c r="UGY69"/>
      <c r="UGZ69"/>
      <c r="UHA69"/>
      <c r="UHB69"/>
      <c r="UHC69"/>
      <c r="UHD69"/>
      <c r="UHE69"/>
      <c r="UHF69"/>
      <c r="UHG69"/>
      <c r="UHH69"/>
      <c r="UHI69"/>
      <c r="UHJ69"/>
      <c r="UHK69"/>
      <c r="UHL69"/>
      <c r="UHM69"/>
      <c r="UHN69"/>
      <c r="UHO69"/>
      <c r="UHP69"/>
      <c r="UHQ69"/>
      <c r="UHR69"/>
      <c r="UHS69"/>
      <c r="UHT69"/>
      <c r="UHU69"/>
      <c r="UHV69"/>
      <c r="UHW69"/>
      <c r="UHX69"/>
      <c r="UHY69"/>
      <c r="UHZ69"/>
      <c r="UIA69"/>
      <c r="UIB69"/>
      <c r="UIC69"/>
      <c r="UID69"/>
      <c r="UIE69"/>
      <c r="UIF69"/>
      <c r="UIG69"/>
      <c r="UIH69"/>
      <c r="UII69"/>
      <c r="UIJ69"/>
      <c r="UIK69"/>
      <c r="UIL69"/>
      <c r="UIM69"/>
      <c r="UIN69"/>
      <c r="UIO69"/>
      <c r="UIP69"/>
      <c r="UIQ69"/>
      <c r="UIR69"/>
      <c r="UIS69"/>
      <c r="UIT69"/>
      <c r="UIU69"/>
      <c r="UIV69"/>
      <c r="UIW69"/>
      <c r="UIX69"/>
      <c r="UIY69"/>
      <c r="UIZ69"/>
      <c r="UJA69"/>
      <c r="UJB69"/>
      <c r="UJC69"/>
      <c r="UJD69"/>
      <c r="UJE69"/>
      <c r="UJF69"/>
      <c r="UJG69"/>
      <c r="UJH69"/>
      <c r="UJI69"/>
      <c r="UJJ69"/>
      <c r="UJK69"/>
      <c r="UJL69"/>
      <c r="UJM69"/>
      <c r="UJN69"/>
      <c r="UJO69"/>
      <c r="UJP69"/>
      <c r="UJQ69"/>
      <c r="UJR69"/>
      <c r="UJS69"/>
      <c r="UJT69"/>
      <c r="UJU69"/>
      <c r="UJV69"/>
      <c r="UJW69"/>
      <c r="UJX69"/>
      <c r="UJY69"/>
      <c r="UJZ69"/>
      <c r="UKA69"/>
      <c r="UKB69"/>
      <c r="UKC69"/>
      <c r="UKD69"/>
      <c r="UKE69"/>
      <c r="UKF69"/>
      <c r="UKG69"/>
      <c r="UKH69"/>
      <c r="UKI69"/>
      <c r="UKJ69"/>
      <c r="UKK69"/>
      <c r="UKL69"/>
      <c r="UKM69"/>
      <c r="UKN69"/>
      <c r="UKO69"/>
      <c r="UKP69"/>
      <c r="UKQ69"/>
      <c r="UKR69"/>
      <c r="UKS69"/>
      <c r="UKT69"/>
      <c r="UKU69"/>
      <c r="UKV69"/>
      <c r="UKW69"/>
      <c r="UKX69"/>
      <c r="UKY69"/>
      <c r="UKZ69"/>
      <c r="ULA69"/>
      <c r="ULB69"/>
      <c r="ULC69"/>
      <c r="ULD69"/>
      <c r="ULE69"/>
      <c r="ULF69"/>
      <c r="ULG69"/>
      <c r="ULH69"/>
      <c r="ULI69"/>
      <c r="ULJ69"/>
      <c r="ULK69"/>
      <c r="ULL69"/>
      <c r="ULM69"/>
      <c r="ULN69"/>
      <c r="ULO69"/>
      <c r="ULP69"/>
      <c r="ULQ69"/>
      <c r="ULR69"/>
      <c r="ULS69"/>
      <c r="ULT69"/>
      <c r="ULU69"/>
      <c r="ULV69"/>
      <c r="ULW69"/>
      <c r="ULX69"/>
      <c r="ULY69"/>
      <c r="ULZ69"/>
      <c r="UMA69"/>
      <c r="UMB69"/>
      <c r="UMC69"/>
      <c r="UMD69"/>
      <c r="UME69"/>
      <c r="UMF69"/>
      <c r="UMG69"/>
      <c r="UMH69"/>
      <c r="UMI69"/>
      <c r="UMJ69"/>
      <c r="UMK69"/>
      <c r="UML69"/>
      <c r="UMM69"/>
      <c r="UMN69"/>
      <c r="UMO69"/>
      <c r="UMP69"/>
      <c r="UMQ69"/>
      <c r="UMR69"/>
      <c r="UMS69"/>
      <c r="UMT69"/>
      <c r="UMU69"/>
      <c r="UMV69"/>
      <c r="UMW69"/>
      <c r="UMX69"/>
      <c r="UMY69"/>
      <c r="UMZ69"/>
      <c r="UNA69"/>
      <c r="UNB69"/>
      <c r="UNC69"/>
      <c r="UND69"/>
      <c r="UNE69"/>
      <c r="UNF69"/>
      <c r="UNG69"/>
      <c r="UNH69"/>
      <c r="UNI69"/>
      <c r="UNJ69"/>
      <c r="UNK69"/>
      <c r="UNL69"/>
      <c r="UNM69"/>
      <c r="UNN69"/>
      <c r="UNO69"/>
      <c r="UNP69"/>
      <c r="UNQ69"/>
      <c r="UNR69"/>
      <c r="UNS69"/>
      <c r="UNT69"/>
      <c r="UNU69"/>
      <c r="UNV69"/>
      <c r="UNW69"/>
      <c r="UNX69"/>
      <c r="UNY69"/>
      <c r="UNZ69"/>
      <c r="UOA69"/>
      <c r="UOB69"/>
      <c r="UOC69"/>
      <c r="UOD69"/>
      <c r="UOE69"/>
      <c r="UOF69"/>
      <c r="UOG69"/>
      <c r="UOH69"/>
      <c r="UOI69"/>
      <c r="UOJ69"/>
      <c r="UOK69"/>
      <c r="UOL69"/>
      <c r="UOM69"/>
      <c r="UON69"/>
      <c r="UOO69"/>
      <c r="UOP69"/>
      <c r="UOQ69"/>
      <c r="UOR69"/>
      <c r="UOS69"/>
      <c r="UOT69"/>
      <c r="UOU69"/>
      <c r="UOV69"/>
      <c r="UOW69"/>
      <c r="UOX69"/>
      <c r="UOY69"/>
      <c r="UOZ69"/>
      <c r="UPA69"/>
      <c r="UPB69"/>
      <c r="UPC69"/>
      <c r="UPD69"/>
      <c r="UPE69"/>
      <c r="UPF69"/>
      <c r="UPG69"/>
      <c r="UPH69"/>
      <c r="UPI69"/>
      <c r="UPJ69"/>
      <c r="UPK69"/>
      <c r="UPL69"/>
      <c r="UPM69"/>
      <c r="UPN69"/>
      <c r="UPO69"/>
      <c r="UPP69"/>
      <c r="UPQ69"/>
      <c r="UPR69"/>
      <c r="UPS69"/>
      <c r="UPT69"/>
      <c r="UPU69"/>
      <c r="UPV69"/>
      <c r="UPW69"/>
      <c r="UPX69"/>
      <c r="UPY69"/>
      <c r="UPZ69"/>
      <c r="UQA69"/>
      <c r="UQB69"/>
      <c r="UQC69"/>
      <c r="UQD69"/>
      <c r="UQE69"/>
      <c r="UQF69"/>
      <c r="UQG69"/>
      <c r="UQH69"/>
      <c r="UQI69"/>
      <c r="UQJ69"/>
      <c r="UQK69"/>
      <c r="UQL69"/>
      <c r="UQM69"/>
      <c r="UQN69"/>
      <c r="UQO69"/>
      <c r="UQP69"/>
      <c r="UQQ69"/>
      <c r="UQR69"/>
      <c r="UQS69"/>
      <c r="UQT69"/>
      <c r="UQU69"/>
      <c r="UQV69"/>
      <c r="UQW69"/>
      <c r="UQX69"/>
      <c r="UQY69"/>
      <c r="UQZ69"/>
      <c r="URA69"/>
      <c r="URB69"/>
      <c r="URC69"/>
      <c r="URD69"/>
      <c r="URE69"/>
      <c r="URF69"/>
      <c r="URG69"/>
      <c r="URH69"/>
      <c r="URI69"/>
      <c r="URJ69"/>
      <c r="URK69"/>
      <c r="URL69"/>
      <c r="URM69"/>
      <c r="URN69"/>
      <c r="URO69"/>
      <c r="URP69"/>
      <c r="URQ69"/>
      <c r="URR69"/>
      <c r="URS69"/>
      <c r="URT69"/>
      <c r="URU69"/>
      <c r="URV69"/>
      <c r="URW69"/>
      <c r="URX69"/>
      <c r="URY69"/>
      <c r="URZ69"/>
      <c r="USA69"/>
      <c r="USB69"/>
      <c r="USC69"/>
      <c r="USD69"/>
      <c r="USE69"/>
      <c r="USF69"/>
      <c r="USG69"/>
      <c r="USH69"/>
      <c r="USI69"/>
      <c r="USJ69"/>
      <c r="USK69"/>
      <c r="USL69"/>
      <c r="USM69"/>
      <c r="USN69"/>
      <c r="USO69"/>
      <c r="USP69"/>
      <c r="USQ69"/>
      <c r="USR69"/>
      <c r="USS69"/>
      <c r="UST69"/>
      <c r="USU69"/>
      <c r="USV69"/>
      <c r="USW69"/>
      <c r="USX69"/>
      <c r="USY69"/>
      <c r="USZ69"/>
      <c r="UTA69"/>
      <c r="UTB69"/>
      <c r="UTC69"/>
      <c r="UTD69"/>
      <c r="UTE69"/>
      <c r="UTF69"/>
      <c r="UTG69"/>
      <c r="UTH69"/>
      <c r="UTI69"/>
      <c r="UTJ69"/>
      <c r="UTK69"/>
      <c r="UTL69"/>
      <c r="UTM69"/>
      <c r="UTN69"/>
      <c r="UTO69"/>
      <c r="UTP69"/>
      <c r="UTQ69"/>
      <c r="UTR69"/>
      <c r="UTS69"/>
      <c r="UTT69"/>
      <c r="UTU69"/>
      <c r="UTV69"/>
      <c r="UTW69"/>
      <c r="UTX69"/>
      <c r="UTY69"/>
      <c r="UTZ69"/>
      <c r="UUA69"/>
      <c r="UUB69"/>
      <c r="UUC69"/>
      <c r="UUD69"/>
      <c r="UUE69"/>
      <c r="UUF69"/>
      <c r="UUG69"/>
      <c r="UUH69"/>
      <c r="UUI69"/>
      <c r="UUJ69"/>
      <c r="UUK69"/>
      <c r="UUL69"/>
      <c r="UUM69"/>
      <c r="UUN69"/>
      <c r="UUO69"/>
      <c r="UUP69"/>
      <c r="UUQ69"/>
      <c r="UUR69"/>
      <c r="UUS69"/>
      <c r="UUT69"/>
      <c r="UUU69"/>
      <c r="UUV69"/>
      <c r="UUW69"/>
      <c r="UUX69"/>
      <c r="UUY69"/>
      <c r="UUZ69"/>
      <c r="UVA69"/>
      <c r="UVB69"/>
      <c r="UVC69"/>
      <c r="UVD69"/>
      <c r="UVE69"/>
      <c r="UVF69"/>
      <c r="UVG69"/>
      <c r="UVH69"/>
      <c r="UVI69"/>
      <c r="UVJ69"/>
      <c r="UVK69"/>
      <c r="UVL69"/>
      <c r="UVM69"/>
      <c r="UVN69"/>
      <c r="UVO69"/>
      <c r="UVP69"/>
      <c r="UVQ69"/>
      <c r="UVR69"/>
      <c r="UVS69"/>
      <c r="UVT69"/>
      <c r="UVU69"/>
      <c r="UVV69"/>
      <c r="UVW69"/>
      <c r="UVX69"/>
      <c r="UVY69"/>
      <c r="UVZ69"/>
      <c r="UWA69"/>
      <c r="UWB69"/>
      <c r="UWC69"/>
      <c r="UWD69"/>
      <c r="UWE69"/>
      <c r="UWF69"/>
      <c r="UWG69"/>
      <c r="UWH69"/>
      <c r="UWI69"/>
      <c r="UWJ69"/>
      <c r="UWK69"/>
      <c r="UWL69"/>
      <c r="UWM69"/>
      <c r="UWN69"/>
      <c r="UWO69"/>
      <c r="UWP69"/>
      <c r="UWQ69"/>
      <c r="UWR69"/>
      <c r="UWS69"/>
      <c r="UWT69"/>
      <c r="UWU69"/>
      <c r="UWV69"/>
      <c r="UWW69"/>
      <c r="UWX69"/>
      <c r="UWY69"/>
      <c r="UWZ69"/>
      <c r="UXA69"/>
      <c r="UXB69"/>
      <c r="UXC69"/>
      <c r="UXD69"/>
      <c r="UXE69"/>
      <c r="UXF69"/>
      <c r="UXG69"/>
      <c r="UXH69"/>
      <c r="UXI69"/>
      <c r="UXJ69"/>
      <c r="UXK69"/>
      <c r="UXL69"/>
      <c r="UXM69"/>
      <c r="UXN69"/>
      <c r="UXO69"/>
      <c r="UXP69"/>
      <c r="UXQ69"/>
      <c r="UXR69"/>
      <c r="UXS69"/>
      <c r="UXT69"/>
      <c r="UXU69"/>
      <c r="UXV69"/>
      <c r="UXW69"/>
      <c r="UXX69"/>
      <c r="UXY69"/>
      <c r="UXZ69"/>
      <c r="UYA69"/>
      <c r="UYB69"/>
      <c r="UYC69"/>
      <c r="UYD69"/>
      <c r="UYE69"/>
      <c r="UYF69"/>
      <c r="UYG69"/>
      <c r="UYH69"/>
      <c r="UYI69"/>
      <c r="UYJ69"/>
      <c r="UYK69"/>
      <c r="UYL69"/>
      <c r="UYM69"/>
      <c r="UYN69"/>
      <c r="UYO69"/>
      <c r="UYP69"/>
      <c r="UYQ69"/>
      <c r="UYR69"/>
      <c r="UYS69"/>
      <c r="UYT69"/>
      <c r="UYU69"/>
      <c r="UYV69"/>
      <c r="UYW69"/>
      <c r="UYX69"/>
      <c r="UYY69"/>
      <c r="UYZ69"/>
      <c r="UZA69"/>
      <c r="UZB69"/>
      <c r="UZC69"/>
      <c r="UZD69"/>
      <c r="UZE69"/>
      <c r="UZF69"/>
      <c r="UZG69"/>
      <c r="UZH69"/>
      <c r="UZI69"/>
      <c r="UZJ69"/>
      <c r="UZK69"/>
      <c r="UZL69"/>
      <c r="UZM69"/>
      <c r="UZN69"/>
      <c r="UZO69"/>
      <c r="UZP69"/>
      <c r="UZQ69"/>
      <c r="UZR69"/>
      <c r="UZS69"/>
      <c r="UZT69"/>
      <c r="UZU69"/>
      <c r="UZV69"/>
      <c r="UZW69"/>
      <c r="UZX69"/>
      <c r="UZY69"/>
      <c r="UZZ69"/>
      <c r="VAA69"/>
      <c r="VAB69"/>
      <c r="VAC69"/>
      <c r="VAD69"/>
      <c r="VAE69"/>
      <c r="VAF69"/>
      <c r="VAG69"/>
      <c r="VAH69"/>
      <c r="VAI69"/>
      <c r="VAJ69"/>
      <c r="VAK69"/>
      <c r="VAL69"/>
      <c r="VAM69"/>
      <c r="VAN69"/>
      <c r="VAO69"/>
      <c r="VAP69"/>
      <c r="VAQ69"/>
      <c r="VAR69"/>
      <c r="VAS69"/>
      <c r="VAT69"/>
      <c r="VAU69"/>
      <c r="VAV69"/>
      <c r="VAW69"/>
      <c r="VAX69"/>
      <c r="VAY69"/>
      <c r="VAZ69"/>
      <c r="VBA69"/>
      <c r="VBB69"/>
      <c r="VBC69"/>
      <c r="VBD69"/>
      <c r="VBE69"/>
      <c r="VBF69"/>
      <c r="VBG69"/>
      <c r="VBH69"/>
      <c r="VBI69"/>
      <c r="VBJ69"/>
      <c r="VBK69"/>
      <c r="VBL69"/>
      <c r="VBM69"/>
      <c r="VBN69"/>
      <c r="VBO69"/>
      <c r="VBP69"/>
      <c r="VBQ69"/>
      <c r="VBR69"/>
      <c r="VBS69"/>
      <c r="VBT69"/>
      <c r="VBU69"/>
      <c r="VBV69"/>
      <c r="VBW69"/>
      <c r="VBX69"/>
      <c r="VBY69"/>
      <c r="VBZ69"/>
      <c r="VCA69"/>
      <c r="VCB69"/>
      <c r="VCC69"/>
      <c r="VCD69"/>
      <c r="VCE69"/>
      <c r="VCF69"/>
      <c r="VCG69"/>
      <c r="VCH69"/>
      <c r="VCI69"/>
      <c r="VCJ69"/>
      <c r="VCK69"/>
      <c r="VCL69"/>
      <c r="VCM69"/>
      <c r="VCN69"/>
      <c r="VCO69"/>
      <c r="VCP69"/>
      <c r="VCQ69"/>
      <c r="VCR69"/>
      <c r="VCS69"/>
      <c r="VCT69"/>
      <c r="VCU69"/>
      <c r="VCV69"/>
      <c r="VCW69"/>
      <c r="VCX69"/>
      <c r="VCY69"/>
      <c r="VCZ69"/>
      <c r="VDA69"/>
      <c r="VDB69"/>
      <c r="VDC69"/>
      <c r="VDD69"/>
      <c r="VDE69"/>
      <c r="VDF69"/>
      <c r="VDG69"/>
      <c r="VDH69"/>
      <c r="VDI69"/>
      <c r="VDJ69"/>
      <c r="VDK69"/>
      <c r="VDL69"/>
      <c r="VDM69"/>
      <c r="VDN69"/>
      <c r="VDO69"/>
      <c r="VDP69"/>
      <c r="VDQ69"/>
      <c r="VDR69"/>
      <c r="VDS69"/>
      <c r="VDT69"/>
      <c r="VDU69"/>
      <c r="VDV69"/>
      <c r="VDW69"/>
      <c r="VDX69"/>
      <c r="VDY69"/>
      <c r="VDZ69"/>
      <c r="VEA69"/>
      <c r="VEB69"/>
      <c r="VEC69"/>
      <c r="VED69"/>
      <c r="VEE69"/>
      <c r="VEF69"/>
      <c r="VEG69"/>
      <c r="VEH69"/>
      <c r="VEI69"/>
      <c r="VEJ69"/>
      <c r="VEK69"/>
      <c r="VEL69"/>
      <c r="VEM69"/>
      <c r="VEN69"/>
      <c r="VEO69"/>
      <c r="VEP69"/>
      <c r="VEQ69"/>
      <c r="VER69"/>
      <c r="VES69"/>
      <c r="VET69"/>
      <c r="VEU69"/>
      <c r="VEV69"/>
      <c r="VEW69"/>
      <c r="VEX69"/>
      <c r="VEY69"/>
      <c r="VEZ69"/>
      <c r="VFA69"/>
      <c r="VFB69"/>
      <c r="VFC69"/>
      <c r="VFD69"/>
      <c r="VFE69"/>
      <c r="VFF69"/>
      <c r="VFG69"/>
      <c r="VFH69"/>
      <c r="VFI69"/>
      <c r="VFJ69"/>
      <c r="VFK69"/>
      <c r="VFL69"/>
      <c r="VFM69"/>
      <c r="VFN69"/>
      <c r="VFO69"/>
      <c r="VFP69"/>
      <c r="VFQ69"/>
      <c r="VFR69"/>
      <c r="VFS69"/>
      <c r="VFT69"/>
      <c r="VFU69"/>
      <c r="VFV69"/>
      <c r="VFW69"/>
      <c r="VFX69"/>
      <c r="VFY69"/>
      <c r="VFZ69"/>
      <c r="VGA69"/>
      <c r="VGB69"/>
      <c r="VGC69"/>
      <c r="VGD69"/>
      <c r="VGE69"/>
      <c r="VGF69"/>
      <c r="VGG69"/>
      <c r="VGH69"/>
      <c r="VGI69"/>
      <c r="VGJ69"/>
      <c r="VGK69"/>
      <c r="VGL69"/>
      <c r="VGM69"/>
      <c r="VGN69"/>
      <c r="VGO69"/>
      <c r="VGP69"/>
      <c r="VGQ69"/>
      <c r="VGR69"/>
      <c r="VGS69"/>
      <c r="VGT69"/>
      <c r="VGU69"/>
      <c r="VGV69"/>
      <c r="VGW69"/>
      <c r="VGX69"/>
      <c r="VGY69"/>
      <c r="VGZ69"/>
      <c r="VHA69"/>
      <c r="VHB69"/>
      <c r="VHC69"/>
      <c r="VHD69"/>
      <c r="VHE69"/>
      <c r="VHF69"/>
      <c r="VHG69"/>
      <c r="VHH69"/>
      <c r="VHI69"/>
      <c r="VHJ69"/>
      <c r="VHK69"/>
      <c r="VHL69"/>
      <c r="VHM69"/>
      <c r="VHN69"/>
      <c r="VHO69"/>
      <c r="VHP69"/>
      <c r="VHQ69"/>
      <c r="VHR69"/>
      <c r="VHS69"/>
      <c r="VHT69"/>
      <c r="VHU69"/>
      <c r="VHV69"/>
      <c r="VHW69"/>
      <c r="VHX69"/>
      <c r="VHY69"/>
      <c r="VHZ69"/>
      <c r="VIA69"/>
      <c r="VIB69"/>
      <c r="VIC69"/>
      <c r="VID69"/>
      <c r="VIE69"/>
      <c r="VIF69"/>
      <c r="VIG69"/>
      <c r="VIH69"/>
      <c r="VII69"/>
      <c r="VIJ69"/>
      <c r="VIK69"/>
      <c r="VIL69"/>
      <c r="VIM69"/>
      <c r="VIN69"/>
      <c r="VIO69"/>
      <c r="VIP69"/>
      <c r="VIQ69"/>
      <c r="VIR69"/>
      <c r="VIS69"/>
      <c r="VIT69"/>
      <c r="VIU69"/>
      <c r="VIV69"/>
      <c r="VIW69"/>
      <c r="VIX69"/>
      <c r="VIY69"/>
      <c r="VIZ69"/>
      <c r="VJA69"/>
      <c r="VJB69"/>
      <c r="VJC69"/>
      <c r="VJD69"/>
      <c r="VJE69"/>
      <c r="VJF69"/>
      <c r="VJG69"/>
      <c r="VJH69"/>
      <c r="VJI69"/>
      <c r="VJJ69"/>
      <c r="VJK69"/>
      <c r="VJL69"/>
      <c r="VJM69"/>
      <c r="VJN69"/>
      <c r="VJO69"/>
      <c r="VJP69"/>
      <c r="VJQ69"/>
      <c r="VJR69"/>
      <c r="VJS69"/>
      <c r="VJT69"/>
      <c r="VJU69"/>
      <c r="VJV69"/>
      <c r="VJW69"/>
      <c r="VJX69"/>
      <c r="VJY69"/>
      <c r="VJZ69"/>
      <c r="VKA69"/>
      <c r="VKB69"/>
      <c r="VKC69"/>
      <c r="VKD69"/>
      <c r="VKE69"/>
      <c r="VKF69"/>
      <c r="VKG69"/>
      <c r="VKH69"/>
      <c r="VKI69"/>
      <c r="VKJ69"/>
      <c r="VKK69"/>
      <c r="VKL69"/>
      <c r="VKM69"/>
      <c r="VKN69"/>
      <c r="VKO69"/>
      <c r="VKP69"/>
      <c r="VKQ69"/>
      <c r="VKR69"/>
      <c r="VKS69"/>
      <c r="VKT69"/>
      <c r="VKU69"/>
      <c r="VKV69"/>
      <c r="VKW69"/>
      <c r="VKX69"/>
      <c r="VKY69"/>
      <c r="VKZ69"/>
      <c r="VLA69"/>
      <c r="VLB69"/>
      <c r="VLC69"/>
      <c r="VLD69"/>
      <c r="VLE69"/>
      <c r="VLF69"/>
      <c r="VLG69"/>
      <c r="VLH69"/>
      <c r="VLI69"/>
      <c r="VLJ69"/>
      <c r="VLK69"/>
      <c r="VLL69"/>
      <c r="VLM69"/>
      <c r="VLN69"/>
      <c r="VLO69"/>
      <c r="VLP69"/>
      <c r="VLQ69"/>
      <c r="VLR69"/>
      <c r="VLS69"/>
      <c r="VLT69"/>
      <c r="VLU69"/>
      <c r="VLV69"/>
      <c r="VLW69"/>
      <c r="VLX69"/>
      <c r="VLY69"/>
      <c r="VLZ69"/>
      <c r="VMA69"/>
      <c r="VMB69"/>
      <c r="VMC69"/>
      <c r="VMD69"/>
      <c r="VME69"/>
      <c r="VMF69"/>
      <c r="VMG69"/>
      <c r="VMH69"/>
      <c r="VMI69"/>
      <c r="VMJ69"/>
      <c r="VMK69"/>
      <c r="VML69"/>
      <c r="VMM69"/>
      <c r="VMN69"/>
      <c r="VMO69"/>
      <c r="VMP69"/>
      <c r="VMQ69"/>
      <c r="VMR69"/>
      <c r="VMS69"/>
      <c r="VMT69"/>
      <c r="VMU69"/>
      <c r="VMV69"/>
      <c r="VMW69"/>
      <c r="VMX69"/>
      <c r="VMY69"/>
      <c r="VMZ69"/>
      <c r="VNA69"/>
      <c r="VNB69"/>
      <c r="VNC69"/>
      <c r="VND69"/>
      <c r="VNE69"/>
      <c r="VNF69"/>
      <c r="VNG69"/>
      <c r="VNH69"/>
      <c r="VNI69"/>
      <c r="VNJ69"/>
      <c r="VNK69"/>
      <c r="VNL69"/>
      <c r="VNM69"/>
      <c r="VNN69"/>
      <c r="VNO69"/>
      <c r="VNP69"/>
      <c r="VNQ69"/>
      <c r="VNR69"/>
      <c r="VNS69"/>
      <c r="VNT69"/>
      <c r="VNU69"/>
      <c r="VNV69"/>
      <c r="VNW69"/>
      <c r="VNX69"/>
      <c r="VNY69"/>
      <c r="VNZ69"/>
      <c r="VOA69"/>
      <c r="VOB69"/>
      <c r="VOC69"/>
      <c r="VOD69"/>
      <c r="VOE69"/>
      <c r="VOF69"/>
      <c r="VOG69"/>
      <c r="VOH69"/>
      <c r="VOI69"/>
      <c r="VOJ69"/>
      <c r="VOK69"/>
      <c r="VOL69"/>
      <c r="VOM69"/>
      <c r="VON69"/>
      <c r="VOO69"/>
      <c r="VOP69"/>
      <c r="VOQ69"/>
      <c r="VOR69"/>
      <c r="VOS69"/>
      <c r="VOT69"/>
      <c r="VOU69"/>
      <c r="VOV69"/>
      <c r="VOW69"/>
      <c r="VOX69"/>
      <c r="VOY69"/>
      <c r="VOZ69"/>
      <c r="VPA69"/>
      <c r="VPB69"/>
      <c r="VPC69"/>
      <c r="VPD69"/>
      <c r="VPE69"/>
      <c r="VPF69"/>
      <c r="VPG69"/>
      <c r="VPH69"/>
      <c r="VPI69"/>
      <c r="VPJ69"/>
      <c r="VPK69"/>
      <c r="VPL69"/>
      <c r="VPM69"/>
      <c r="VPN69"/>
      <c r="VPO69"/>
      <c r="VPP69"/>
      <c r="VPQ69"/>
      <c r="VPR69"/>
      <c r="VPS69"/>
      <c r="VPT69"/>
      <c r="VPU69"/>
      <c r="VPV69"/>
      <c r="VPW69"/>
      <c r="VPX69"/>
      <c r="VPY69"/>
      <c r="VPZ69"/>
      <c r="VQA69"/>
      <c r="VQB69"/>
      <c r="VQC69"/>
      <c r="VQD69"/>
      <c r="VQE69"/>
      <c r="VQF69"/>
      <c r="VQG69"/>
      <c r="VQH69"/>
      <c r="VQI69"/>
      <c r="VQJ69"/>
      <c r="VQK69"/>
      <c r="VQL69"/>
      <c r="VQM69"/>
      <c r="VQN69"/>
      <c r="VQO69"/>
      <c r="VQP69"/>
      <c r="VQQ69"/>
      <c r="VQR69"/>
      <c r="VQS69"/>
      <c r="VQT69"/>
      <c r="VQU69"/>
      <c r="VQV69"/>
      <c r="VQW69"/>
      <c r="VQX69"/>
      <c r="VQY69"/>
      <c r="VQZ69"/>
      <c r="VRA69"/>
      <c r="VRB69"/>
      <c r="VRC69"/>
      <c r="VRD69"/>
      <c r="VRE69"/>
      <c r="VRF69"/>
      <c r="VRG69"/>
      <c r="VRH69"/>
      <c r="VRI69"/>
      <c r="VRJ69"/>
      <c r="VRK69"/>
      <c r="VRL69"/>
      <c r="VRM69"/>
      <c r="VRN69"/>
      <c r="VRO69"/>
      <c r="VRP69"/>
      <c r="VRQ69"/>
      <c r="VRR69"/>
      <c r="VRS69"/>
      <c r="VRT69"/>
      <c r="VRU69"/>
      <c r="VRV69"/>
      <c r="VRW69"/>
      <c r="VRX69"/>
      <c r="VRY69"/>
      <c r="VRZ69"/>
      <c r="VSA69"/>
      <c r="VSB69"/>
      <c r="VSC69"/>
      <c r="VSD69"/>
      <c r="VSE69"/>
      <c r="VSF69"/>
      <c r="VSG69"/>
      <c r="VSH69"/>
      <c r="VSI69"/>
      <c r="VSJ69"/>
      <c r="VSK69"/>
      <c r="VSL69"/>
      <c r="VSM69"/>
      <c r="VSN69"/>
      <c r="VSO69"/>
      <c r="VSP69"/>
      <c r="VSQ69"/>
      <c r="VSR69"/>
      <c r="VSS69"/>
      <c r="VST69"/>
      <c r="VSU69"/>
      <c r="VSV69"/>
      <c r="VSW69"/>
      <c r="VSX69"/>
      <c r="VSY69"/>
      <c r="VSZ69"/>
      <c r="VTA69"/>
      <c r="VTB69"/>
      <c r="VTC69"/>
      <c r="VTD69"/>
      <c r="VTE69"/>
      <c r="VTF69"/>
      <c r="VTG69"/>
      <c r="VTH69"/>
      <c r="VTI69"/>
      <c r="VTJ69"/>
      <c r="VTK69"/>
      <c r="VTL69"/>
      <c r="VTM69"/>
      <c r="VTN69"/>
      <c r="VTO69"/>
      <c r="VTP69"/>
      <c r="VTQ69"/>
      <c r="VTR69"/>
      <c r="VTS69"/>
      <c r="VTT69"/>
      <c r="VTU69"/>
      <c r="VTV69"/>
      <c r="VTW69"/>
      <c r="VTX69"/>
      <c r="VTY69"/>
      <c r="VTZ69"/>
      <c r="VUA69"/>
      <c r="VUB69"/>
      <c r="VUC69"/>
      <c r="VUD69"/>
      <c r="VUE69"/>
      <c r="VUF69"/>
      <c r="VUG69"/>
      <c r="VUH69"/>
      <c r="VUI69"/>
      <c r="VUJ69"/>
      <c r="VUK69"/>
      <c r="VUL69"/>
      <c r="VUM69"/>
      <c r="VUN69"/>
      <c r="VUO69"/>
      <c r="VUP69"/>
      <c r="VUQ69"/>
      <c r="VUR69"/>
      <c r="VUS69"/>
      <c r="VUT69"/>
      <c r="VUU69"/>
      <c r="VUV69"/>
      <c r="VUW69"/>
      <c r="VUX69"/>
      <c r="VUY69"/>
      <c r="VUZ69"/>
      <c r="VVA69"/>
      <c r="VVB69"/>
      <c r="VVC69"/>
      <c r="VVD69"/>
      <c r="VVE69"/>
      <c r="VVF69"/>
      <c r="VVG69"/>
      <c r="VVH69"/>
      <c r="VVI69"/>
      <c r="VVJ69"/>
      <c r="VVK69"/>
      <c r="VVL69"/>
      <c r="VVM69"/>
      <c r="VVN69"/>
      <c r="VVO69"/>
      <c r="VVP69"/>
      <c r="VVQ69"/>
      <c r="VVR69"/>
      <c r="VVS69"/>
      <c r="VVT69"/>
      <c r="VVU69"/>
      <c r="VVV69"/>
      <c r="VVW69"/>
      <c r="VVX69"/>
      <c r="VVY69"/>
      <c r="VVZ69"/>
      <c r="VWA69"/>
      <c r="VWB69"/>
      <c r="VWC69"/>
      <c r="VWD69"/>
      <c r="VWE69"/>
      <c r="VWF69"/>
      <c r="VWG69"/>
      <c r="VWH69"/>
      <c r="VWI69"/>
      <c r="VWJ69"/>
      <c r="VWK69"/>
      <c r="VWL69"/>
      <c r="VWM69"/>
      <c r="VWN69"/>
      <c r="VWO69"/>
      <c r="VWP69"/>
      <c r="VWQ69"/>
      <c r="VWR69"/>
      <c r="VWS69"/>
      <c r="VWT69"/>
      <c r="VWU69"/>
      <c r="VWV69"/>
      <c r="VWW69"/>
      <c r="VWX69"/>
      <c r="VWY69"/>
      <c r="VWZ69"/>
      <c r="VXA69"/>
      <c r="VXB69"/>
      <c r="VXC69"/>
      <c r="VXD69"/>
      <c r="VXE69"/>
      <c r="VXF69"/>
      <c r="VXG69"/>
      <c r="VXH69"/>
      <c r="VXI69"/>
      <c r="VXJ69"/>
      <c r="VXK69"/>
      <c r="VXL69"/>
      <c r="VXM69"/>
      <c r="VXN69"/>
      <c r="VXO69"/>
      <c r="VXP69"/>
      <c r="VXQ69"/>
      <c r="VXR69"/>
      <c r="VXS69"/>
      <c r="VXT69"/>
      <c r="VXU69"/>
      <c r="VXV69"/>
      <c r="VXW69"/>
      <c r="VXX69"/>
      <c r="VXY69"/>
      <c r="VXZ69"/>
      <c r="VYA69"/>
      <c r="VYB69"/>
      <c r="VYC69"/>
      <c r="VYD69"/>
      <c r="VYE69"/>
      <c r="VYF69"/>
      <c r="VYG69"/>
      <c r="VYH69"/>
      <c r="VYI69"/>
      <c r="VYJ69"/>
      <c r="VYK69"/>
      <c r="VYL69"/>
      <c r="VYM69"/>
      <c r="VYN69"/>
      <c r="VYO69"/>
      <c r="VYP69"/>
      <c r="VYQ69"/>
      <c r="VYR69"/>
      <c r="VYS69"/>
      <c r="VYT69"/>
      <c r="VYU69"/>
      <c r="VYV69"/>
      <c r="VYW69"/>
      <c r="VYX69"/>
      <c r="VYY69"/>
      <c r="VYZ69"/>
      <c r="VZA69"/>
      <c r="VZB69"/>
      <c r="VZC69"/>
      <c r="VZD69"/>
      <c r="VZE69"/>
      <c r="VZF69"/>
      <c r="VZG69"/>
      <c r="VZH69"/>
      <c r="VZI69"/>
      <c r="VZJ69"/>
      <c r="VZK69"/>
      <c r="VZL69"/>
      <c r="VZM69"/>
      <c r="VZN69"/>
      <c r="VZO69"/>
      <c r="VZP69"/>
      <c r="VZQ69"/>
      <c r="VZR69"/>
      <c r="VZS69"/>
      <c r="VZT69"/>
      <c r="VZU69"/>
      <c r="VZV69"/>
      <c r="VZW69"/>
      <c r="VZX69"/>
      <c r="VZY69"/>
      <c r="VZZ69"/>
      <c r="WAA69"/>
      <c r="WAB69"/>
      <c r="WAC69"/>
      <c r="WAD69"/>
      <c r="WAE69"/>
      <c r="WAF69"/>
      <c r="WAG69"/>
      <c r="WAH69"/>
      <c r="WAI69"/>
      <c r="WAJ69"/>
      <c r="WAK69"/>
      <c r="WAL69"/>
      <c r="WAM69"/>
      <c r="WAN69"/>
      <c r="WAO69"/>
      <c r="WAP69"/>
      <c r="WAQ69"/>
      <c r="WAR69"/>
      <c r="WAS69"/>
      <c r="WAT69"/>
      <c r="WAU69"/>
      <c r="WAV69"/>
      <c r="WAW69"/>
      <c r="WAX69"/>
      <c r="WAY69"/>
      <c r="WAZ69"/>
      <c r="WBA69"/>
      <c r="WBB69"/>
      <c r="WBC69"/>
      <c r="WBD69"/>
      <c r="WBE69"/>
      <c r="WBF69"/>
      <c r="WBG69"/>
      <c r="WBH69"/>
      <c r="WBI69"/>
      <c r="WBJ69"/>
      <c r="WBK69"/>
      <c r="WBL69"/>
      <c r="WBM69"/>
      <c r="WBN69"/>
      <c r="WBO69"/>
      <c r="WBP69"/>
      <c r="WBQ69"/>
      <c r="WBR69"/>
      <c r="WBS69"/>
      <c r="WBT69"/>
      <c r="WBU69"/>
      <c r="WBV69"/>
      <c r="WBW69"/>
      <c r="WBX69"/>
      <c r="WBY69"/>
      <c r="WBZ69"/>
      <c r="WCA69"/>
      <c r="WCB69"/>
      <c r="WCC69"/>
      <c r="WCD69"/>
      <c r="WCE69"/>
      <c r="WCF69"/>
      <c r="WCG69"/>
      <c r="WCH69"/>
      <c r="WCI69"/>
      <c r="WCJ69"/>
      <c r="WCK69"/>
      <c r="WCL69"/>
      <c r="WCM69"/>
      <c r="WCN69"/>
      <c r="WCO69"/>
      <c r="WCP69"/>
      <c r="WCQ69"/>
      <c r="WCR69"/>
      <c r="WCS69"/>
      <c r="WCT69"/>
      <c r="WCU69"/>
      <c r="WCV69"/>
      <c r="WCW69"/>
      <c r="WCX69"/>
      <c r="WCY69"/>
      <c r="WCZ69"/>
      <c r="WDA69"/>
      <c r="WDB69"/>
      <c r="WDC69"/>
      <c r="WDD69"/>
      <c r="WDE69"/>
      <c r="WDF69"/>
      <c r="WDG69"/>
      <c r="WDH69"/>
      <c r="WDI69"/>
      <c r="WDJ69"/>
      <c r="WDK69"/>
      <c r="WDL69"/>
      <c r="WDM69"/>
      <c r="WDN69"/>
      <c r="WDO69"/>
      <c r="WDP69"/>
      <c r="WDQ69"/>
      <c r="WDR69"/>
      <c r="WDS69"/>
      <c r="WDT69"/>
      <c r="WDU69"/>
      <c r="WDV69"/>
      <c r="WDW69"/>
      <c r="WDX69"/>
      <c r="WDY69"/>
      <c r="WDZ69"/>
      <c r="WEA69"/>
      <c r="WEB69"/>
      <c r="WEC69"/>
      <c r="WED69"/>
      <c r="WEE69"/>
      <c r="WEF69"/>
      <c r="WEG69"/>
      <c r="WEH69"/>
      <c r="WEI69"/>
      <c r="WEJ69"/>
      <c r="WEK69"/>
      <c r="WEL69"/>
      <c r="WEM69"/>
      <c r="WEN69"/>
      <c r="WEO69"/>
      <c r="WEP69"/>
      <c r="WEQ69"/>
      <c r="WER69"/>
      <c r="WES69"/>
      <c r="WET69"/>
      <c r="WEU69"/>
      <c r="WEV69"/>
      <c r="WEW69"/>
      <c r="WEX69"/>
      <c r="WEY69"/>
      <c r="WEZ69"/>
      <c r="WFA69"/>
      <c r="WFB69"/>
      <c r="WFC69"/>
      <c r="WFD69"/>
      <c r="WFE69"/>
      <c r="WFF69"/>
      <c r="WFG69"/>
      <c r="WFH69"/>
      <c r="WFI69"/>
      <c r="WFJ69"/>
      <c r="WFK69"/>
      <c r="WFL69"/>
      <c r="WFM69"/>
      <c r="WFN69"/>
      <c r="WFO69"/>
      <c r="WFP69"/>
      <c r="WFQ69"/>
      <c r="WFR69"/>
      <c r="WFS69"/>
      <c r="WFT69"/>
      <c r="WFU69"/>
      <c r="WFV69"/>
      <c r="WFW69"/>
      <c r="WFX69"/>
      <c r="WFY69"/>
      <c r="WFZ69"/>
      <c r="WGA69"/>
      <c r="WGB69"/>
      <c r="WGC69"/>
      <c r="WGD69"/>
      <c r="WGE69"/>
      <c r="WGF69"/>
      <c r="WGG69"/>
      <c r="WGH69"/>
      <c r="WGI69"/>
      <c r="WGJ69"/>
      <c r="WGK69"/>
      <c r="WGL69"/>
      <c r="WGM69"/>
      <c r="WGN69"/>
      <c r="WGO69"/>
      <c r="WGP69"/>
      <c r="WGQ69"/>
      <c r="WGR69"/>
      <c r="WGS69"/>
      <c r="WGT69"/>
      <c r="WGU69"/>
      <c r="WGV69"/>
      <c r="WGW69"/>
      <c r="WGX69"/>
      <c r="WGY69"/>
      <c r="WGZ69"/>
      <c r="WHA69"/>
      <c r="WHB69"/>
      <c r="WHC69"/>
      <c r="WHD69"/>
      <c r="WHE69"/>
      <c r="WHF69"/>
      <c r="WHG69"/>
      <c r="WHH69"/>
      <c r="WHI69"/>
      <c r="WHJ69"/>
      <c r="WHK69"/>
      <c r="WHL69"/>
      <c r="WHM69"/>
      <c r="WHN69"/>
      <c r="WHO69"/>
      <c r="WHP69"/>
      <c r="WHQ69"/>
      <c r="WHR69"/>
      <c r="WHS69"/>
      <c r="WHT69"/>
      <c r="WHU69"/>
      <c r="WHV69"/>
      <c r="WHW69"/>
      <c r="WHX69"/>
      <c r="WHY69"/>
      <c r="WHZ69"/>
      <c r="WIA69"/>
      <c r="WIB69"/>
      <c r="WIC69"/>
      <c r="WID69"/>
      <c r="WIE69"/>
      <c r="WIF69"/>
      <c r="WIG69"/>
      <c r="WIH69"/>
      <c r="WII69"/>
      <c r="WIJ69"/>
      <c r="WIK69"/>
      <c r="WIL69"/>
      <c r="WIM69"/>
      <c r="WIN69"/>
      <c r="WIO69"/>
      <c r="WIP69"/>
      <c r="WIQ69"/>
      <c r="WIR69"/>
      <c r="WIS69"/>
      <c r="WIT69"/>
      <c r="WIU69"/>
      <c r="WIV69"/>
      <c r="WIW69"/>
      <c r="WIX69"/>
      <c r="WIY69"/>
      <c r="WIZ69"/>
      <c r="WJA69"/>
      <c r="WJB69"/>
      <c r="WJC69"/>
      <c r="WJD69"/>
      <c r="WJE69"/>
      <c r="WJF69"/>
      <c r="WJG69"/>
      <c r="WJH69"/>
      <c r="WJI69"/>
      <c r="WJJ69"/>
      <c r="WJK69"/>
      <c r="WJL69"/>
      <c r="WJM69"/>
      <c r="WJN69"/>
      <c r="WJO69"/>
      <c r="WJP69"/>
      <c r="WJQ69"/>
      <c r="WJR69"/>
      <c r="WJS69"/>
      <c r="WJT69"/>
      <c r="WJU69"/>
      <c r="WJV69"/>
      <c r="WJW69"/>
      <c r="WJX69"/>
      <c r="WJY69"/>
      <c r="WJZ69"/>
      <c r="WKA69"/>
      <c r="WKB69"/>
      <c r="WKC69"/>
      <c r="WKD69"/>
      <c r="WKE69"/>
      <c r="WKF69"/>
      <c r="WKG69"/>
      <c r="WKH69"/>
      <c r="WKI69"/>
      <c r="WKJ69"/>
      <c r="WKK69"/>
      <c r="WKL69"/>
      <c r="WKM69"/>
      <c r="WKN69"/>
      <c r="WKO69"/>
      <c r="WKP69"/>
      <c r="WKQ69"/>
      <c r="WKR69"/>
      <c r="WKS69"/>
      <c r="WKT69"/>
      <c r="WKU69"/>
      <c r="WKV69"/>
      <c r="WKW69"/>
      <c r="WKX69"/>
      <c r="WKY69"/>
      <c r="WKZ69"/>
      <c r="WLA69"/>
      <c r="WLB69"/>
      <c r="WLC69"/>
      <c r="WLD69"/>
      <c r="WLE69"/>
      <c r="WLF69"/>
      <c r="WLG69"/>
      <c r="WLH69"/>
      <c r="WLI69"/>
      <c r="WLJ69"/>
      <c r="WLK69"/>
      <c r="WLL69"/>
      <c r="WLM69"/>
      <c r="WLN69"/>
      <c r="WLO69"/>
      <c r="WLP69"/>
      <c r="WLQ69"/>
      <c r="WLR69"/>
      <c r="WLS69"/>
      <c r="WLT69"/>
      <c r="WLU69"/>
      <c r="WLV69"/>
      <c r="WLW69"/>
      <c r="WLX69"/>
      <c r="WLY69"/>
      <c r="WLZ69"/>
      <c r="WMA69"/>
      <c r="WMB69"/>
      <c r="WMC69"/>
      <c r="WMD69"/>
      <c r="WME69"/>
      <c r="WMF69"/>
      <c r="WMG69"/>
      <c r="WMH69"/>
      <c r="WMI69"/>
      <c r="WMJ69"/>
      <c r="WMK69"/>
      <c r="WML69"/>
      <c r="WMM69"/>
      <c r="WMN69"/>
      <c r="WMO69"/>
      <c r="WMP69"/>
      <c r="WMQ69"/>
      <c r="WMR69"/>
      <c r="WMS69"/>
      <c r="WMT69"/>
      <c r="WMU69"/>
      <c r="WMV69"/>
      <c r="WMW69"/>
      <c r="WMX69"/>
      <c r="WMY69"/>
      <c r="WMZ69"/>
      <c r="WNA69"/>
      <c r="WNB69"/>
      <c r="WNC69"/>
      <c r="WND69"/>
      <c r="WNE69"/>
      <c r="WNF69"/>
      <c r="WNG69"/>
      <c r="WNH69"/>
      <c r="WNI69"/>
      <c r="WNJ69"/>
      <c r="WNK69"/>
      <c r="WNL69"/>
      <c r="WNM69"/>
      <c r="WNN69"/>
      <c r="WNO69"/>
      <c r="WNP69"/>
      <c r="WNQ69"/>
      <c r="WNR69"/>
      <c r="WNS69"/>
      <c r="WNT69"/>
      <c r="WNU69"/>
      <c r="WNV69"/>
      <c r="WNW69"/>
      <c r="WNX69"/>
      <c r="WNY69"/>
      <c r="WNZ69"/>
      <c r="WOA69"/>
      <c r="WOB69"/>
      <c r="WOC69"/>
      <c r="WOD69"/>
      <c r="WOE69"/>
      <c r="WOF69"/>
      <c r="WOG69"/>
      <c r="WOH69"/>
      <c r="WOI69"/>
      <c r="WOJ69"/>
      <c r="WOK69"/>
      <c r="WOL69"/>
      <c r="WOM69"/>
      <c r="WON69"/>
      <c r="WOO69"/>
      <c r="WOP69"/>
      <c r="WOQ69"/>
      <c r="WOR69"/>
      <c r="WOS69"/>
      <c r="WOT69"/>
      <c r="WOU69"/>
      <c r="WOV69"/>
      <c r="WOW69"/>
      <c r="WOX69"/>
      <c r="WOY69"/>
      <c r="WOZ69"/>
      <c r="WPA69"/>
      <c r="WPB69"/>
      <c r="WPC69"/>
      <c r="WPD69"/>
      <c r="WPE69"/>
      <c r="WPF69"/>
      <c r="WPG69"/>
      <c r="WPH69"/>
      <c r="WPI69"/>
      <c r="WPJ69"/>
      <c r="WPK69"/>
      <c r="WPL69"/>
      <c r="WPM69"/>
      <c r="WPN69"/>
      <c r="WPO69"/>
      <c r="WPP69"/>
      <c r="WPQ69"/>
      <c r="WPR69"/>
      <c r="WPS69"/>
      <c r="WPT69"/>
      <c r="WPU69"/>
      <c r="WPV69"/>
      <c r="WPW69"/>
      <c r="WPX69"/>
      <c r="WPY69"/>
      <c r="WPZ69"/>
      <c r="WQA69"/>
      <c r="WQB69"/>
      <c r="WQC69"/>
      <c r="WQD69"/>
      <c r="WQE69"/>
      <c r="WQF69"/>
      <c r="WQG69"/>
      <c r="WQH69"/>
      <c r="WQI69"/>
      <c r="WQJ69"/>
      <c r="WQK69"/>
      <c r="WQL69"/>
      <c r="WQM69"/>
      <c r="WQN69"/>
      <c r="WQO69"/>
      <c r="WQP69"/>
      <c r="WQQ69"/>
      <c r="WQR69"/>
      <c r="WQS69"/>
      <c r="WQT69"/>
      <c r="WQU69"/>
      <c r="WQV69"/>
      <c r="WQW69"/>
      <c r="WQX69"/>
      <c r="WQY69"/>
      <c r="WQZ69"/>
      <c r="WRA69"/>
      <c r="WRB69"/>
      <c r="WRC69"/>
      <c r="WRD69"/>
      <c r="WRE69"/>
      <c r="WRF69"/>
      <c r="WRG69"/>
      <c r="WRH69"/>
      <c r="WRI69"/>
      <c r="WRJ69"/>
      <c r="WRK69"/>
      <c r="WRL69"/>
      <c r="WRM69"/>
      <c r="WRN69"/>
      <c r="WRO69"/>
      <c r="WRP69"/>
      <c r="WRQ69"/>
      <c r="WRR69"/>
      <c r="WRS69"/>
      <c r="WRT69"/>
      <c r="WRU69"/>
      <c r="WRV69"/>
      <c r="WRW69"/>
      <c r="WRX69"/>
      <c r="WRY69"/>
      <c r="WRZ69"/>
      <c r="WSA69"/>
      <c r="WSB69"/>
      <c r="WSC69"/>
      <c r="WSD69"/>
      <c r="WSE69"/>
      <c r="WSF69"/>
      <c r="WSG69"/>
      <c r="WSH69"/>
      <c r="WSI69"/>
      <c r="WSJ69"/>
      <c r="WSK69"/>
      <c r="WSL69"/>
      <c r="WSM69"/>
      <c r="WSN69"/>
      <c r="WSO69"/>
      <c r="WSP69"/>
      <c r="WSQ69"/>
      <c r="WSR69"/>
      <c r="WSS69"/>
      <c r="WST69"/>
      <c r="WSU69"/>
      <c r="WSV69"/>
      <c r="WSW69"/>
      <c r="WSX69"/>
      <c r="WSY69"/>
      <c r="WSZ69"/>
      <c r="WTA69"/>
      <c r="WTB69"/>
      <c r="WTC69"/>
      <c r="WTD69"/>
      <c r="WTE69"/>
      <c r="WTF69"/>
      <c r="WTG69"/>
      <c r="WTH69"/>
      <c r="WTI69"/>
      <c r="WTJ69"/>
      <c r="WTK69"/>
      <c r="WTL69"/>
      <c r="WTM69"/>
      <c r="WTN69"/>
      <c r="WTO69"/>
      <c r="WTP69"/>
      <c r="WTQ69"/>
      <c r="WTR69"/>
      <c r="WTS69"/>
      <c r="WTT69"/>
      <c r="WTU69"/>
      <c r="WTV69"/>
      <c r="WTW69"/>
      <c r="WTX69"/>
      <c r="WTY69"/>
      <c r="WTZ69"/>
      <c r="WUA69"/>
      <c r="WUB69"/>
      <c r="WUC69"/>
      <c r="WUD69"/>
      <c r="WUE69"/>
      <c r="WUF69"/>
      <c r="WUG69"/>
      <c r="WUH69"/>
      <c r="WUI69"/>
      <c r="WUJ69"/>
      <c r="WUK69"/>
      <c r="WUL69"/>
      <c r="WUM69"/>
      <c r="WUN69"/>
      <c r="WUO69"/>
      <c r="WUP69"/>
      <c r="WUQ69"/>
      <c r="WUR69"/>
      <c r="WUS69"/>
      <c r="WUT69"/>
      <c r="WUU69"/>
      <c r="WUV69"/>
      <c r="WUW69"/>
      <c r="WUX69"/>
      <c r="WUY69"/>
      <c r="WUZ69"/>
      <c r="WVA69"/>
      <c r="WVB69"/>
      <c r="WVC69"/>
      <c r="WVD69"/>
      <c r="WVE69"/>
      <c r="WVF69"/>
      <c r="WVG69"/>
      <c r="WVH69"/>
      <c r="WVI69"/>
      <c r="WVJ69"/>
      <c r="WVK69"/>
      <c r="WVL69"/>
      <c r="WVM69"/>
      <c r="WVN69"/>
      <c r="WVO69"/>
      <c r="WVP69"/>
      <c r="WVQ69"/>
      <c r="WVR69"/>
      <c r="WVS69"/>
      <c r="WVT69"/>
      <c r="WVU69"/>
      <c r="WVV69"/>
      <c r="WVW69"/>
      <c r="WVX69"/>
      <c r="WVY69"/>
      <c r="WVZ69"/>
      <c r="WWA69"/>
      <c r="WWB69"/>
      <c r="WWC69"/>
      <c r="WWD69"/>
      <c r="WWE69"/>
      <c r="WWF69"/>
      <c r="WWG69"/>
      <c r="WWH69"/>
      <c r="WWI69"/>
      <c r="WWJ69"/>
      <c r="WWK69"/>
      <c r="WWL69"/>
      <c r="WWM69"/>
      <c r="WWN69"/>
      <c r="WWO69"/>
      <c r="WWP69"/>
      <c r="WWQ69"/>
      <c r="WWR69"/>
      <c r="WWS69"/>
      <c r="WWT69"/>
      <c r="WWU69"/>
      <c r="WWV69"/>
      <c r="WWW69"/>
      <c r="WWX69"/>
      <c r="WWY69"/>
      <c r="WWZ69"/>
      <c r="WXA69"/>
      <c r="WXB69"/>
      <c r="WXC69"/>
      <c r="WXD69"/>
      <c r="WXE69"/>
      <c r="WXF69"/>
      <c r="WXG69"/>
      <c r="WXH69"/>
      <c r="WXI69"/>
      <c r="WXJ69"/>
      <c r="WXK69"/>
      <c r="WXL69"/>
      <c r="WXM69"/>
      <c r="WXN69"/>
      <c r="WXO69"/>
      <c r="WXP69"/>
      <c r="WXQ69"/>
      <c r="WXR69"/>
      <c r="WXS69"/>
      <c r="WXT69"/>
      <c r="WXU69"/>
      <c r="WXV69"/>
      <c r="WXW69"/>
      <c r="WXX69"/>
      <c r="WXY69"/>
      <c r="WXZ69"/>
      <c r="WYA69"/>
      <c r="WYB69"/>
      <c r="WYC69"/>
      <c r="WYD69"/>
      <c r="WYE69"/>
      <c r="WYF69"/>
      <c r="WYG69"/>
      <c r="WYH69"/>
      <c r="WYI69"/>
      <c r="WYJ69"/>
      <c r="WYK69"/>
      <c r="WYL69"/>
      <c r="WYM69"/>
      <c r="WYN69"/>
      <c r="WYO69"/>
      <c r="WYP69"/>
      <c r="WYQ69"/>
      <c r="WYR69"/>
      <c r="WYS69"/>
      <c r="WYT69"/>
      <c r="WYU69"/>
      <c r="WYV69"/>
      <c r="WYW69"/>
      <c r="WYX69"/>
      <c r="WYY69"/>
      <c r="WYZ69"/>
      <c r="WZA69"/>
      <c r="WZB69"/>
      <c r="WZC69"/>
      <c r="WZD69"/>
      <c r="WZE69"/>
      <c r="WZF69"/>
      <c r="WZG69"/>
      <c r="WZH69"/>
      <c r="WZI69"/>
      <c r="WZJ69"/>
      <c r="WZK69"/>
      <c r="WZL69"/>
      <c r="WZM69"/>
      <c r="WZN69"/>
      <c r="WZO69"/>
      <c r="WZP69"/>
      <c r="WZQ69"/>
      <c r="WZR69"/>
      <c r="WZS69"/>
      <c r="WZT69"/>
      <c r="WZU69"/>
      <c r="WZV69"/>
      <c r="WZW69"/>
      <c r="WZX69"/>
      <c r="WZY69"/>
      <c r="WZZ69"/>
      <c r="XAA69"/>
      <c r="XAB69"/>
      <c r="XAC69"/>
      <c r="XAD69"/>
      <c r="XAE69"/>
      <c r="XAF69"/>
      <c r="XAG69"/>
      <c r="XAH69"/>
      <c r="XAI69"/>
      <c r="XAJ69"/>
      <c r="XAK69"/>
      <c r="XAL69"/>
      <c r="XAM69"/>
      <c r="XAN69"/>
      <c r="XAO69"/>
      <c r="XAP69"/>
      <c r="XAQ69"/>
      <c r="XAR69"/>
      <c r="XAS69"/>
      <c r="XAT69"/>
      <c r="XAU69"/>
      <c r="XAV69"/>
      <c r="XAW69"/>
      <c r="XAX69"/>
      <c r="XAY69"/>
      <c r="XAZ69"/>
      <c r="XBA69"/>
      <c r="XBB69"/>
      <c r="XBC69"/>
      <c r="XBD69"/>
      <c r="XBE69"/>
      <c r="XBF69"/>
      <c r="XBG69"/>
      <c r="XBH69"/>
      <c r="XBI69"/>
      <c r="XBJ69"/>
      <c r="XBK69"/>
      <c r="XBL69"/>
      <c r="XBM69"/>
      <c r="XBN69"/>
      <c r="XBO69"/>
      <c r="XBP69"/>
      <c r="XBQ69"/>
      <c r="XBR69"/>
      <c r="XBS69"/>
      <c r="XBT69"/>
      <c r="XBU69"/>
      <c r="XBV69"/>
      <c r="XBW69"/>
      <c r="XBX69"/>
      <c r="XBY69"/>
      <c r="XBZ69"/>
      <c r="XCA69"/>
      <c r="XCB69"/>
      <c r="XCC69"/>
      <c r="XCD69"/>
      <c r="XCE69"/>
      <c r="XCF69"/>
      <c r="XCG69"/>
      <c r="XCH69"/>
      <c r="XCI69"/>
      <c r="XCJ69"/>
      <c r="XCK69"/>
      <c r="XCL69"/>
      <c r="XCM69"/>
      <c r="XCN69"/>
      <c r="XCO69"/>
      <c r="XCP69"/>
      <c r="XCQ69"/>
      <c r="XCR69"/>
      <c r="XCS69"/>
      <c r="XCT69"/>
      <c r="XCU69"/>
      <c r="XCV69"/>
      <c r="XCW69"/>
      <c r="XCX69"/>
      <c r="XCY69"/>
      <c r="XCZ69"/>
      <c r="XDA69"/>
      <c r="XDB69"/>
      <c r="XDC69"/>
      <c r="XDD69"/>
      <c r="XDE69"/>
      <c r="XDF69"/>
      <c r="XDG69"/>
      <c r="XDH69"/>
      <c r="XDI69"/>
      <c r="XDJ69"/>
      <c r="XDK69"/>
      <c r="XDL69"/>
      <c r="XDM69"/>
      <c r="XDN69"/>
      <c r="XDO69"/>
      <c r="XDP69"/>
      <c r="XDQ69"/>
      <c r="XDR69"/>
      <c r="XDS69"/>
      <c r="XDT69"/>
      <c r="XDU69"/>
      <c r="XDV69"/>
      <c r="XDW69"/>
      <c r="XDX69"/>
      <c r="XDY69"/>
      <c r="XDZ69"/>
      <c r="XEA69"/>
      <c r="XEB69"/>
      <c r="XEC69"/>
      <c r="XED69"/>
      <c r="XEE69"/>
      <c r="XEF69"/>
      <c r="XEG69"/>
      <c r="XEH69"/>
      <c r="XEI69"/>
      <c r="XEJ69"/>
      <c r="XEK69"/>
      <c r="XEL69"/>
      <c r="XEM69"/>
      <c r="XEN69"/>
      <c r="XEO69"/>
      <c r="XEP69"/>
      <c r="XEQ69"/>
      <c r="XER69"/>
      <c r="XES69"/>
      <c r="XET69"/>
      <c r="XEU69"/>
      <c r="XEV69"/>
      <c r="XEW69"/>
      <c r="XEX69"/>
      <c r="XEY69"/>
      <c r="XEZ69"/>
      <c r="XFA69"/>
      <c r="XFB69"/>
      <c r="XFC69"/>
    </row>
    <row r="70" spans="2:16383" ht="5.0999999999999996" customHeight="1"/>
    <row r="71" spans="2:16383">
      <c r="B71" t="s">
        <v>26</v>
      </c>
      <c r="C71" s="7">
        <f t="shared" ref="C71:K71" ca="1" si="11">+C68</f>
        <v>-355.77683916577718</v>
      </c>
      <c r="D71" s="7">
        <f t="shared" ca="1" si="11"/>
        <v>-239.23089453787844</v>
      </c>
      <c r="E71" s="7">
        <f t="shared" ca="1" si="11"/>
        <v>-244.06655732765608</v>
      </c>
      <c r="F71" s="7">
        <f t="shared" ca="1" si="11"/>
        <v>-162.31811898983719</v>
      </c>
      <c r="G71" s="7">
        <f t="shared" ca="1" si="11"/>
        <v>-141.3934463253934</v>
      </c>
      <c r="H71" s="7">
        <f t="shared" ca="1" si="11"/>
        <v>-52.628475340404528</v>
      </c>
      <c r="I71" s="7">
        <f t="shared" ca="1" si="11"/>
        <v>73.647097533817487</v>
      </c>
      <c r="J71" s="7">
        <f t="shared" ca="1" si="11"/>
        <v>240.25242646836426</v>
      </c>
      <c r="K71" s="7">
        <f t="shared" ca="1" si="11"/>
        <v>403.71935333292612</v>
      </c>
      <c r="L71" s="7">
        <f ca="1">+L68+L75</f>
        <v>13094.188742285374</v>
      </c>
      <c r="M71" s="7"/>
    </row>
    <row r="72" spans="2:16383">
      <c r="B72" t="s">
        <v>12</v>
      </c>
      <c r="C72" s="4">
        <f t="shared" ref="C72:L72" ca="1" si="12">+(1+C$46)^(C$50-$C$47-$C$48)</f>
        <v>0.98266956274052097</v>
      </c>
      <c r="D72" s="4">
        <f t="shared" ca="1" si="12"/>
        <v>1.0679764388280464</v>
      </c>
      <c r="E72" s="4">
        <f t="shared" ca="1" si="12"/>
        <v>1.1602056447807161</v>
      </c>
      <c r="F72" s="4">
        <f t="shared" ca="1" si="12"/>
        <v>1.2598747018699024</v>
      </c>
      <c r="G72" s="4">
        <f t="shared" ca="1" si="12"/>
        <v>1.3675359722686065</v>
      </c>
      <c r="H72" s="4">
        <f t="shared" ca="1" si="12"/>
        <v>1.4837786860966469</v>
      </c>
      <c r="I72" s="4">
        <f t="shared" ca="1" si="12"/>
        <v>1.6092310612992486</v>
      </c>
      <c r="J72" s="4">
        <f t="shared" ca="1" si="12"/>
        <v>1.744562518690179</v>
      </c>
      <c r="K72" s="4">
        <f t="shared" ca="1" si="12"/>
        <v>1.8904859943936896</v>
      </c>
      <c r="L72" s="4">
        <f t="shared" ca="1" si="12"/>
        <v>2.0515175913961441</v>
      </c>
      <c r="M72" s="4"/>
    </row>
    <row r="73" spans="2:16383">
      <c r="B73" t="s">
        <v>15</v>
      </c>
      <c r="C73" s="7">
        <f t="shared" ref="C73:L73" ca="1" si="13">+C71/C72</f>
        <v>-362.05134732530826</v>
      </c>
      <c r="D73" s="7">
        <f t="shared" ca="1" si="13"/>
        <v>-224.00390667831644</v>
      </c>
      <c r="E73" s="7">
        <f t="shared" ca="1" si="13"/>
        <v>-210.36491110486341</v>
      </c>
      <c r="F73" s="7">
        <f t="shared" ca="1" si="13"/>
        <v>-128.8367158646214</v>
      </c>
      <c r="G73" s="7">
        <f t="shared" ca="1" si="13"/>
        <v>-103.39285341857276</v>
      </c>
      <c r="H73" s="7">
        <f t="shared" ca="1" si="13"/>
        <v>-35.469221814240655</v>
      </c>
      <c r="I73" s="7">
        <f t="shared" ca="1" si="13"/>
        <v>45.765396471005758</v>
      </c>
      <c r="J73" s="7">
        <f t="shared" ca="1" si="13"/>
        <v>137.71499954541397</v>
      </c>
      <c r="K73" s="7">
        <f t="shared" ca="1" si="13"/>
        <v>213.55321040736177</v>
      </c>
      <c r="L73" s="7">
        <f t="shared" ca="1" si="13"/>
        <v>6382.6841150185937</v>
      </c>
      <c r="M73" s="7"/>
    </row>
    <row r="74" spans="2:16383" ht="5.0999999999999996" customHeight="1"/>
    <row r="75" spans="2:16383">
      <c r="B75" s="3" t="s">
        <v>16</v>
      </c>
      <c r="C75" s="103">
        <f ca="1">+SUM(C73:M73)</f>
        <v>5715.5987652364529</v>
      </c>
      <c r="K75" s="10" t="s">
        <v>95</v>
      </c>
      <c r="L75" s="103">
        <f ca="1">(M68)/(L46-L85)</f>
        <v>12531.598236972593</v>
      </c>
    </row>
    <row r="76" spans="2:16383">
      <c r="B76" s="106" t="s">
        <v>17</v>
      </c>
      <c r="C76" s="104">
        <f>-INDEX(Model!$1:$1048576,MATCH("Total Debt",Model!$A:$A,0),MATCH(DCF!$C$51-1,Model!$3:$3,0))</f>
        <v>-1293.2059999999999</v>
      </c>
      <c r="K76" s="110" t="s">
        <v>17</v>
      </c>
      <c r="L76" s="102">
        <f>-INDEX(Model!$1:$1048576,MATCH("Total Debt",Model!$A:$A,0),MATCH(DCF!$L$51,Model!$3:$3,0))</f>
        <v>-2331.9139703672208</v>
      </c>
    </row>
    <row r="77" spans="2:16383">
      <c r="B77" s="106" t="s">
        <v>18</v>
      </c>
      <c r="C77" s="189">
        <v>0</v>
      </c>
      <c r="K77" s="110" t="s">
        <v>18</v>
      </c>
      <c r="L77" s="189">
        <v>0</v>
      </c>
    </row>
    <row r="78" spans="2:16383">
      <c r="B78" s="106" t="s">
        <v>19</v>
      </c>
      <c r="C78" s="189">
        <v>0</v>
      </c>
      <c r="K78" s="110" t="s">
        <v>19</v>
      </c>
      <c r="L78" s="189">
        <v>0</v>
      </c>
    </row>
    <row r="79" spans="2:16383">
      <c r="B79" s="107" t="s">
        <v>20</v>
      </c>
      <c r="C79" s="105">
        <f>INDEX(Model!$1:$1048576,MATCH("Cash &amp; Equivalents",Model!$A:$A,0),MATCH(DCF!$C$21-1,Model!$3:$3,0))+INDEX(Model!$1:$1048576,MATCH("Available-for-sale securities",Model!$A:$A,0),MATCH(DCF!$C$21-1,Model!$3:$3,0))</f>
        <v>1821.8430000000001</v>
      </c>
      <c r="K79" s="111" t="s">
        <v>20</v>
      </c>
      <c r="L79" s="112">
        <f ca="1">INDEX(Model!$1:$1048576,MATCH("Cash &amp; Equivalents",Model!$A:$A,0),MATCH(DCF!$L$51,Model!$3:$3,0))+INDEX(Model!$1:$1048576,MATCH("Available-for-sale securities",Model!$A:$A,0),MATCH(DCF!$L$51,Model!$3:$3,0))</f>
        <v>3740.6634863827767</v>
      </c>
    </row>
    <row r="80" spans="2:16383">
      <c r="B80" s="2" t="s">
        <v>21</v>
      </c>
      <c r="C80" s="109">
        <f ca="1">SUM(C75:C79)</f>
        <v>6244.2357652364526</v>
      </c>
      <c r="D80" s="154"/>
      <c r="E80" s="9"/>
      <c r="F80" s="9"/>
      <c r="G80" s="9"/>
      <c r="H80" s="9"/>
      <c r="I80" s="9"/>
      <c r="J80" s="9"/>
      <c r="K80" s="11" t="s">
        <v>96</v>
      </c>
      <c r="L80" s="109">
        <f ca="1">+SUM(L75:L79)</f>
        <v>13940.347752988149</v>
      </c>
    </row>
    <row r="81" spans="2:15" ht="15.75" thickBot="1">
      <c r="B81" s="108" t="s">
        <v>22</v>
      </c>
      <c r="C81" s="147">
        <f>C34</f>
        <v>323.61200000000002</v>
      </c>
      <c r="K81" s="111" t="s">
        <v>22</v>
      </c>
      <c r="L81" s="146">
        <f ca="1">INDEX(Model!$1:$1048576,MATCH("Ending common stock (#)",Model!$A:$A,0),MATCH(DCF!$L$51,Model!$3:$3,0))</f>
        <v>347.58194048585608</v>
      </c>
    </row>
    <row r="82" spans="2:15" ht="15.75" thickBot="1">
      <c r="B82" s="115" t="s">
        <v>23</v>
      </c>
      <c r="C82" s="114">
        <f ca="1">+C80/C81</f>
        <v>19.295439493085709</v>
      </c>
      <c r="D82" s="9"/>
      <c r="E82" s="9"/>
      <c r="F82" s="9"/>
      <c r="G82" s="9"/>
      <c r="H82" s="9"/>
      <c r="I82" s="9"/>
      <c r="J82" s="9"/>
      <c r="K82" s="11" t="s">
        <v>24</v>
      </c>
      <c r="L82" s="13">
        <f ca="1">+L80/L81</f>
        <v>40.106651494902437</v>
      </c>
    </row>
    <row r="83" spans="2:15">
      <c r="K83" s="10" t="s">
        <v>71</v>
      </c>
      <c r="L83" s="295">
        <f ca="1">IFERROR(L82/L84,"na")</f>
        <v>23.871845196192808</v>
      </c>
    </row>
    <row r="84" spans="2:15">
      <c r="K84" s="10" t="str">
        <f>$L$51+1&amp;" EPS (1Y Forward)"</f>
        <v>2032 EPS (1Y Forward)</v>
      </c>
      <c r="L84" s="57">
        <f ca="1">+M53</f>
        <v>1.6800817517574564</v>
      </c>
      <c r="O84" s="7"/>
    </row>
    <row r="85" spans="2:15">
      <c r="K85" s="10" t="s">
        <v>50</v>
      </c>
      <c r="L85" s="294">
        <f>+$K$36</f>
        <v>4.4999999999999998E-2</v>
      </c>
    </row>
    <row r="87" spans="2:15">
      <c r="C87" s="156"/>
      <c r="D87" s="156"/>
      <c r="E87" s="156"/>
      <c r="F87" s="156"/>
      <c r="G87" s="156"/>
      <c r="H87" s="156"/>
      <c r="I87" s="156"/>
      <c r="J87" s="156"/>
      <c r="K87" s="156"/>
      <c r="L87" s="156"/>
    </row>
    <row r="88" spans="2:15" hidden="1" outlineLevel="1">
      <c r="B88" s="12" t="s">
        <v>83</v>
      </c>
      <c r="C88" s="12"/>
      <c r="D88" s="12"/>
      <c r="E88" s="12"/>
    </row>
    <row r="89" spans="2:15" hidden="1" outlineLevel="1">
      <c r="B89" t="s">
        <v>73</v>
      </c>
      <c r="C89" t="s">
        <v>246</v>
      </c>
      <c r="D89" t="s">
        <v>244</v>
      </c>
      <c r="E89" t="s">
        <v>1</v>
      </c>
    </row>
    <row r="90" spans="2:15" hidden="1" outlineLevel="1">
      <c r="B90" t="s">
        <v>75</v>
      </c>
      <c r="C90" t="s">
        <v>247</v>
      </c>
      <c r="D90" t="s">
        <v>81</v>
      </c>
      <c r="E90" t="s">
        <v>55</v>
      </c>
    </row>
    <row r="91" spans="2:15" hidden="1" outlineLevel="1">
      <c r="B91" t="s">
        <v>78</v>
      </c>
      <c r="C91" t="s">
        <v>248</v>
      </c>
      <c r="D91" t="s">
        <v>249</v>
      </c>
      <c r="E91" t="s">
        <v>84</v>
      </c>
    </row>
    <row r="92" spans="2:15" hidden="1" outlineLevel="1">
      <c r="B92" t="s">
        <v>76</v>
      </c>
      <c r="C92" t="s">
        <v>250</v>
      </c>
      <c r="D92" t="s">
        <v>251</v>
      </c>
      <c r="E92" t="s">
        <v>252</v>
      </c>
    </row>
    <row r="93" spans="2:15" hidden="1" outlineLevel="1">
      <c r="B93" t="s">
        <v>80</v>
      </c>
      <c r="C93" t="s">
        <v>253</v>
      </c>
      <c r="D93" t="s">
        <v>254</v>
      </c>
    </row>
    <row r="94" spans="2:15" hidden="1" outlineLevel="1">
      <c r="B94" t="s">
        <v>77</v>
      </c>
      <c r="C94" t="s">
        <v>255</v>
      </c>
      <c r="D94" t="s">
        <v>256</v>
      </c>
    </row>
    <row r="95" spans="2:15" hidden="1" outlineLevel="1">
      <c r="B95" t="s">
        <v>47</v>
      </c>
      <c r="C95" t="s">
        <v>257</v>
      </c>
      <c r="D95" t="s">
        <v>258</v>
      </c>
    </row>
    <row r="96" spans="2:15" hidden="1" outlineLevel="1">
      <c r="B96" t="s">
        <v>74</v>
      </c>
      <c r="C96" t="s">
        <v>259</v>
      </c>
      <c r="D96" t="s">
        <v>260</v>
      </c>
    </row>
    <row r="97" spans="2:4" hidden="1" outlineLevel="1">
      <c r="B97" t="s">
        <v>45</v>
      </c>
      <c r="C97" t="s">
        <v>261</v>
      </c>
      <c r="D97" t="s">
        <v>262</v>
      </c>
    </row>
    <row r="98" spans="2:4" hidden="1" outlineLevel="1">
      <c r="B98" t="s">
        <v>79</v>
      </c>
      <c r="C98" t="s">
        <v>263</v>
      </c>
      <c r="D98" t="s">
        <v>264</v>
      </c>
    </row>
    <row r="99" spans="2:4" hidden="1" outlineLevel="1">
      <c r="B99" t="s">
        <v>46</v>
      </c>
      <c r="C99" t="s">
        <v>265</v>
      </c>
      <c r="D99" t="s">
        <v>266</v>
      </c>
    </row>
    <row r="100" spans="2:4" hidden="1" outlineLevel="1">
      <c r="C100" t="s">
        <v>267</v>
      </c>
      <c r="D100" t="s">
        <v>268</v>
      </c>
    </row>
    <row r="101" spans="2:4" hidden="1" outlineLevel="1">
      <c r="C101" t="s">
        <v>269</v>
      </c>
      <c r="D101" t="s">
        <v>270</v>
      </c>
    </row>
    <row r="102" spans="2:4" hidden="1" outlineLevel="1">
      <c r="C102" t="s">
        <v>271</v>
      </c>
      <c r="D102" t="s">
        <v>272</v>
      </c>
    </row>
    <row r="103" spans="2:4" hidden="1" outlineLevel="1">
      <c r="C103" t="s">
        <v>273</v>
      </c>
      <c r="D103" t="s">
        <v>274</v>
      </c>
    </row>
    <row r="104" spans="2:4" hidden="1" outlineLevel="1">
      <c r="C104" t="s">
        <v>275</v>
      </c>
    </row>
    <row r="105" spans="2:4" hidden="1" outlineLevel="1">
      <c r="C105" t="s">
        <v>276</v>
      </c>
    </row>
    <row r="106" spans="2:4" hidden="1" outlineLevel="1">
      <c r="C106" t="s">
        <v>277</v>
      </c>
    </row>
    <row r="107" spans="2:4" hidden="1" outlineLevel="1">
      <c r="C107" t="s">
        <v>278</v>
      </c>
    </row>
    <row r="108" spans="2:4" hidden="1" outlineLevel="1">
      <c r="C108" t="s">
        <v>279</v>
      </c>
    </row>
    <row r="109" spans="2:4" hidden="1" outlineLevel="1">
      <c r="C109" t="s">
        <v>280</v>
      </c>
    </row>
    <row r="110" spans="2:4" hidden="1" outlineLevel="1">
      <c r="C110" t="s">
        <v>281</v>
      </c>
    </row>
    <row r="111" spans="2:4" hidden="1" outlineLevel="1">
      <c r="C111" t="s">
        <v>282</v>
      </c>
    </row>
    <row r="112" spans="2:4" hidden="1" outlineLevel="1">
      <c r="C112" t="s">
        <v>283</v>
      </c>
    </row>
    <row r="113" spans="3:3" hidden="1" outlineLevel="1">
      <c r="C113" t="s">
        <v>82</v>
      </c>
    </row>
    <row r="114" spans="3:3" hidden="1" outlineLevel="1">
      <c r="C114" t="s">
        <v>284</v>
      </c>
    </row>
    <row r="115" spans="3:3" hidden="1" outlineLevel="1">
      <c r="C115" t="s">
        <v>285</v>
      </c>
    </row>
    <row r="116" spans="3:3" hidden="1" outlineLevel="1">
      <c r="C116" t="s">
        <v>286</v>
      </c>
    </row>
    <row r="117" spans="3:3" hidden="1" outlineLevel="1">
      <c r="C117" t="s">
        <v>287</v>
      </c>
    </row>
    <row r="118" spans="3:3" hidden="1" outlineLevel="1">
      <c r="C118" t="s">
        <v>288</v>
      </c>
    </row>
    <row r="119" spans="3:3" hidden="1" outlineLevel="1">
      <c r="C119" t="s">
        <v>289</v>
      </c>
    </row>
    <row r="120" spans="3:3" hidden="1" outlineLevel="1">
      <c r="C120" t="s">
        <v>290</v>
      </c>
    </row>
    <row r="121" spans="3:3" hidden="1" outlineLevel="1">
      <c r="C121" t="s">
        <v>291</v>
      </c>
    </row>
    <row r="122" spans="3:3" hidden="1" outlineLevel="1">
      <c r="C122" t="s">
        <v>292</v>
      </c>
    </row>
    <row r="123" spans="3:3" hidden="1" outlineLevel="1">
      <c r="C123" t="s">
        <v>293</v>
      </c>
    </row>
    <row r="124" spans="3:3" hidden="1" outlineLevel="1">
      <c r="C124" t="s">
        <v>294</v>
      </c>
    </row>
    <row r="125" spans="3:3" hidden="1" outlineLevel="1">
      <c r="C125" t="s">
        <v>295</v>
      </c>
    </row>
    <row r="126" spans="3:3" hidden="1" outlineLevel="1">
      <c r="C126" t="s">
        <v>296</v>
      </c>
    </row>
    <row r="127" spans="3:3" hidden="1" outlineLevel="1">
      <c r="C127" t="s">
        <v>297</v>
      </c>
    </row>
    <row r="128" spans="3:3" hidden="1" outlineLevel="1">
      <c r="C128" t="s">
        <v>298</v>
      </c>
    </row>
    <row r="129" spans="3:3" hidden="1" outlineLevel="1">
      <c r="C129" t="s">
        <v>299</v>
      </c>
    </row>
    <row r="130" spans="3:3" hidden="1" outlineLevel="1">
      <c r="C130" t="s">
        <v>300</v>
      </c>
    </row>
    <row r="131" spans="3:3" hidden="1" outlineLevel="1">
      <c r="C131" t="s">
        <v>301</v>
      </c>
    </row>
    <row r="132" spans="3:3" hidden="1" outlineLevel="1">
      <c r="C132" t="s">
        <v>302</v>
      </c>
    </row>
    <row r="133" spans="3:3" hidden="1" outlineLevel="1">
      <c r="C133" t="s">
        <v>303</v>
      </c>
    </row>
    <row r="134" spans="3:3" hidden="1" outlineLevel="1">
      <c r="C134" t="s">
        <v>304</v>
      </c>
    </row>
    <row r="135" spans="3:3" hidden="1" outlineLevel="1">
      <c r="C135" t="s">
        <v>305</v>
      </c>
    </row>
    <row r="136" spans="3:3" hidden="1" outlineLevel="1">
      <c r="C136" t="s">
        <v>306</v>
      </c>
    </row>
    <row r="137" spans="3:3" hidden="1" outlineLevel="1">
      <c r="C137" t="s">
        <v>307</v>
      </c>
    </row>
    <row r="138" spans="3:3" hidden="1" outlineLevel="1">
      <c r="C138" t="s">
        <v>308</v>
      </c>
    </row>
    <row r="139" spans="3:3" hidden="1" outlineLevel="1">
      <c r="C139" t="s">
        <v>309</v>
      </c>
    </row>
    <row r="140" spans="3:3" hidden="1" outlineLevel="1">
      <c r="C140" t="s">
        <v>310</v>
      </c>
    </row>
    <row r="141" spans="3:3" hidden="1" outlineLevel="1">
      <c r="C141" t="s">
        <v>311</v>
      </c>
    </row>
    <row r="142" spans="3:3" hidden="1" outlineLevel="1">
      <c r="C142" t="s">
        <v>312</v>
      </c>
    </row>
    <row r="143" spans="3:3" hidden="1" outlineLevel="1">
      <c r="C143" t="s">
        <v>313</v>
      </c>
    </row>
    <row r="144" spans="3:3" hidden="1" outlineLevel="1">
      <c r="C144" t="s">
        <v>314</v>
      </c>
    </row>
    <row r="145" spans="3:3" hidden="1" outlineLevel="1">
      <c r="C145" t="s">
        <v>315</v>
      </c>
    </row>
    <row r="146" spans="3:3" hidden="1" outlineLevel="1">
      <c r="C146" t="s">
        <v>316</v>
      </c>
    </row>
    <row r="147" spans="3:3" hidden="1" outlineLevel="1">
      <c r="C147" t="s">
        <v>317</v>
      </c>
    </row>
    <row r="148" spans="3:3" hidden="1" outlineLevel="1">
      <c r="C148" t="s">
        <v>318</v>
      </c>
    </row>
    <row r="149" spans="3:3" hidden="1" outlineLevel="1">
      <c r="C149" t="s">
        <v>319</v>
      </c>
    </row>
    <row r="150" spans="3:3" hidden="1" outlineLevel="1">
      <c r="C150" t="s">
        <v>320</v>
      </c>
    </row>
    <row r="151" spans="3:3" hidden="1" outlineLevel="1">
      <c r="C151" t="s">
        <v>321</v>
      </c>
    </row>
    <row r="152" spans="3:3" hidden="1" outlineLevel="1">
      <c r="C152" t="s">
        <v>236</v>
      </c>
    </row>
    <row r="153" spans="3:3" hidden="1" outlineLevel="1">
      <c r="C153" t="s">
        <v>322</v>
      </c>
    </row>
    <row r="154" spans="3:3" hidden="1" outlineLevel="1">
      <c r="C154" t="s">
        <v>323</v>
      </c>
    </row>
    <row r="155" spans="3:3" hidden="1" outlineLevel="1">
      <c r="C155" t="s">
        <v>324</v>
      </c>
    </row>
    <row r="156" spans="3:3" hidden="1" outlineLevel="1">
      <c r="C156" t="s">
        <v>325</v>
      </c>
    </row>
    <row r="157" spans="3:3" hidden="1" outlineLevel="1">
      <c r="C157" t="s">
        <v>326</v>
      </c>
    </row>
    <row r="158" spans="3:3" hidden="1" outlineLevel="1">
      <c r="C158" t="s">
        <v>327</v>
      </c>
    </row>
    <row r="159" spans="3:3" hidden="1" outlineLevel="1"/>
    <row r="160" spans="3:3" hidden="1" outlineLevel="1"/>
    <row r="161" spans="3:12" hidden="1" outlineLevel="1"/>
    <row r="162" spans="3:12" hidden="1" outlineLevel="1"/>
    <row r="163" spans="3:12" hidden="1" outlineLevel="1"/>
    <row r="164" spans="3:12" hidden="1" outlineLevel="1"/>
    <row r="165" spans="3:12" hidden="1" outlineLevel="1"/>
    <row r="166" spans="3:12" hidden="1" outlineLevel="1"/>
    <row r="167" spans="3:12" hidden="1" outlineLevel="1"/>
    <row r="168" spans="3:12" hidden="1" outlineLevel="1"/>
    <row r="169" spans="3:12" collapsed="1">
      <c r="C169" s="14"/>
      <c r="D169" s="14"/>
      <c r="E169" s="14"/>
      <c r="F169" s="14"/>
      <c r="G169" s="14"/>
      <c r="H169" s="14"/>
      <c r="I169" s="14"/>
      <c r="J169" s="14"/>
      <c r="K169" s="14"/>
      <c r="L169" s="14"/>
    </row>
  </sheetData>
  <dataValidations count="4">
    <dataValidation type="list" allowBlank="1" showInputMessage="1" showErrorMessage="1" sqref="P13:Q13" xr:uid="{00000000-0002-0000-0100-000000000000}">
      <formula1>$E$89:$E$92</formula1>
    </dataValidation>
    <dataValidation type="list" allowBlank="1" showInputMessage="1" showErrorMessage="1" sqref="P12:Q12" xr:uid="{00000000-0002-0000-0100-000001000000}">
      <formula1>$D$89:$D$133</formula1>
    </dataValidation>
    <dataValidation type="list" allowBlank="1" showInputMessage="1" showErrorMessage="1" sqref="P11:Q11" xr:uid="{00000000-0002-0000-0100-000002000000}">
      <formula1>$C$89:$C$158</formula1>
    </dataValidation>
    <dataValidation type="list" allowBlank="1" showInputMessage="1" showErrorMessage="1" sqref="P10:Q10" xr:uid="{00000000-0002-0000-0100-000003000000}">
      <formula1>$B$89:$B$99</formula1>
    </dataValidation>
  </dataValidations>
  <pageMargins left="0.7" right="0.7" top="0.75" bottom="0.75" header="0.3" footer="0.3"/>
  <pageSetup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EA82C3-87C6-47B9-9CBD-B5866CC22466}">
  <sheetPr codeName="Sheet2">
    <tabColor theme="6" tint="-0.499984740745262"/>
    <pageSetUpPr fitToPage="1"/>
  </sheetPr>
  <dimension ref="A1:AR699"/>
  <sheetViews>
    <sheetView showGridLines="0" zoomScale="85" zoomScaleNormal="85" workbookViewId="0">
      <pane xSplit="7" ySplit="3" topLeftCell="H4" activePane="bottomRight" state="frozen"/>
      <selection activeCell="L64" sqref="L64"/>
      <selection pane="topRight" activeCell="L64" sqref="L64"/>
      <selection pane="bottomLeft" activeCell="L64" sqref="L64"/>
      <selection pane="bottomRight" sqref="A1:XFD1048576"/>
    </sheetView>
  </sheetViews>
  <sheetFormatPr defaultRowHeight="15" outlineLevelRow="2" outlineLevelCol="1"/>
  <cols>
    <col min="1" max="1" width="23.42578125" style="95" hidden="1" customWidth="1" outlineLevel="1"/>
    <col min="2" max="2" width="15.7109375" style="95" hidden="1" customWidth="1" outlineLevel="1"/>
    <col min="3" max="3" width="1.7109375" style="33" customWidth="1" collapsed="1"/>
    <col min="4" max="4" width="1.7109375" customWidth="1"/>
    <col min="5" max="5" width="15.7109375" customWidth="1"/>
    <col min="6" max="6" width="17.28515625" customWidth="1"/>
    <col min="8" max="14" width="9.140625" hidden="1" customWidth="1" outlineLevel="1"/>
    <col min="15" max="17" width="8.7109375" hidden="1" customWidth="1" outlineLevel="1"/>
    <col min="18" max="19" width="9.140625" hidden="1" customWidth="1" outlineLevel="1"/>
    <col min="20" max="20" width="9" hidden="1" customWidth="1" outlineLevel="1"/>
    <col min="21" max="23" width="9.140625" hidden="1" customWidth="1" outlineLevel="1"/>
    <col min="24" max="24" width="9.140625" customWidth="1" collapsed="1"/>
    <col min="26" max="29" width="9.140625" customWidth="1"/>
    <col min="33" max="34" width="9.140625" customWidth="1"/>
    <col min="42" max="42" width="9.140625" customWidth="1"/>
  </cols>
  <sheetData>
    <row r="1" spans="1:43" ht="23.25">
      <c r="C1" s="119"/>
      <c r="D1" s="44"/>
      <c r="E1" s="150">
        <f ca="1">+DCF!C82</f>
        <v>19.295439493085709</v>
      </c>
      <c r="M1" s="45"/>
      <c r="N1" s="45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P1" s="46"/>
    </row>
    <row r="2" spans="1:43" ht="15.75">
      <c r="E2" s="47"/>
      <c r="F2" s="48"/>
      <c r="P2" s="7"/>
      <c r="X2" s="49"/>
      <c r="Y2" s="49"/>
      <c r="Z2" s="68"/>
      <c r="AA2" s="68"/>
      <c r="AB2" s="68"/>
      <c r="AC2" s="68"/>
      <c r="AD2" s="68"/>
      <c r="AE2" s="68"/>
      <c r="AF2" s="68"/>
      <c r="AG2" s="68"/>
      <c r="AH2" s="68"/>
      <c r="AI2" s="68"/>
      <c r="AJ2" s="68"/>
      <c r="AK2" s="68"/>
      <c r="AL2" s="68"/>
      <c r="AM2" s="68"/>
      <c r="AN2" s="68"/>
      <c r="AP2" s="50" t="s">
        <v>102</v>
      </c>
      <c r="AQ2" s="51"/>
    </row>
    <row r="3" spans="1:43">
      <c r="C3" s="120"/>
      <c r="D3" s="41"/>
      <c r="E3" s="41"/>
      <c r="F3" s="41"/>
      <c r="G3" s="41"/>
      <c r="H3" s="94">
        <v>2000</v>
      </c>
      <c r="I3" s="41">
        <f>+H3+1</f>
        <v>2001</v>
      </c>
      <c r="J3" s="41">
        <f t="shared" ref="J3:AN3" si="0">+I3+1</f>
        <v>2002</v>
      </c>
      <c r="K3" s="41">
        <f t="shared" si="0"/>
        <v>2003</v>
      </c>
      <c r="L3" s="41">
        <f t="shared" si="0"/>
        <v>2004</v>
      </c>
      <c r="M3" s="41">
        <f t="shared" si="0"/>
        <v>2005</v>
      </c>
      <c r="N3" s="41">
        <f t="shared" si="0"/>
        <v>2006</v>
      </c>
      <c r="O3" s="41">
        <f t="shared" si="0"/>
        <v>2007</v>
      </c>
      <c r="P3" s="41">
        <f t="shared" si="0"/>
        <v>2008</v>
      </c>
      <c r="Q3" s="41">
        <f t="shared" si="0"/>
        <v>2009</v>
      </c>
      <c r="R3" s="41">
        <f t="shared" si="0"/>
        <v>2010</v>
      </c>
      <c r="S3" s="41">
        <f t="shared" si="0"/>
        <v>2011</v>
      </c>
      <c r="T3" s="41">
        <f t="shared" si="0"/>
        <v>2012</v>
      </c>
      <c r="U3" s="41">
        <f t="shared" si="0"/>
        <v>2013</v>
      </c>
      <c r="V3" s="41">
        <f t="shared" si="0"/>
        <v>2014</v>
      </c>
      <c r="W3" s="41">
        <f t="shared" si="0"/>
        <v>2015</v>
      </c>
      <c r="X3" s="41">
        <f t="shared" si="0"/>
        <v>2016</v>
      </c>
      <c r="Y3" s="41">
        <f t="shared" si="0"/>
        <v>2017</v>
      </c>
      <c r="Z3" s="41">
        <f t="shared" si="0"/>
        <v>2018</v>
      </c>
      <c r="AA3" s="41">
        <f t="shared" si="0"/>
        <v>2019</v>
      </c>
      <c r="AB3" s="41">
        <f t="shared" si="0"/>
        <v>2020</v>
      </c>
      <c r="AC3" s="41">
        <f t="shared" si="0"/>
        <v>2021</v>
      </c>
      <c r="AD3" s="41">
        <f t="shared" si="0"/>
        <v>2022</v>
      </c>
      <c r="AE3" s="41">
        <f t="shared" si="0"/>
        <v>2023</v>
      </c>
      <c r="AF3" s="41">
        <f t="shared" si="0"/>
        <v>2024</v>
      </c>
      <c r="AG3" s="41">
        <f t="shared" si="0"/>
        <v>2025</v>
      </c>
      <c r="AH3" s="41">
        <f t="shared" si="0"/>
        <v>2026</v>
      </c>
      <c r="AI3" s="41">
        <f t="shared" si="0"/>
        <v>2027</v>
      </c>
      <c r="AJ3" s="41">
        <f t="shared" si="0"/>
        <v>2028</v>
      </c>
      <c r="AK3" s="41">
        <f t="shared" si="0"/>
        <v>2029</v>
      </c>
      <c r="AL3" s="41">
        <f t="shared" si="0"/>
        <v>2030</v>
      </c>
      <c r="AM3" s="41">
        <f t="shared" si="0"/>
        <v>2031</v>
      </c>
      <c r="AN3" s="41">
        <f t="shared" si="0"/>
        <v>2032</v>
      </c>
      <c r="AP3" s="92" t="s">
        <v>245</v>
      </c>
      <c r="AQ3" s="92" t="s">
        <v>618</v>
      </c>
    </row>
    <row r="4" spans="1:43">
      <c r="C4" s="120" t="s">
        <v>182</v>
      </c>
      <c r="D4" s="41" t="s">
        <v>182</v>
      </c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93"/>
      <c r="AB4" s="93"/>
      <c r="AC4" s="93"/>
      <c r="AD4" s="93"/>
      <c r="AE4" s="93"/>
      <c r="AF4" s="93"/>
      <c r="AG4" s="93"/>
      <c r="AH4" s="93"/>
      <c r="AI4" s="93"/>
      <c r="AJ4" s="93"/>
      <c r="AK4" s="93"/>
      <c r="AL4" s="93"/>
      <c r="AM4" s="93"/>
      <c r="AN4" s="93"/>
    </row>
    <row r="5" spans="1:43">
      <c r="D5" s="90"/>
      <c r="E5" s="91" t="s">
        <v>202</v>
      </c>
      <c r="F5" s="90"/>
      <c r="G5" s="90"/>
      <c r="H5" s="90"/>
      <c r="I5" s="90"/>
      <c r="J5" s="90"/>
      <c r="K5" s="90"/>
      <c r="L5" s="90"/>
      <c r="M5" s="90"/>
      <c r="N5" s="90"/>
      <c r="O5" s="90"/>
      <c r="P5" s="90"/>
      <c r="Q5" s="90"/>
      <c r="R5" s="90"/>
      <c r="S5" s="90"/>
      <c r="T5" s="90"/>
      <c r="U5" s="90"/>
      <c r="V5" s="90"/>
      <c r="W5" s="90"/>
      <c r="X5" s="90"/>
      <c r="Y5" s="90"/>
      <c r="Z5" s="90"/>
      <c r="AA5" s="90"/>
      <c r="AB5" s="90"/>
      <c r="AC5" s="90"/>
      <c r="AD5" s="90"/>
      <c r="AE5" s="90"/>
      <c r="AF5" s="90"/>
      <c r="AG5" s="90"/>
      <c r="AH5" s="90"/>
      <c r="AI5" s="90"/>
      <c r="AJ5" s="90"/>
      <c r="AK5" s="90"/>
      <c r="AL5" s="90"/>
      <c r="AM5" s="90"/>
      <c r="AN5" s="90"/>
    </row>
    <row r="6" spans="1:43" ht="5.0999999999999996" customHeight="1">
      <c r="B6" s="96"/>
      <c r="H6" s="7"/>
      <c r="I6" s="7"/>
      <c r="J6" s="7"/>
      <c r="K6" s="7"/>
      <c r="L6" s="7"/>
      <c r="M6" s="7"/>
      <c r="N6" s="7"/>
      <c r="O6" s="7"/>
      <c r="P6" s="7"/>
      <c r="Q6" s="84"/>
      <c r="R6" s="62"/>
      <c r="S6" s="62"/>
      <c r="T6" s="62"/>
      <c r="U6" s="62"/>
      <c r="V6" s="62"/>
      <c r="W6" s="62"/>
      <c r="X6" s="62"/>
      <c r="Y6" s="62"/>
      <c r="Z6" s="62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7"/>
    </row>
    <row r="7" spans="1:43" s="25" customFormat="1" outlineLevel="1">
      <c r="A7" s="204"/>
      <c r="B7" s="96" t="s">
        <v>383</v>
      </c>
      <c r="C7" s="162"/>
      <c r="E7" s="142" t="s">
        <v>224</v>
      </c>
      <c r="F7" s="81"/>
      <c r="G7" s="81"/>
      <c r="H7" s="177"/>
      <c r="I7" s="177"/>
      <c r="J7" s="177"/>
      <c r="K7" s="177"/>
      <c r="L7" s="177"/>
      <c r="M7" s="177"/>
      <c r="N7" s="177"/>
      <c r="O7" s="177"/>
      <c r="P7" s="177"/>
      <c r="Q7" s="177"/>
      <c r="R7" s="177"/>
      <c r="S7" s="177"/>
      <c r="T7" s="177"/>
      <c r="U7" s="177"/>
      <c r="V7" s="177"/>
      <c r="W7" s="177"/>
      <c r="X7" s="177">
        <v>84.790999999999997</v>
      </c>
      <c r="Y7" s="177" cm="1">
        <f t="array" ref="Y7">INDEX(QRT!$1:$1048576,MATCH(Model!$B7,QRT!$A:$A,0),MATCH(Model!Y$3,QRT!$4:$4,0))+INDEX(QRT!$1:$1048576,MATCH(Model!$B7,QRT!$A:$A,0),MATCH(Model!Y$3,QRT!$4:$4,0)+1)+INDEX(QRT!$1:$1048576,MATCH(Model!$B7,QRT!$A:$A,0),MATCH(Model!Y$3,QRT!$4:$4,0)+2)+INDEX(QRT!$1:$1048576,MATCH(Model!$B7,QRT!$A:$A,0),MATCH(Model!Y$3,QRT!$4:$4,0)+3)</f>
        <v>134.91500000000002</v>
      </c>
      <c r="Z7" s="177" cm="1">
        <f t="array" ref="Z7">INDEX(QRT!$1:$1048576,MATCH(Model!$B7,QRT!$A:$A,0),MATCH(Model!Z$3,QRT!$4:$4,0))+INDEX(QRT!$1:$1048576,MATCH(Model!$B7,QRT!$A:$A,0),MATCH(Model!Z$3,QRT!$4:$4,0)+1)+INDEX(QRT!$1:$1048576,MATCH(Model!$B7,QRT!$A:$A,0),MATCH(Model!Z$3,QRT!$4:$4,0)+2)+INDEX(QRT!$1:$1048576,MATCH(Model!$B7,QRT!$A:$A,0),MATCH(Model!Z$3,QRT!$4:$4,0)+3)</f>
        <v>192.67399999999998</v>
      </c>
      <c r="AA7" s="177" cm="1">
        <f t="array" ref="AA7">INDEX(QRT!$1:$1048576,MATCH(Model!$B7,QRT!$A:$A,0),MATCH(Model!AA$3,QRT!$4:$4,0))+INDEX(QRT!$1:$1048576,MATCH(Model!$B7,QRT!$A:$A,0),MATCH(Model!AA$3,QRT!$4:$4,0)+1)+INDEX(QRT!$1:$1048576,MATCH(Model!$B7,QRT!$A:$A,0),MATCH(Model!AA$3,QRT!$4:$4,0)+2)+INDEX(QRT!$1:$1048576,MATCH(Model!$B7,QRT!$A:$A,0),MATCH(Model!AA$3,QRT!$4:$4,0)+3)</f>
        <v>287.02200000000005</v>
      </c>
      <c r="AB7" s="177" cm="1">
        <f t="array" ref="AB7">INDEX(QRT!$1:$1048576,MATCH(Model!$B7,QRT!$A:$A,0),MATCH(Model!AB$3,QRT!$4:$4,0))+INDEX(QRT!$1:$1048576,MATCH(Model!$B7,QRT!$A:$A,0),MATCH(Model!AB$3,QRT!$4:$4,0)+1)+INDEX(QRT!$1:$1048576,MATCH(Model!$B7,QRT!$A:$A,0),MATCH(Model!AB$3,QRT!$4:$4,0)+2)+INDEX(QRT!$1:$1048576,MATCH(Model!$B7,QRT!$A:$A,0),MATCH(Model!AB$3,QRT!$4:$4,0)+3)</f>
        <v>431.05900000000003</v>
      </c>
      <c r="AC7" s="177" cm="1">
        <f t="array" ref="AC7">INDEX(QRT!$1:$1048576,MATCH(Model!$B7,QRT!$A:$A,0),MATCH(Model!AC$3,QRT!$4:$4,0))+INDEX(QRT!$1:$1048576,MATCH(Model!$B7,QRT!$A:$A,0),MATCH(Model!AC$3,QRT!$4:$4,0)+1)+INDEX(QRT!$1:$1048576,MATCH(Model!$B7,QRT!$A:$A,0),MATCH(Model!AC$3,QRT!$4:$4,0)+2)+INDEX(QRT!$1:$1048576,MATCH(Model!$B7,QRT!$A:$A,0),MATCH(Model!AC$3,QRT!$4:$4,0)+3)</f>
        <v>656.42600000000004</v>
      </c>
      <c r="AD7" s="184" cm="1">
        <f t="array" ref="AD7">INDEX(QRT!$1:$1048576,MATCH(Model!$B7,QRT!$A:$A,0),MATCH(Model!AD$3,QRT!$4:$4,0))+INDEX(QRT!$1:$1048576,MATCH(Model!$B7,QRT!$A:$A,0),MATCH(Model!AD$3,QRT!$4:$4,0)+1)+INDEX(QRT!$1:$1048576,MATCH(Model!$B7,QRT!$A:$A,0),MATCH(Model!AD$3,QRT!$4:$4,0)+2)+INDEX(QRT!$1:$1048576,MATCH(Model!$B7,QRT!$A:$A,0),MATCH(Model!AD$3,QRT!$4:$4,0)+3)</f>
        <v>973.01332677713503</v>
      </c>
      <c r="AE7" s="184" cm="1">
        <f t="array" ref="AE7">INDEX(QRT!$1:$1048576,MATCH(Model!$B7,QRT!$A:$A,0),MATCH(Model!AE$3,QRT!$4:$4,0))+INDEX(QRT!$1:$1048576,MATCH(Model!$B7,QRT!$A:$A,0),MATCH(Model!AE$3,QRT!$4:$4,0)+1)+INDEX(QRT!$1:$1048576,MATCH(Model!$B7,QRT!$A:$A,0),MATCH(Model!AE$3,QRT!$4:$4,0)+2)+INDEX(QRT!$1:$1048576,MATCH(Model!$B7,QRT!$A:$A,0),MATCH(Model!AE$3,QRT!$4:$4,0)+3)</f>
        <v>1307.6340461486454</v>
      </c>
      <c r="AF7" s="184" cm="1">
        <f t="array" ref="AF7">INDEX(QRT!$1:$1048576,MATCH(Model!$B7,QRT!$A:$A,0),MATCH(Model!AF$3,QRT!$4:$4,0))+INDEX(QRT!$1:$1048576,MATCH(Model!$B7,QRT!$A:$A,0),MATCH(Model!AF$3,QRT!$4:$4,0)+1)+INDEX(QRT!$1:$1048576,MATCH(Model!$B7,QRT!$A:$A,0),MATCH(Model!AF$3,QRT!$4:$4,0)+2)+INDEX(QRT!$1:$1048576,MATCH(Model!$B7,QRT!$A:$A,0),MATCH(Model!AF$3,QRT!$4:$4,0)+3)</f>
        <v>1716.126004348077</v>
      </c>
      <c r="AG7" s="257">
        <f>AG48*AG60/1000</f>
        <v>2196.5809316535965</v>
      </c>
      <c r="AH7" s="257">
        <f t="shared" ref="AH7:AN7" si="1">AH48*AH60/1000</f>
        <v>2741.0753150269111</v>
      </c>
      <c r="AI7" s="257">
        <f t="shared" si="1"/>
        <v>3335.9900392887948</v>
      </c>
      <c r="AJ7" s="257">
        <f t="shared" si="1"/>
        <v>3969.7143242455481</v>
      </c>
      <c r="AK7" s="257">
        <f t="shared" si="1"/>
        <v>4634.6285586109307</v>
      </c>
      <c r="AL7" s="257">
        <f t="shared" si="1"/>
        <v>5306.5212882285059</v>
      </c>
      <c r="AM7" s="257">
        <f t="shared" si="1"/>
        <v>5973.8773832338611</v>
      </c>
      <c r="AN7" s="257">
        <f t="shared" si="1"/>
        <v>6613.5052816292218</v>
      </c>
      <c r="AO7" s="205"/>
      <c r="AP7" s="319">
        <f>(AM7/AC7)^(1/10)-1</f>
        <v>0.24711657975906931</v>
      </c>
      <c r="AQ7" s="195">
        <f>(AC7/X7)^(1/5)-1</f>
        <v>0.50579969015637971</v>
      </c>
    </row>
    <row r="8" spans="1:43" outlineLevel="1">
      <c r="B8" s="96" t="s">
        <v>384</v>
      </c>
      <c r="E8" s="72" t="s">
        <v>219</v>
      </c>
      <c r="F8" s="81"/>
      <c r="G8" s="81"/>
      <c r="H8" s="177"/>
      <c r="I8" s="177"/>
      <c r="J8" s="177"/>
      <c r="K8" s="177"/>
      <c r="L8" s="177"/>
      <c r="M8" s="177"/>
      <c r="N8" s="177"/>
      <c r="O8" s="177"/>
      <c r="P8" s="177"/>
      <c r="Q8" s="177"/>
      <c r="R8" s="177"/>
      <c r="S8" s="177"/>
      <c r="T8" s="177"/>
      <c r="U8" s="177"/>
      <c r="V8" s="177"/>
      <c r="W8" s="177"/>
      <c r="X8" s="177">
        <f>23.962-X317-X319-(X318+X320)*X322</f>
        <v>17.996244565217388</v>
      </c>
      <c r="Y8" s="177" cm="1">
        <f t="array" ref="Y8">INDEX(QRT!$1:$1048576,MATCH(Model!$B8,QRT!$A:$A,0),MATCH(Model!Y$3,QRT!$4:$4,0))+INDEX(QRT!$1:$1048576,MATCH(Model!$B8,QRT!$A:$A,0),MATCH(Model!Y$3,QRT!$4:$4,0)+1)+INDEX(QRT!$1:$1048576,MATCH(Model!$B8,QRT!$A:$A,0),MATCH(Model!Y$3,QRT!$4:$4,0)+2)+INDEX(QRT!$1:$1048576,MATCH(Model!$B8,QRT!$A:$A,0),MATCH(Model!Y$3,QRT!$4:$4,0)+3)</f>
        <v>19.978770652173914</v>
      </c>
      <c r="Z8" s="177" cm="1">
        <f t="array" ref="Z8">INDEX(QRT!$1:$1048576,MATCH(Model!$B8,QRT!$A:$A,0),MATCH(Model!Z$3,QRT!$4:$4,0))+INDEX(QRT!$1:$1048576,MATCH(Model!$B8,QRT!$A:$A,0),MATCH(Model!Z$3,QRT!$4:$4,0)+1)+INDEX(QRT!$1:$1048576,MATCH(Model!$B8,QRT!$A:$A,0),MATCH(Model!Z$3,QRT!$4:$4,0)+2)+INDEX(QRT!$1:$1048576,MATCH(Model!$B8,QRT!$A:$A,0),MATCH(Model!Z$3,QRT!$4:$4,0)+3)</f>
        <v>29.912799999999997</v>
      </c>
      <c r="AA8" s="177" cm="1">
        <f t="array" ref="AA8">INDEX(QRT!$1:$1048576,MATCH(Model!$B8,QRT!$A:$A,0),MATCH(Model!AA$3,QRT!$4:$4,0))+INDEX(QRT!$1:$1048576,MATCH(Model!$B8,QRT!$A:$A,0),MATCH(Model!AA$3,QRT!$4:$4,0)+1)+INDEX(QRT!$1:$1048576,MATCH(Model!$B8,QRT!$A:$A,0),MATCH(Model!AA$3,QRT!$4:$4,0)+2)+INDEX(QRT!$1:$1048576,MATCH(Model!$B8,QRT!$A:$A,0),MATCH(Model!AA$3,QRT!$4:$4,0)+3)</f>
        <v>41.872900000000008</v>
      </c>
      <c r="AB8" s="177" cm="1">
        <f t="array" ref="AB8">INDEX(QRT!$1:$1048576,MATCH(Model!$B8,QRT!$A:$A,0),MATCH(Model!AB$3,QRT!$4:$4,0))+INDEX(QRT!$1:$1048576,MATCH(Model!$B8,QRT!$A:$A,0),MATCH(Model!AB$3,QRT!$4:$4,0)+1)+INDEX(QRT!$1:$1048576,MATCH(Model!$B8,QRT!$A:$A,0),MATCH(Model!AB$3,QRT!$4:$4,0)+2)+INDEX(QRT!$1:$1048576,MATCH(Model!$B8,QRT!$A:$A,0),MATCH(Model!AB$3,QRT!$4:$4,0)+3)</f>
        <v>63.465100000000007</v>
      </c>
      <c r="AC8" s="177" cm="1">
        <f t="array" ref="AC8">INDEX(QRT!$1:$1048576,MATCH(Model!$B8,QRT!$A:$A,0),MATCH(Model!AC$3,QRT!$4:$4,0))+INDEX(QRT!$1:$1048576,MATCH(Model!$B8,QRT!$A:$A,0),MATCH(Model!AC$3,QRT!$4:$4,0)+1)+INDEX(QRT!$1:$1048576,MATCH(Model!$B8,QRT!$A:$A,0),MATCH(Model!AC$3,QRT!$4:$4,0)+2)+INDEX(QRT!$1:$1048576,MATCH(Model!$B8,QRT!$A:$A,0),MATCH(Model!AC$3,QRT!$4:$4,0)+3)</f>
        <v>96.54334999999999</v>
      </c>
      <c r="AD8" s="58" cm="1">
        <f t="array" ref="AD8">INDEX(QRT!$1:$1048576,MATCH(Model!$B8,QRT!$A:$A,0),MATCH(Model!AD$3,QRT!$4:$4,0))+INDEX(QRT!$1:$1048576,MATCH(Model!$B8,QRT!$A:$A,0),MATCH(Model!AD$3,QRT!$4:$4,0)+1)+INDEX(QRT!$1:$1048576,MATCH(Model!$B8,QRT!$A:$A,0),MATCH(Model!AD$3,QRT!$4:$4,0)+2)+INDEX(QRT!$1:$1048576,MATCH(Model!$B8,QRT!$A:$A,0),MATCH(Model!AD$3,QRT!$4:$4,0)+3)</f>
        <v>148.63145533491206</v>
      </c>
      <c r="AE8" s="58" cm="1">
        <f t="array" ref="AE8">INDEX(QRT!$1:$1048576,MATCH(Model!$B8,QRT!$A:$A,0),MATCH(Model!AE$3,QRT!$4:$4,0))+INDEX(QRT!$1:$1048576,MATCH(Model!$B8,QRT!$A:$A,0),MATCH(Model!AE$3,QRT!$4:$4,0)+1)+INDEX(QRT!$1:$1048576,MATCH(Model!$B8,QRT!$A:$A,0),MATCH(Model!AE$3,QRT!$4:$4,0)+2)+INDEX(QRT!$1:$1048576,MATCH(Model!$B8,QRT!$A:$A,0),MATCH(Model!AE$3,QRT!$4:$4,0)+3)</f>
        <v>202.01584848622488</v>
      </c>
      <c r="AF8" s="58" cm="1">
        <f t="array" ref="AF8">INDEX(QRT!$1:$1048576,MATCH(Model!$B8,QRT!$A:$A,0),MATCH(Model!AF$3,QRT!$4:$4,0))+INDEX(QRT!$1:$1048576,MATCH(Model!$B8,QRT!$A:$A,0),MATCH(Model!AF$3,QRT!$4:$4,0)+1)+INDEX(QRT!$1:$1048576,MATCH(Model!$B8,QRT!$A:$A,0),MATCH(Model!AF$3,QRT!$4:$4,0)+2)+INDEX(QRT!$1:$1048576,MATCH(Model!$B8,QRT!$A:$A,0),MATCH(Model!AF$3,QRT!$4:$4,0)+3)</f>
        <v>268.55119422887583</v>
      </c>
      <c r="AG8" s="63">
        <f t="shared" ref="AG8:AN8" si="2">AG7-AG9</f>
        <v>347.25061350857868</v>
      </c>
      <c r="AH8" s="63">
        <f t="shared" si="2"/>
        <v>437.71374912339661</v>
      </c>
      <c r="AI8" s="63">
        <f t="shared" si="2"/>
        <v>538.05140594523164</v>
      </c>
      <c r="AJ8" s="63">
        <f t="shared" si="2"/>
        <v>646.61435791706572</v>
      </c>
      <c r="AK8" s="63">
        <f t="shared" si="2"/>
        <v>762.33556488680824</v>
      </c>
      <c r="AL8" s="63">
        <f t="shared" si="2"/>
        <v>881.34353386988187</v>
      </c>
      <c r="AM8" s="63">
        <f t="shared" si="2"/>
        <v>1001.7408255100218</v>
      </c>
      <c r="AN8" s="63">
        <f t="shared" si="2"/>
        <v>1119.5796369216569</v>
      </c>
      <c r="AO8" s="7"/>
    </row>
    <row r="9" spans="1:43" outlineLevel="1">
      <c r="B9" s="96"/>
      <c r="E9" s="2" t="s">
        <v>225</v>
      </c>
      <c r="F9" s="157"/>
      <c r="G9" s="157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9"/>
      <c r="W9" s="139"/>
      <c r="X9" s="139">
        <f t="shared" ref="X9:AF9" si="3">X7-X8</f>
        <v>66.794755434782616</v>
      </c>
      <c r="Y9" s="139">
        <f t="shared" si="3"/>
        <v>114.9362293478261</v>
      </c>
      <c r="Z9" s="139">
        <f t="shared" si="3"/>
        <v>162.76119999999997</v>
      </c>
      <c r="AA9" s="139">
        <f t="shared" si="3"/>
        <v>245.14910000000003</v>
      </c>
      <c r="AB9" s="139">
        <f t="shared" si="3"/>
        <v>367.59390000000002</v>
      </c>
      <c r="AC9" s="139">
        <f>AC7-AC8</f>
        <v>559.88265000000001</v>
      </c>
      <c r="AD9" s="139">
        <f t="shared" si="3"/>
        <v>824.38187144222297</v>
      </c>
      <c r="AE9" s="139">
        <f t="shared" si="3"/>
        <v>1105.6181976624205</v>
      </c>
      <c r="AF9" s="139">
        <f t="shared" si="3"/>
        <v>1447.5748101192012</v>
      </c>
      <c r="AG9" s="219">
        <f t="shared" ref="AG9:AN9" si="4">AG7*AG24</f>
        <v>1849.3303181450178</v>
      </c>
      <c r="AH9" s="219">
        <f t="shared" si="4"/>
        <v>2303.3615659035145</v>
      </c>
      <c r="AI9" s="219">
        <f t="shared" si="4"/>
        <v>2797.9386333435632</v>
      </c>
      <c r="AJ9" s="219">
        <f t="shared" si="4"/>
        <v>3323.0999663284824</v>
      </c>
      <c r="AK9" s="219">
        <f t="shared" si="4"/>
        <v>3872.2929937241224</v>
      </c>
      <c r="AL9" s="219">
        <f t="shared" si="4"/>
        <v>4425.177754358624</v>
      </c>
      <c r="AM9" s="219">
        <f t="shared" si="4"/>
        <v>4972.1365577238394</v>
      </c>
      <c r="AN9" s="219">
        <f t="shared" si="4"/>
        <v>5493.925644707565</v>
      </c>
      <c r="AO9" s="7"/>
    </row>
    <row r="10" spans="1:43" outlineLevel="1">
      <c r="B10" s="96" t="s">
        <v>385</v>
      </c>
      <c r="E10" s="178" t="s">
        <v>330</v>
      </c>
      <c r="F10" s="52"/>
      <c r="G10" s="52"/>
      <c r="H10" s="177"/>
      <c r="I10" s="177"/>
      <c r="J10" s="177"/>
      <c r="K10" s="177"/>
      <c r="L10" s="177"/>
      <c r="M10" s="177"/>
      <c r="N10" s="177"/>
      <c r="O10" s="177"/>
      <c r="P10" s="177"/>
      <c r="Q10" s="177"/>
      <c r="R10" s="177"/>
      <c r="S10" s="177"/>
      <c r="T10" s="177"/>
      <c r="U10" s="177"/>
      <c r="V10" s="177"/>
      <c r="W10" s="177"/>
      <c r="X10" s="177">
        <f>40.122-(X318+X320)*X323+X299</f>
        <v>38.17867934782609</v>
      </c>
      <c r="Y10" s="177" cm="1">
        <f t="array" ref="Y10">INDEX(QRT!$1:$1048576,MATCH(Model!$B10,QRT!$A:$A,0),MATCH(Model!Y$3,QRT!$4:$4,0))+INDEX(QRT!$1:$1048576,MATCH(Model!$B10,QRT!$A:$A,0),MATCH(Model!Y$3,QRT!$4:$4,0)+1)+INDEX(QRT!$1:$1048576,MATCH(Model!$B10,QRT!$A:$A,0),MATCH(Model!Y$3,QRT!$4:$4,0)+2)+INDEX(QRT!$1:$1048576,MATCH(Model!$B10,QRT!$A:$A,0),MATCH(Model!Y$3,QRT!$4:$4,0)+3)</f>
        <v>61.418318478260872</v>
      </c>
      <c r="Z10" s="177" cm="1">
        <f t="array" ref="Z10">INDEX(QRT!$1:$1048576,MATCH(Model!$B10,QRT!$A:$A,0),MATCH(Model!Z$3,QRT!$4:$4,0))+INDEX(QRT!$1:$1048576,MATCH(Model!$B10,QRT!$A:$A,0),MATCH(Model!Z$3,QRT!$4:$4,0)+1)+INDEX(QRT!$1:$1048576,MATCH(Model!$B10,QRT!$A:$A,0),MATCH(Model!Z$3,QRT!$4:$4,0)+2)+INDEX(QRT!$1:$1048576,MATCH(Model!$B10,QRT!$A:$A,0),MATCH(Model!Z$3,QRT!$4:$4,0)+3)</f>
        <v>86.579599999999999</v>
      </c>
      <c r="AA10" s="177" cm="1">
        <f t="array" ref="AA10">INDEX(QRT!$1:$1048576,MATCH(Model!$B10,QRT!$A:$A,0),MATCH(Model!AA$3,QRT!$4:$4,0))+INDEX(QRT!$1:$1048576,MATCH(Model!$B10,QRT!$A:$A,0),MATCH(Model!AA$3,QRT!$4:$4,0)+1)+INDEX(QRT!$1:$1048576,MATCH(Model!$B10,QRT!$A:$A,0),MATCH(Model!AA$3,QRT!$4:$4,0)+2)+INDEX(QRT!$1:$1048576,MATCH(Model!$B10,QRT!$A:$A,0),MATCH(Model!AA$3,QRT!$4:$4,0)+3)</f>
        <v>147.3443</v>
      </c>
      <c r="AB10" s="177" cm="1">
        <f t="array" ref="AB10">INDEX(QRT!$1:$1048576,MATCH(Model!$B10,QRT!$A:$A,0),MATCH(Model!AB$3,QRT!$4:$4,0))+INDEX(QRT!$1:$1048576,MATCH(Model!$B10,QRT!$A:$A,0),MATCH(Model!AB$3,QRT!$4:$4,0)+1)+INDEX(QRT!$1:$1048576,MATCH(Model!$B10,QRT!$A:$A,0),MATCH(Model!AB$3,QRT!$4:$4,0)+2)+INDEX(QRT!$1:$1048576,MATCH(Model!$B10,QRT!$A:$A,0),MATCH(Model!AB$3,QRT!$4:$4,0)+3)</f>
        <v>198.8657</v>
      </c>
      <c r="AC10" s="177" cm="1">
        <f t="array" ref="AC10">INDEX(QRT!$1:$1048576,MATCH(Model!$B10,QRT!$A:$A,0),MATCH(Model!AC$3,QRT!$4:$4,0))+INDEX(QRT!$1:$1048576,MATCH(Model!$B10,QRT!$A:$A,0),MATCH(Model!AC$3,QRT!$4:$4,0)+1)+INDEX(QRT!$1:$1048576,MATCH(Model!$B10,QRT!$A:$A,0),MATCH(Model!AC$3,QRT!$4:$4,0)+2)+INDEX(QRT!$1:$1048576,MATCH(Model!$B10,QRT!$A:$A,0),MATCH(Model!AC$3,QRT!$4:$4,0)+3)</f>
        <v>296.50995</v>
      </c>
      <c r="AD10" s="58" cm="1">
        <f t="array" ref="AD10">INDEX(QRT!$1:$1048576,MATCH(Model!$B10,QRT!$A:$A,0),MATCH(Model!AD$3,QRT!$4:$4,0))+INDEX(QRT!$1:$1048576,MATCH(Model!$B10,QRT!$A:$A,0),MATCH(Model!AD$3,QRT!$4:$4,0)+1)+INDEX(QRT!$1:$1048576,MATCH(Model!$B10,QRT!$A:$A,0),MATCH(Model!AD$3,QRT!$4:$4,0)+2)+INDEX(QRT!$1:$1048576,MATCH(Model!$B10,QRT!$A:$A,0),MATCH(Model!AD$3,QRT!$4:$4,0)+3)</f>
        <v>418.8179509981959</v>
      </c>
      <c r="AE10" s="58" cm="1">
        <f t="array" ref="AE10">INDEX(QRT!$1:$1048576,MATCH(Model!$B10,QRT!$A:$A,0),MATCH(Model!AE$3,QRT!$4:$4,0))+INDEX(QRT!$1:$1048576,MATCH(Model!$B10,QRT!$A:$A,0),MATCH(Model!AE$3,QRT!$4:$4,0)+1)+INDEX(QRT!$1:$1048576,MATCH(Model!$B10,QRT!$A:$A,0),MATCH(Model!AE$3,QRT!$4:$4,0)+2)+INDEX(QRT!$1:$1048576,MATCH(Model!$B10,QRT!$A:$A,0),MATCH(Model!AE$3,QRT!$4:$4,0)+3)</f>
        <v>541.65621395025846</v>
      </c>
      <c r="AF10" s="58" cm="1">
        <f t="array" ref="AF10">INDEX(QRT!$1:$1048576,MATCH(Model!$B10,QRT!$A:$A,0),MATCH(Model!AF$3,QRT!$4:$4,0))+INDEX(QRT!$1:$1048576,MATCH(Model!$B10,QRT!$A:$A,0),MATCH(Model!AF$3,QRT!$4:$4,0)+1)+INDEX(QRT!$1:$1048576,MATCH(Model!$B10,QRT!$A:$A,0),MATCH(Model!AF$3,QRT!$4:$4,0)+2)+INDEX(QRT!$1:$1048576,MATCH(Model!$B10,QRT!$A:$A,0),MATCH(Model!AF$3,QRT!$4:$4,0)+3)</f>
        <v>688.0798989680759</v>
      </c>
      <c r="AG10" s="63">
        <f t="shared" ref="AG10:AN11" si="5">AG$7*AG28</f>
        <v>845.57277690061187</v>
      </c>
      <c r="AH10" s="63">
        <f t="shared" si="5"/>
        <v>1005.8362731538037</v>
      </c>
      <c r="AI10" s="63">
        <f t="shared" si="5"/>
        <v>1157.4201453154533</v>
      </c>
      <c r="AJ10" s="63">
        <f t="shared" si="5"/>
        <v>1297.8961957758379</v>
      </c>
      <c r="AK10" s="63">
        <f t="shared" si="5"/>
        <v>1422.5970148607496</v>
      </c>
      <c r="AL10" s="63">
        <f t="shared" si="5"/>
        <v>1549.2363468802725</v>
      </c>
      <c r="AM10" s="63">
        <f t="shared" si="5"/>
        <v>1684.3318651458233</v>
      </c>
      <c r="AN10" s="63">
        <f t="shared" si="5"/>
        <v>1798.5395917322708</v>
      </c>
      <c r="AO10" s="7"/>
    </row>
    <row r="11" spans="1:43" outlineLevel="1">
      <c r="B11" s="96" t="s">
        <v>386</v>
      </c>
      <c r="E11" s="178" t="s">
        <v>329</v>
      </c>
      <c r="F11" s="52"/>
      <c r="G11" s="52"/>
      <c r="H11" s="177"/>
      <c r="I11" s="177"/>
      <c r="J11" s="177"/>
      <c r="K11" s="177"/>
      <c r="L11" s="177"/>
      <c r="M11" s="177"/>
      <c r="N11" s="177"/>
      <c r="O11" s="177"/>
      <c r="P11" s="177"/>
      <c r="Q11" s="177"/>
      <c r="R11" s="177"/>
      <c r="S11" s="177"/>
      <c r="T11" s="177"/>
      <c r="U11" s="177"/>
      <c r="V11" s="177"/>
      <c r="W11" s="177"/>
      <c r="X11" s="177">
        <f>23.663-(X318+X320)*X324</f>
        <v>23.321679347826088</v>
      </c>
      <c r="Y11" s="177" cm="1">
        <f t="array" ref="Y11">INDEX(QRT!$1:$1048576,MATCH(Model!$B11,QRT!$A:$A,0),MATCH(Model!Y$3,QRT!$4:$4,0))+INDEX(QRT!$1:$1048576,MATCH(Model!$B11,QRT!$A:$A,0),MATCH(Model!Y$3,QRT!$4:$4,0)+1)+INDEX(QRT!$1:$1048576,MATCH(Model!$B11,QRT!$A:$A,0),MATCH(Model!Y$3,QRT!$4:$4,0)+2)+INDEX(QRT!$1:$1048576,MATCH(Model!$B11,QRT!$A:$A,0),MATCH(Model!Y$3,QRT!$4:$4,0)+3)</f>
        <v>33.16931847826087</v>
      </c>
      <c r="Z11" s="177" cm="1">
        <f t="array" ref="Z11">INDEX(QRT!$1:$1048576,MATCH(Model!$B11,QRT!$A:$A,0),MATCH(Model!Z$3,QRT!$4:$4,0))+INDEX(QRT!$1:$1048576,MATCH(Model!$B11,QRT!$A:$A,0),MATCH(Model!Z$3,QRT!$4:$4,0)+1)+INDEX(QRT!$1:$1048576,MATCH(Model!$B11,QRT!$A:$A,0),MATCH(Model!Z$3,QRT!$4:$4,0)+2)+INDEX(QRT!$1:$1048576,MATCH(Model!$B11,QRT!$A:$A,0),MATCH(Model!Z$3,QRT!$4:$4,0)+3)</f>
        <v>53.708600000000004</v>
      </c>
      <c r="AA11" s="177" cm="1">
        <f t="array" ref="AA11">INDEX(QRT!$1:$1048576,MATCH(Model!$B11,QRT!$A:$A,0),MATCH(Model!AA$3,QRT!$4:$4,0))+INDEX(QRT!$1:$1048576,MATCH(Model!$B11,QRT!$A:$A,0),MATCH(Model!AA$3,QRT!$4:$4,0)+1)+INDEX(QRT!$1:$1048576,MATCH(Model!$B11,QRT!$A:$A,0),MATCH(Model!AA$3,QRT!$4:$4,0)+2)+INDEX(QRT!$1:$1048576,MATCH(Model!$B11,QRT!$A:$A,0),MATCH(Model!AA$3,QRT!$4:$4,0)+3)</f>
        <v>89.536300000000011</v>
      </c>
      <c r="AB11" s="177" cm="1">
        <f t="array" ref="AB11">INDEX(QRT!$1:$1048576,MATCH(Model!$B11,QRT!$A:$A,0),MATCH(Model!AB$3,QRT!$4:$4,0))+INDEX(QRT!$1:$1048576,MATCH(Model!$B11,QRT!$A:$A,0),MATCH(Model!AB$3,QRT!$4:$4,0)+1)+INDEX(QRT!$1:$1048576,MATCH(Model!$B11,QRT!$A:$A,0),MATCH(Model!AB$3,QRT!$4:$4,0)+2)+INDEX(QRT!$1:$1048576,MATCH(Model!$B11,QRT!$A:$A,0),MATCH(Model!AB$3,QRT!$4:$4,0)+3)</f>
        <v>119.7337</v>
      </c>
      <c r="AC11" s="177" cm="1">
        <f t="array" ref="AC11">INDEX(QRT!$1:$1048576,MATCH(Model!$B11,QRT!$A:$A,0),MATCH(Model!AC$3,QRT!$4:$4,0))+INDEX(QRT!$1:$1048576,MATCH(Model!$B11,QRT!$A:$A,0),MATCH(Model!AC$3,QRT!$4:$4,0)+1)+INDEX(QRT!$1:$1048576,MATCH(Model!$B11,QRT!$A:$A,0),MATCH(Model!AC$3,QRT!$4:$4,0)+2)+INDEX(QRT!$1:$1048576,MATCH(Model!$B11,QRT!$A:$A,0),MATCH(Model!AC$3,QRT!$4:$4,0)+3)</f>
        <v>187.11994999999999</v>
      </c>
      <c r="AD11" s="58" cm="1">
        <f t="array" ref="AD11">INDEX(QRT!$1:$1048576,MATCH(Model!$B11,QRT!$A:$A,0),MATCH(Model!AD$3,QRT!$4:$4,0))+INDEX(QRT!$1:$1048576,MATCH(Model!$B11,QRT!$A:$A,0),MATCH(Model!AD$3,QRT!$4:$4,0)+1)+INDEX(QRT!$1:$1048576,MATCH(Model!$B11,QRT!$A:$A,0),MATCH(Model!AD$3,QRT!$4:$4,0)+2)+INDEX(QRT!$1:$1048576,MATCH(Model!$B11,QRT!$A:$A,0),MATCH(Model!AD$3,QRT!$4:$4,0)+3)</f>
        <v>294.78150172673782</v>
      </c>
      <c r="AE11" s="58" cm="1">
        <f t="array" ref="AE11">INDEX(QRT!$1:$1048576,MATCH(Model!$B11,QRT!$A:$A,0),MATCH(Model!AE$3,QRT!$4:$4,0))+INDEX(QRT!$1:$1048576,MATCH(Model!$B11,QRT!$A:$A,0),MATCH(Model!AE$3,QRT!$4:$4,0)+1)+INDEX(QRT!$1:$1048576,MATCH(Model!$B11,QRT!$A:$A,0),MATCH(Model!AE$3,QRT!$4:$4,0)+2)+INDEX(QRT!$1:$1048576,MATCH(Model!$B11,QRT!$A:$A,0),MATCH(Model!AE$3,QRT!$4:$4,0)+3)</f>
        <v>368.80978773973368</v>
      </c>
      <c r="AF11" s="58" cm="1">
        <f t="array" ref="AF11">INDEX(QRT!$1:$1048576,MATCH(Model!$B11,QRT!$A:$A,0),MATCH(Model!AF$3,QRT!$4:$4,0))+INDEX(QRT!$1:$1048576,MATCH(Model!$B11,QRT!$A:$A,0),MATCH(Model!AF$3,QRT!$4:$4,0)+1)+INDEX(QRT!$1:$1048576,MATCH(Model!$B11,QRT!$A:$A,0),MATCH(Model!AF$3,QRT!$4:$4,0)+2)+INDEX(QRT!$1:$1048576,MATCH(Model!$B11,QRT!$A:$A,0),MATCH(Model!AF$3,QRT!$4:$4,0)+3)</f>
        <v>458.62171164031906</v>
      </c>
      <c r="AG11" s="63">
        <f t="shared" si="5"/>
        <v>560.66069059269125</v>
      </c>
      <c r="AH11" s="63">
        <f t="shared" si="5"/>
        <v>666.74586524634174</v>
      </c>
      <c r="AI11" s="63">
        <f t="shared" si="5"/>
        <v>771.42249767171506</v>
      </c>
      <c r="AJ11" s="63">
        <f t="shared" si="5"/>
        <v>862.39045109467691</v>
      </c>
      <c r="AK11" s="63">
        <f t="shared" si="5"/>
        <v>941.95324615807374</v>
      </c>
      <c r="AL11" s="63">
        <f t="shared" si="5"/>
        <v>1014.8321127490372</v>
      </c>
      <c r="AM11" s="63">
        <f t="shared" si="5"/>
        <v>1082.7201511095734</v>
      </c>
      <c r="AN11" s="63">
        <f t="shared" si="5"/>
        <v>1145.7398339129968</v>
      </c>
      <c r="AO11" s="7"/>
    </row>
    <row r="12" spans="1:43" outlineLevel="1">
      <c r="B12" s="96" t="s">
        <v>387</v>
      </c>
      <c r="E12" s="178" t="s">
        <v>239</v>
      </c>
      <c r="F12" s="52"/>
      <c r="G12" s="52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  <c r="W12" s="177"/>
      <c r="X12" s="177">
        <f>14.073-(X318+X320)*X325</f>
        <v>12.366396739130435</v>
      </c>
      <c r="Y12" s="177" cm="1">
        <f t="array" ref="Y12">INDEX(QRT!$1:$1048576,MATCH(Model!$B12,QRT!$A:$A,0),MATCH(Model!Y$3,QRT!$4:$4,0))+INDEX(QRT!$1:$1048576,MATCH(Model!$B12,QRT!$A:$A,0),MATCH(Model!Y$3,QRT!$4:$4,0)+1)+INDEX(QRT!$1:$1048576,MATCH(Model!$B12,QRT!$A:$A,0),MATCH(Model!Y$3,QRT!$4:$4,0)+2)+INDEX(QRT!$1:$1048576,MATCH(Model!$B12,QRT!$A:$A,0),MATCH(Model!Y$3,QRT!$4:$4,0)+3)</f>
        <v>17.904592391304348</v>
      </c>
      <c r="Z12" s="177" cm="1">
        <f t="array" ref="Z12">INDEX(QRT!$1:$1048576,MATCH(Model!$B12,QRT!$A:$A,0),MATCH(Model!Z$3,QRT!$4:$4,0))+INDEX(QRT!$1:$1048576,MATCH(Model!$B12,QRT!$A:$A,0),MATCH(Model!Z$3,QRT!$4:$4,0)+1)+INDEX(QRT!$1:$1048576,MATCH(Model!$B12,QRT!$A:$A,0),MATCH(Model!Z$3,QRT!$4:$4,0)+2)+INDEX(QRT!$1:$1048576,MATCH(Model!$B12,QRT!$A:$A,0),MATCH(Model!Z$3,QRT!$4:$4,0)+3)</f>
        <v>58.106999999999999</v>
      </c>
      <c r="AA12" s="177" cm="1">
        <f t="array" ref="AA12">INDEX(QRT!$1:$1048576,MATCH(Model!$B12,QRT!$A:$A,0),MATCH(Model!AA$3,QRT!$4:$4,0))+INDEX(QRT!$1:$1048576,MATCH(Model!$B12,QRT!$A:$A,0),MATCH(Model!AA$3,QRT!$4:$4,0)+1)+INDEX(QRT!$1:$1048576,MATCH(Model!$B12,QRT!$A:$A,0),MATCH(Model!AA$3,QRT!$4:$4,0)+2)+INDEX(QRT!$1:$1048576,MATCH(Model!$B12,QRT!$A:$A,0),MATCH(Model!AA$3,QRT!$4:$4,0)+3)</f>
        <v>75.914500000000004</v>
      </c>
      <c r="AB12" s="177" cm="1">
        <f t="array" ref="AB12">INDEX(QRT!$1:$1048576,MATCH(Model!$B12,QRT!$A:$A,0),MATCH(Model!AB$3,QRT!$4:$4,0))+INDEX(QRT!$1:$1048576,MATCH(Model!$B12,QRT!$A:$A,0),MATCH(Model!AB$3,QRT!$4:$4,0)+1)+INDEX(QRT!$1:$1048576,MATCH(Model!$B12,QRT!$A:$A,0),MATCH(Model!AB$3,QRT!$4:$4,0)+2)+INDEX(QRT!$1:$1048576,MATCH(Model!$B12,QRT!$A:$A,0),MATCH(Model!AB$3,QRT!$4:$4,0)+3)</f>
        <v>82.772500000000008</v>
      </c>
      <c r="AC12" s="177" cm="1">
        <f t="array" ref="AC12">INDEX(QRT!$1:$1048576,MATCH(Model!$B12,QRT!$A:$A,0),MATCH(Model!AC$3,QRT!$4:$4,0))+INDEX(QRT!$1:$1048576,MATCH(Model!$B12,QRT!$A:$A,0),MATCH(Model!AC$3,QRT!$4:$4,0)+1)+INDEX(QRT!$1:$1048576,MATCH(Model!$B12,QRT!$A:$A,0),MATCH(Model!AC$3,QRT!$4:$4,0)+2)+INDEX(QRT!$1:$1048576,MATCH(Model!$B12,QRT!$A:$A,0),MATCH(Model!AC$3,QRT!$4:$4,0)+3)</f>
        <v>108.06275000000001</v>
      </c>
      <c r="AD12" s="58" cm="1">
        <f t="array" ref="AD12">INDEX(QRT!$1:$1048576,MATCH(Model!$B12,QRT!$A:$A,0),MATCH(Model!AD$3,QRT!$4:$4,0))+INDEX(QRT!$1:$1048576,MATCH(Model!$B12,QRT!$A:$A,0),MATCH(Model!AD$3,QRT!$4:$4,0)+1)+INDEX(QRT!$1:$1048576,MATCH(Model!$B12,QRT!$A:$A,0),MATCH(Model!AD$3,QRT!$4:$4,0)+2)+INDEX(QRT!$1:$1048576,MATCH(Model!$B12,QRT!$A:$A,0),MATCH(Model!AD$3,QRT!$4:$4,0)+3)</f>
        <v>164.76263584329837</v>
      </c>
      <c r="AE12" s="58" cm="1">
        <f t="array" ref="AE12">INDEX(QRT!$1:$1048576,MATCH(Model!$B12,QRT!$A:$A,0),MATCH(Model!AE$3,QRT!$4:$4,0))+INDEX(QRT!$1:$1048576,MATCH(Model!$B12,QRT!$A:$A,0),MATCH(Model!AE$3,QRT!$4:$4,0)+1)+INDEX(QRT!$1:$1048576,MATCH(Model!$B12,QRT!$A:$A,0),MATCH(Model!AE$3,QRT!$4:$4,0)+2)+INDEX(QRT!$1:$1048576,MATCH(Model!$B12,QRT!$A:$A,0),MATCH(Model!AE$3,QRT!$4:$4,0)+3)</f>
        <v>202.17731955232532</v>
      </c>
      <c r="AF12" s="58" cm="1">
        <f t="array" ref="AF12">INDEX(QRT!$1:$1048576,MATCH(Model!$B12,QRT!$A:$A,0),MATCH(Model!AF$3,QRT!$4:$4,0))+INDEX(QRT!$1:$1048576,MATCH(Model!$B12,QRT!$A:$A,0),MATCH(Model!AF$3,QRT!$4:$4,0)+1)+INDEX(QRT!$1:$1048576,MATCH(Model!$B12,QRT!$A:$A,0),MATCH(Model!AF$3,QRT!$4:$4,0)+2)+INDEX(QRT!$1:$1048576,MATCH(Model!$B12,QRT!$A:$A,0),MATCH(Model!AF$3,QRT!$4:$4,0)+3)</f>
        <v>255.05274588538072</v>
      </c>
      <c r="AG12" s="63">
        <f t="shared" ref="AG12:AN12" si="6">AG$7*AG31</f>
        <v>313.27905927114961</v>
      </c>
      <c r="AH12" s="63">
        <f t="shared" si="6"/>
        <v>379.97121297862844</v>
      </c>
      <c r="AI12" s="63">
        <f t="shared" si="6"/>
        <v>455.76703966092231</v>
      </c>
      <c r="AJ12" s="63">
        <f t="shared" si="6"/>
        <v>538.3775123019683</v>
      </c>
      <c r="AK12" s="63">
        <f t="shared" si="6"/>
        <v>623.9193655131977</v>
      </c>
      <c r="AL12" s="63">
        <f t="shared" si="6"/>
        <v>714.37038661543045</v>
      </c>
      <c r="AM12" s="63">
        <f t="shared" si="6"/>
        <v>804.21068041707679</v>
      </c>
      <c r="AN12" s="63">
        <f t="shared" si="6"/>
        <v>890.31817047470133</v>
      </c>
      <c r="AO12" s="7"/>
    </row>
    <row r="13" spans="1:43" outlineLevel="1">
      <c r="B13" s="96" t="s">
        <v>217</v>
      </c>
      <c r="E13" s="178" t="s">
        <v>217</v>
      </c>
      <c r="F13" s="52"/>
      <c r="G13" s="52"/>
      <c r="H13" s="177"/>
      <c r="I13" s="177"/>
      <c r="J13" s="177"/>
      <c r="K13" s="177"/>
      <c r="L13" s="177"/>
      <c r="M13" s="177"/>
      <c r="N13" s="177"/>
      <c r="O13" s="177"/>
      <c r="P13" s="177"/>
      <c r="Q13" s="177"/>
      <c r="R13" s="177"/>
      <c r="S13" s="177"/>
      <c r="T13" s="177"/>
      <c r="U13" s="177"/>
      <c r="V13" s="177"/>
      <c r="W13" s="177"/>
      <c r="X13" s="177">
        <f>X321-X299</f>
        <v>9.9570000000000007</v>
      </c>
      <c r="Y13" s="177" cm="1">
        <f t="array" ref="Y13">INDEX(QRT!$1:$1048576,MATCH(Model!$B13,QRT!$A:$A,0),MATCH(Model!Y$3,QRT!$4:$4,0))+INDEX(QRT!$1:$1048576,MATCH(Model!$B13,QRT!$A:$A,0),MATCH(Model!Y$3,QRT!$4:$4,0)+1)+INDEX(QRT!$1:$1048576,MATCH(Model!$B13,QRT!$A:$A,0),MATCH(Model!Y$3,QRT!$4:$4,0)+2)+INDEX(QRT!$1:$1048576,MATCH(Model!$B13,QRT!$A:$A,0),MATCH(Model!Y$3,QRT!$4:$4,0)+3)</f>
        <v>12.173999999999996</v>
      </c>
      <c r="Z13" s="177" cm="1">
        <f t="array" ref="Z13">INDEX(QRT!$1:$1048576,MATCH(Model!$B13,QRT!$A:$A,0),MATCH(Model!Z$3,QRT!$4:$4,0))+INDEX(QRT!$1:$1048576,MATCH(Model!$B13,QRT!$A:$A,0),MATCH(Model!Z$3,QRT!$4:$4,0)+1)+INDEX(QRT!$1:$1048576,MATCH(Model!$B13,QRT!$A:$A,0),MATCH(Model!Z$3,QRT!$4:$4,0)+2)+INDEX(QRT!$1:$1048576,MATCH(Model!$B13,QRT!$A:$A,0),MATCH(Model!Z$3,QRT!$4:$4,0)+3)</f>
        <v>25.965</v>
      </c>
      <c r="AA13" s="177" cm="1">
        <f t="array" ref="AA13">INDEX(QRT!$1:$1048576,MATCH(Model!$B13,QRT!$A:$A,0),MATCH(Model!AA$3,QRT!$4:$4,0))+INDEX(QRT!$1:$1048576,MATCH(Model!$B13,QRT!$A:$A,0),MATCH(Model!AA$3,QRT!$4:$4,0)+1)+INDEX(QRT!$1:$1048576,MATCH(Model!$B13,QRT!$A:$A,0),MATCH(Model!AA$3,QRT!$4:$4,0)+2)+INDEX(QRT!$1:$1048576,MATCH(Model!$B13,QRT!$A:$A,0),MATCH(Model!AA$3,QRT!$4:$4,0)+3)</f>
        <v>40.299999999999997</v>
      </c>
      <c r="AB13" s="177" cm="1">
        <f t="array" ref="AB13">INDEX(QRT!$1:$1048576,MATCH(Model!$B13,QRT!$A:$A,0),MATCH(Model!AB$3,QRT!$4:$4,0))+INDEX(QRT!$1:$1048576,MATCH(Model!$B13,QRT!$A:$A,0),MATCH(Model!AB$3,QRT!$4:$4,0)+1)+INDEX(QRT!$1:$1048576,MATCH(Model!$B13,QRT!$A:$A,0),MATCH(Model!AB$3,QRT!$4:$4,0)+2)+INDEX(QRT!$1:$1048576,MATCH(Model!$B13,QRT!$A:$A,0),MATCH(Model!AB$3,QRT!$4:$4,0)+3)</f>
        <v>66.711000000000013</v>
      </c>
      <c r="AC13" s="177" cm="1">
        <f t="array" ref="AC13">INDEX(QRT!$1:$1048576,MATCH(Model!$B13,QRT!$A:$A,0),MATCH(Model!AC$3,QRT!$4:$4,0))+INDEX(QRT!$1:$1048576,MATCH(Model!$B13,QRT!$A:$A,0),MATCH(Model!AC$3,QRT!$4:$4,0)+1)+INDEX(QRT!$1:$1048576,MATCH(Model!$B13,QRT!$A:$A,0),MATCH(Model!AC$3,QRT!$4:$4,0)+2)+INDEX(QRT!$1:$1048576,MATCH(Model!$B13,QRT!$A:$A,0),MATCH(Model!AC$3,QRT!$4:$4,0)+3)</f>
        <v>95.873999999999995</v>
      </c>
      <c r="AD13" s="58" cm="1">
        <f t="array" ref="AD13">INDEX(QRT!$1:$1048576,MATCH(Model!$B13,QRT!$A:$A,0),MATCH(Model!AD$3,QRT!$4:$4,0))+INDEX(QRT!$1:$1048576,MATCH(Model!$B13,QRT!$A:$A,0),MATCH(Model!AD$3,QRT!$4:$4,0)+1)+INDEX(QRT!$1:$1048576,MATCH(Model!$B13,QRT!$A:$A,0),MATCH(Model!AD$3,QRT!$4:$4,0)+2)+INDEX(QRT!$1:$1048576,MATCH(Model!$B13,QRT!$A:$A,0),MATCH(Model!AD$3,QRT!$4:$4,0)+3)</f>
        <v>147.7938428636198</v>
      </c>
      <c r="AE13" s="58" cm="1">
        <f t="array" ref="AE13">INDEX(QRT!$1:$1048576,MATCH(Model!$B13,QRT!$A:$A,0),MATCH(Model!AE$3,QRT!$4:$4,0))+INDEX(QRT!$1:$1048576,MATCH(Model!$B13,QRT!$A:$A,0),MATCH(Model!AE$3,QRT!$4:$4,0)+1)+INDEX(QRT!$1:$1048576,MATCH(Model!$B13,QRT!$A:$A,0),MATCH(Model!AE$3,QRT!$4:$4,0)+2)+INDEX(QRT!$1:$1048576,MATCH(Model!$B13,QRT!$A:$A,0),MATCH(Model!AE$3,QRT!$4:$4,0)+3)</f>
        <v>192.2561410935362</v>
      </c>
      <c r="AF13" s="58" cm="1">
        <f t="array" ref="AF13">INDEX(QRT!$1:$1048576,MATCH(Model!$B13,QRT!$A:$A,0),MATCH(Model!AF$3,QRT!$4:$4,0))+INDEX(QRT!$1:$1048576,MATCH(Model!$B13,QRT!$A:$A,0),MATCH(Model!AF$3,QRT!$4:$4,0)+1)+INDEX(QRT!$1:$1048576,MATCH(Model!$B13,QRT!$A:$A,0),MATCH(Model!AF$3,QRT!$4:$4,0)+2)+INDEX(QRT!$1:$1048576,MATCH(Model!$B13,QRT!$A:$A,0),MATCH(Model!AF$3,QRT!$4:$4,0)+3)</f>
        <v>229.46466824503801</v>
      </c>
      <c r="AG13" s="63">
        <f>AG321-AG299</f>
        <v>243.80547501739136</v>
      </c>
      <c r="AH13" s="63">
        <f t="shared" ref="AH13:AN13" si="7">AH321-AH299</f>
        <v>286.16636623313138</v>
      </c>
      <c r="AI13" s="63">
        <f t="shared" si="7"/>
        <v>338.70979805767752</v>
      </c>
      <c r="AJ13" s="63">
        <f t="shared" si="7"/>
        <v>391.63230698358745</v>
      </c>
      <c r="AK13" s="63">
        <f t="shared" si="7"/>
        <v>444.35840539740684</v>
      </c>
      <c r="AL13" s="63">
        <f t="shared" si="7"/>
        <v>494.49560717112274</v>
      </c>
      <c r="AM13" s="63">
        <f>AM321-AM299</f>
        <v>542.21630089297423</v>
      </c>
      <c r="AN13" s="63">
        <f t="shared" si="7"/>
        <v>584.80968956639049</v>
      </c>
      <c r="AO13" s="7"/>
    </row>
    <row r="14" spans="1:43" outlineLevel="1">
      <c r="B14" s="96"/>
      <c r="E14" s="2" t="s">
        <v>206</v>
      </c>
      <c r="F14" s="157"/>
      <c r="G14" s="157"/>
      <c r="H14" s="139"/>
      <c r="I14" s="139"/>
      <c r="J14" s="139"/>
      <c r="K14" s="139"/>
      <c r="L14" s="139"/>
      <c r="M14" s="139"/>
      <c r="N14" s="139"/>
      <c r="O14" s="139"/>
      <c r="P14" s="139"/>
      <c r="Q14" s="139"/>
      <c r="R14" s="139"/>
      <c r="S14" s="139"/>
      <c r="T14" s="139"/>
      <c r="U14" s="139"/>
      <c r="V14" s="139"/>
      <c r="W14" s="139"/>
      <c r="X14" s="139">
        <f t="shared" ref="X14:AN14" si="8">X9-SUM(X10:X13)</f>
        <v>-17.028999999999996</v>
      </c>
      <c r="Y14" s="139">
        <f t="shared" si="8"/>
        <v>-9.7299999999999898</v>
      </c>
      <c r="Z14" s="139">
        <f t="shared" si="8"/>
        <v>-61.599000000000046</v>
      </c>
      <c r="AA14" s="139">
        <f t="shared" si="8"/>
        <v>-107.94600000000003</v>
      </c>
      <c r="AB14" s="139">
        <f t="shared" si="8"/>
        <v>-100.48899999999998</v>
      </c>
      <c r="AC14" s="139">
        <f>AC9-SUM(AC10:AC13)</f>
        <v>-127.68400000000008</v>
      </c>
      <c r="AD14" s="139">
        <f t="shared" si="8"/>
        <v>-201.774059989629</v>
      </c>
      <c r="AE14" s="139">
        <f t="shared" si="8"/>
        <v>-199.28126467343304</v>
      </c>
      <c r="AF14" s="139">
        <f t="shared" si="8"/>
        <v>-183.64421461961251</v>
      </c>
      <c r="AG14" s="139">
        <f t="shared" si="8"/>
        <v>-113.9876836368262</v>
      </c>
      <c r="AH14" s="139">
        <f t="shared" si="8"/>
        <v>-35.358151708390778</v>
      </c>
      <c r="AI14" s="139">
        <f t="shared" si="8"/>
        <v>74.619152637795196</v>
      </c>
      <c r="AJ14" s="139">
        <f t="shared" si="8"/>
        <v>232.80350017241199</v>
      </c>
      <c r="AK14" s="139">
        <f t="shared" si="8"/>
        <v>439.46496179469477</v>
      </c>
      <c r="AL14" s="139">
        <f t="shared" si="8"/>
        <v>652.24330094276138</v>
      </c>
      <c r="AM14" s="139">
        <f t="shared" si="8"/>
        <v>858.65756015839179</v>
      </c>
      <c r="AN14" s="139">
        <f t="shared" si="8"/>
        <v>1074.5183590212055</v>
      </c>
      <c r="AO14" s="7"/>
      <c r="AP14" s="319"/>
    </row>
    <row r="15" spans="1:43" outlineLevel="1">
      <c r="B15" s="96" t="s">
        <v>388</v>
      </c>
      <c r="E15" s="178" t="s">
        <v>331</v>
      </c>
      <c r="F15" s="52"/>
      <c r="G15" s="52"/>
      <c r="H15" s="177"/>
      <c r="I15" s="177"/>
      <c r="J15" s="177"/>
      <c r="K15" s="177"/>
      <c r="L15" s="177"/>
      <c r="M15" s="177"/>
      <c r="N15" s="177"/>
      <c r="O15" s="177"/>
      <c r="P15" s="177"/>
      <c r="Q15" s="177"/>
      <c r="R15" s="177"/>
      <c r="S15" s="177"/>
      <c r="T15" s="177"/>
      <c r="U15" s="177"/>
      <c r="V15" s="177"/>
      <c r="W15" s="177"/>
      <c r="X15" s="177">
        <v>-0.20799999999999999</v>
      </c>
      <c r="Y15" s="177" cm="1">
        <f t="array" ref="Y15">INDEX(QRT!$1:$1048576,MATCH(Model!$B15,QRT!$A:$A,0),MATCH(Model!Y$3,QRT!$4:$4,0))+INDEX(QRT!$1:$1048576,MATCH(Model!$B15,QRT!$A:$A,0),MATCH(Model!Y$3,QRT!$4:$4,0)+1)+INDEX(QRT!$1:$1048576,MATCH(Model!$B15,QRT!$A:$A,0),MATCH(Model!Y$3,QRT!$4:$4,0)+2)+INDEX(QRT!$1:$1048576,MATCH(Model!$B15,QRT!$A:$A,0),MATCH(Model!Y$3,QRT!$4:$4,0)+3)</f>
        <v>0.115</v>
      </c>
      <c r="Z15" s="177" cm="1">
        <f t="array" ref="Z15">INDEX(QRT!$1:$1048576,MATCH(Model!$B15,QRT!$A:$A,0),MATCH(Model!Z$3,QRT!$4:$4,0))+INDEX(QRT!$1:$1048576,MATCH(Model!$B15,QRT!$A:$A,0),MATCH(Model!Z$3,QRT!$4:$4,0)+1)+INDEX(QRT!$1:$1048576,MATCH(Model!$B15,QRT!$A:$A,0),MATCH(Model!Z$3,QRT!$4:$4,0)+2)+INDEX(QRT!$1:$1048576,MATCH(Model!$B15,QRT!$A:$A,0),MATCH(Model!Z$3,QRT!$4:$4,0)+3)</f>
        <v>-25.390999999999998</v>
      </c>
      <c r="AA15" s="177" cm="1">
        <f t="array" ref="AA15">INDEX(QRT!$1:$1048576,MATCH(Model!$B15,QRT!$A:$A,0),MATCH(Model!AA$3,QRT!$4:$4,0))+INDEX(QRT!$1:$1048576,MATCH(Model!$B15,QRT!$A:$A,0),MATCH(Model!AA$3,QRT!$4:$4,0)+1)+INDEX(QRT!$1:$1048576,MATCH(Model!$B15,QRT!$A:$A,0),MATCH(Model!AA$3,QRT!$4:$4,0)+2)+INDEX(QRT!$1:$1048576,MATCH(Model!$B15,QRT!$A:$A,0),MATCH(Model!AA$3,QRT!$4:$4,0)+3)</f>
        <v>-1.4419999999999999</v>
      </c>
      <c r="AB15" s="177" cm="1">
        <f t="array" ref="AB15">INDEX(QRT!$1:$1048576,MATCH(Model!$B15,QRT!$A:$A,0),MATCH(Model!AB$3,QRT!$4:$4,0))+INDEX(QRT!$1:$1048576,MATCH(Model!$B15,QRT!$A:$A,0),MATCH(Model!AB$3,QRT!$4:$4,0)+1)+INDEX(QRT!$1:$1048576,MATCH(Model!$B15,QRT!$A:$A,0),MATCH(Model!AB$3,QRT!$4:$4,0)+2)+INDEX(QRT!$1:$1048576,MATCH(Model!$B15,QRT!$A:$A,0),MATCH(Model!AB$3,QRT!$4:$4,0)+3)</f>
        <v>-6.1079999999999997</v>
      </c>
      <c r="AC15" s="177" cm="1">
        <f t="array" ref="AC15">INDEX(QRT!$1:$1048576,MATCH(Model!$B15,QRT!$A:$A,0),MATCH(Model!AC$3,QRT!$4:$4,0))+INDEX(QRT!$1:$1048576,MATCH(Model!$B15,QRT!$A:$A,0),MATCH(Model!AC$3,QRT!$4:$4,0)+1)+INDEX(QRT!$1:$1048576,MATCH(Model!$B15,QRT!$A:$A,0),MATCH(Model!AC$3,QRT!$4:$4,0)+2)+INDEX(QRT!$1:$1048576,MATCH(Model!$B15,QRT!$A:$A,0),MATCH(Model!AC$3,QRT!$4:$4,0)+3)</f>
        <v>-73.027999999999992</v>
      </c>
      <c r="AD15" s="58" cm="1">
        <f t="array" ref="AD15">INDEX(QRT!$1:$1048576,MATCH(Model!$B15,QRT!$A:$A,0),MATCH(Model!AD$3,QRT!$4:$4,0))+INDEX(QRT!$1:$1048576,MATCH(Model!$B15,QRT!$A:$A,0),MATCH(Model!AD$3,QRT!$4:$4,0)+1)+INDEX(QRT!$1:$1048576,MATCH(Model!$B15,QRT!$A:$A,0),MATCH(Model!AD$3,QRT!$4:$4,0)+2)+INDEX(QRT!$1:$1048576,MATCH(Model!$B15,QRT!$A:$A,0),MATCH(Model!AD$3,QRT!$4:$4,0)+3)</f>
        <v>-3.9359999999999999</v>
      </c>
      <c r="AE15" s="58" cm="1">
        <f t="array" ref="AE15">INDEX(QRT!$1:$1048576,MATCH(Model!$B15,QRT!$A:$A,0),MATCH(Model!AE$3,QRT!$4:$4,0))+INDEX(QRT!$1:$1048576,MATCH(Model!$B15,QRT!$A:$A,0),MATCH(Model!AE$3,QRT!$4:$4,0)+1)+INDEX(QRT!$1:$1048576,MATCH(Model!$B15,QRT!$A:$A,0),MATCH(Model!AE$3,QRT!$4:$4,0)+2)+INDEX(QRT!$1:$1048576,MATCH(Model!$B15,QRT!$A:$A,0),MATCH(Model!AE$3,QRT!$4:$4,0)+3)</f>
        <v>0</v>
      </c>
      <c r="AF15" s="58" cm="1">
        <f t="array" ref="AF15">INDEX(QRT!$1:$1048576,MATCH(Model!$B15,QRT!$A:$A,0),MATCH(Model!AF$3,QRT!$4:$4,0))+INDEX(QRT!$1:$1048576,MATCH(Model!$B15,QRT!$A:$A,0),MATCH(Model!AF$3,QRT!$4:$4,0)+1)+INDEX(QRT!$1:$1048576,MATCH(Model!$B15,QRT!$A:$A,0),MATCH(Model!AF$3,QRT!$4:$4,0)+2)+INDEX(QRT!$1:$1048576,MATCH(Model!$B15,QRT!$A:$A,0),MATCH(Model!AF$3,QRT!$4:$4,0)+3)</f>
        <v>0</v>
      </c>
      <c r="AG15" s="141">
        <v>0</v>
      </c>
      <c r="AH15" s="141">
        <v>0</v>
      </c>
      <c r="AI15" s="141">
        <v>0</v>
      </c>
      <c r="AJ15" s="141">
        <v>0</v>
      </c>
      <c r="AK15" s="141">
        <v>0</v>
      </c>
      <c r="AL15" s="141">
        <v>0</v>
      </c>
      <c r="AM15" s="141">
        <v>0</v>
      </c>
      <c r="AN15" s="141">
        <v>0</v>
      </c>
      <c r="AO15" s="7"/>
    </row>
    <row r="16" spans="1:43" outlineLevel="1">
      <c r="B16" s="96"/>
      <c r="E16" s="2" t="s">
        <v>4</v>
      </c>
      <c r="F16" s="157"/>
      <c r="G16" s="157"/>
      <c r="H16" s="139"/>
      <c r="I16" s="139"/>
      <c r="J16" s="139"/>
      <c r="K16" s="139"/>
      <c r="L16" s="139"/>
      <c r="M16" s="139"/>
      <c r="N16" s="139"/>
      <c r="O16" s="139"/>
      <c r="P16" s="139"/>
      <c r="Q16" s="139"/>
      <c r="R16" s="139"/>
      <c r="S16" s="139"/>
      <c r="T16" s="139"/>
      <c r="U16" s="139"/>
      <c r="V16" s="139"/>
      <c r="W16" s="139"/>
      <c r="X16" s="139">
        <f t="shared" ref="X16:AC16" si="9">X14+X15</f>
        <v>-17.236999999999995</v>
      </c>
      <c r="Y16" s="139">
        <f t="shared" si="9"/>
        <v>-9.6149999999999896</v>
      </c>
      <c r="Z16" s="139">
        <f t="shared" si="9"/>
        <v>-86.990000000000038</v>
      </c>
      <c r="AA16" s="139">
        <f t="shared" si="9"/>
        <v>-109.38800000000002</v>
      </c>
      <c r="AB16" s="139">
        <f t="shared" si="9"/>
        <v>-106.59699999999998</v>
      </c>
      <c r="AC16" s="139">
        <f t="shared" si="9"/>
        <v>-200.71200000000007</v>
      </c>
      <c r="AD16" s="139">
        <f t="shared" ref="AD16:AN16" si="10">AD14-AD15</f>
        <v>-197.83805998962899</v>
      </c>
      <c r="AE16" s="139">
        <f t="shared" si="10"/>
        <v>-199.28126467343304</v>
      </c>
      <c r="AF16" s="139">
        <f t="shared" si="10"/>
        <v>-183.64421461961251</v>
      </c>
      <c r="AG16" s="139">
        <f t="shared" si="10"/>
        <v>-113.9876836368262</v>
      </c>
      <c r="AH16" s="139">
        <f t="shared" si="10"/>
        <v>-35.358151708390778</v>
      </c>
      <c r="AI16" s="139">
        <f t="shared" si="10"/>
        <v>74.619152637795196</v>
      </c>
      <c r="AJ16" s="139">
        <f t="shared" si="10"/>
        <v>232.80350017241199</v>
      </c>
      <c r="AK16" s="139">
        <f t="shared" si="10"/>
        <v>439.46496179469477</v>
      </c>
      <c r="AL16" s="139">
        <f t="shared" si="10"/>
        <v>652.24330094276138</v>
      </c>
      <c r="AM16" s="139">
        <f t="shared" si="10"/>
        <v>858.65756015839179</v>
      </c>
      <c r="AN16" s="139">
        <f t="shared" si="10"/>
        <v>1074.5183590212055</v>
      </c>
      <c r="AO16" s="7"/>
      <c r="AP16" s="319"/>
    </row>
    <row r="17" spans="1:41" outlineLevel="1">
      <c r="B17" s="96"/>
      <c r="E17" s="178" t="s">
        <v>369</v>
      </c>
      <c r="F17" s="52"/>
      <c r="G17" s="52"/>
      <c r="H17" s="67"/>
      <c r="I17" s="67"/>
      <c r="J17" s="67"/>
      <c r="K17" s="67"/>
      <c r="L17" s="67"/>
      <c r="M17" s="67"/>
      <c r="N17" s="67"/>
      <c r="O17" s="67"/>
      <c r="P17" s="67"/>
      <c r="Q17" s="67"/>
      <c r="R17" s="67"/>
      <c r="S17" s="67"/>
      <c r="T17" s="67"/>
      <c r="U17" s="67"/>
      <c r="V17" s="67"/>
      <c r="W17" s="67"/>
      <c r="X17" s="67">
        <f>-X245</f>
        <v>2.8000000000000025E-2</v>
      </c>
      <c r="Y17" s="67">
        <f t="shared" ref="Y17:AN17" si="11">-Y245</f>
        <v>9.9999999999999978E-2</v>
      </c>
      <c r="Z17" s="67">
        <f t="shared" si="11"/>
        <v>-0.90300000000000002</v>
      </c>
      <c r="AA17" s="67">
        <f t="shared" si="11"/>
        <v>-4.6749999999999998</v>
      </c>
      <c r="AB17" s="67">
        <f t="shared" si="11"/>
        <v>18.375999999999998</v>
      </c>
      <c r="AC17" s="67">
        <f t="shared" si="11"/>
        <v>47.264000000000003</v>
      </c>
      <c r="AD17" s="67">
        <f t="shared" si="11"/>
        <v>28.394472404202546</v>
      </c>
      <c r="AE17" s="67">
        <f t="shared" ca="1" si="11"/>
        <v>59.710426771065045</v>
      </c>
      <c r="AF17" s="67">
        <f t="shared" ca="1" si="11"/>
        <v>63.531063821043617</v>
      </c>
      <c r="AG17" s="63">
        <f t="shared" ca="1" si="11"/>
        <v>75.270542149402573</v>
      </c>
      <c r="AH17" s="63">
        <f t="shared" ca="1" si="11"/>
        <v>81.654319958234652</v>
      </c>
      <c r="AI17" s="63">
        <f t="shared" ca="1" si="11"/>
        <v>83.413217205935524</v>
      </c>
      <c r="AJ17" s="63">
        <f t="shared" ca="1" si="11"/>
        <v>86.733937599411902</v>
      </c>
      <c r="AK17" s="63">
        <f t="shared" ca="1" si="11"/>
        <v>87.74799308479885</v>
      </c>
      <c r="AL17" s="63">
        <f t="shared" ca="1" si="11"/>
        <v>89.980660054695761</v>
      </c>
      <c r="AM17" s="63">
        <f t="shared" ca="1" si="11"/>
        <v>89.557106843624709</v>
      </c>
      <c r="AN17" s="63">
        <f t="shared" ca="1" si="11"/>
        <v>90.311668783775175</v>
      </c>
      <c r="AO17" s="7"/>
    </row>
    <row r="18" spans="1:41" outlineLevel="1">
      <c r="B18" s="96"/>
      <c r="E18" s="2" t="s">
        <v>108</v>
      </c>
      <c r="F18" s="157"/>
      <c r="G18" s="157"/>
      <c r="H18" s="139"/>
      <c r="I18" s="139"/>
      <c r="J18" s="139"/>
      <c r="K18" s="139"/>
      <c r="L18" s="139"/>
      <c r="M18" s="139"/>
      <c r="N18" s="139"/>
      <c r="O18" s="139"/>
      <c r="P18" s="139"/>
      <c r="Q18" s="139"/>
      <c r="R18" s="139"/>
      <c r="S18" s="139"/>
      <c r="T18" s="139"/>
      <c r="U18" s="139"/>
      <c r="V18" s="139"/>
      <c r="W18" s="139"/>
      <c r="X18" s="139">
        <f t="shared" ref="X18:AN18" si="12">X16-SUM(X17:X17)</f>
        <v>-17.264999999999993</v>
      </c>
      <c r="Y18" s="139">
        <f t="shared" si="12"/>
        <v>-9.7149999999999892</v>
      </c>
      <c r="Z18" s="139">
        <f t="shared" si="12"/>
        <v>-86.087000000000032</v>
      </c>
      <c r="AA18" s="139">
        <f t="shared" si="12"/>
        <v>-104.71300000000002</v>
      </c>
      <c r="AB18" s="139">
        <f t="shared" si="12"/>
        <v>-124.97299999999998</v>
      </c>
      <c r="AC18" s="139">
        <f>AC16-SUM(AC17:AC17)</f>
        <v>-247.97600000000008</v>
      </c>
      <c r="AD18" s="139">
        <f t="shared" si="12"/>
        <v>-226.23253239383155</v>
      </c>
      <c r="AE18" s="139">
        <f t="shared" ca="1" si="12"/>
        <v>-258.99169144449809</v>
      </c>
      <c r="AF18" s="139">
        <f t="shared" ca="1" si="12"/>
        <v>-247.17527844065614</v>
      </c>
      <c r="AG18" s="139">
        <f t="shared" ca="1" si="12"/>
        <v>-189.25822578622876</v>
      </c>
      <c r="AH18" s="139">
        <f t="shared" ca="1" si="12"/>
        <v>-117.01247166662543</v>
      </c>
      <c r="AI18" s="139">
        <f t="shared" ca="1" si="12"/>
        <v>-8.7940645681403282</v>
      </c>
      <c r="AJ18" s="139">
        <f t="shared" ca="1" si="12"/>
        <v>146.0695625730001</v>
      </c>
      <c r="AK18" s="139">
        <f t="shared" ca="1" si="12"/>
        <v>351.71696870989592</v>
      </c>
      <c r="AL18" s="139">
        <f t="shared" ca="1" si="12"/>
        <v>562.26264088806556</v>
      </c>
      <c r="AM18" s="139">
        <f t="shared" ca="1" si="12"/>
        <v>769.10045331476704</v>
      </c>
      <c r="AN18" s="139">
        <f t="shared" ca="1" si="12"/>
        <v>984.20669023743028</v>
      </c>
      <c r="AO18" s="7"/>
    </row>
    <row r="19" spans="1:41" outlineLevel="1">
      <c r="B19" s="96" t="s">
        <v>218</v>
      </c>
      <c r="E19" s="178" t="s">
        <v>218</v>
      </c>
      <c r="F19" s="52"/>
      <c r="G19" s="52"/>
      <c r="H19" s="177"/>
      <c r="I19" s="177"/>
      <c r="J19" s="177"/>
      <c r="K19" s="177"/>
      <c r="L19" s="177"/>
      <c r="M19" s="177"/>
      <c r="N19" s="177"/>
      <c r="O19" s="177"/>
      <c r="P19" s="177"/>
      <c r="Q19" s="177"/>
      <c r="R19" s="177"/>
      <c r="S19" s="177"/>
      <c r="T19" s="177"/>
      <c r="U19" s="177"/>
      <c r="V19" s="177"/>
      <c r="W19" s="177"/>
      <c r="X19" s="177">
        <f>0.069-X20</f>
        <v>0.59899999999999998</v>
      </c>
      <c r="Y19" s="177" cm="1">
        <f t="array" ref="Y19">INDEX(QRT!$1:$1048576,MATCH(Model!$B19,QRT!$A:$A,0),MATCH(Model!Y$3,QRT!$4:$4,0))+INDEX(QRT!$1:$1048576,MATCH(Model!$B19,QRT!$A:$A,0),MATCH(Model!Y$3,QRT!$4:$4,0)+1)+INDEX(QRT!$1:$1048576,MATCH(Model!$B19,QRT!$A:$A,0),MATCH(Model!Y$3,QRT!$4:$4,0)+2)+INDEX(QRT!$1:$1048576,MATCH(Model!$B19,QRT!$A:$A,0),MATCH(Model!Y$3,QRT!$4:$4,0)+3)</f>
        <v>1.1679999999999997</v>
      </c>
      <c r="Z19" s="177" cm="1">
        <f t="array" ref="Z19">INDEX(QRT!$1:$1048576,MATCH(Model!$B19,QRT!$A:$A,0),MATCH(Model!Z$3,QRT!$4:$4,0))+INDEX(QRT!$1:$1048576,MATCH(Model!$B19,QRT!$A:$A,0),MATCH(Model!Z$3,QRT!$4:$4,0)+1)+INDEX(QRT!$1:$1048576,MATCH(Model!$B19,QRT!$A:$A,0),MATCH(Model!Z$3,QRT!$4:$4,0)+2)+INDEX(QRT!$1:$1048576,MATCH(Model!$B19,QRT!$A:$A,0),MATCH(Model!Z$3,QRT!$4:$4,0)+3)</f>
        <v>0.69199999999999995</v>
      </c>
      <c r="AA19" s="177" cm="1">
        <f t="array" ref="AA19">INDEX(QRT!$1:$1048576,MATCH(Model!$B19,QRT!$A:$A,0),MATCH(Model!AA$3,QRT!$4:$4,0))+INDEX(QRT!$1:$1048576,MATCH(Model!$B19,QRT!$A:$A,0),MATCH(Model!AA$3,QRT!$4:$4,0)+1)+INDEX(QRT!$1:$1048576,MATCH(Model!$B19,QRT!$A:$A,0),MATCH(Model!AA$3,QRT!$4:$4,0)+2)+INDEX(QRT!$1:$1048576,MATCH(Model!$B19,QRT!$A:$A,0),MATCH(Model!AA$3,QRT!$4:$4,0)+3)</f>
        <v>0.74500000000000011</v>
      </c>
      <c r="AB19" s="177" cm="1">
        <f t="array" ref="AB19">INDEX(QRT!$1:$1048576,MATCH(Model!$B19,QRT!$A:$A,0),MATCH(Model!AB$3,QRT!$4:$4,0))+INDEX(QRT!$1:$1048576,MATCH(Model!$B19,QRT!$A:$A,0),MATCH(Model!AB$3,QRT!$4:$4,0)+1)+INDEX(QRT!$1:$1048576,MATCH(Model!$B19,QRT!$A:$A,0),MATCH(Model!AB$3,QRT!$4:$4,0)+2)+INDEX(QRT!$1:$1048576,MATCH(Model!$B19,QRT!$A:$A,0),MATCH(Model!AB$3,QRT!$4:$4,0)+3)</f>
        <v>0.54200000000000026</v>
      </c>
      <c r="AC19" s="177" cm="1">
        <f t="array" ref="AC19">INDEX(QRT!$1:$1048576,MATCH(Model!$B19,QRT!$A:$A,0),MATCH(Model!AC$3,QRT!$4:$4,0))+INDEX(QRT!$1:$1048576,MATCH(Model!$B19,QRT!$A:$A,0),MATCH(Model!AC$3,QRT!$4:$4,0)+1)+INDEX(QRT!$1:$1048576,MATCH(Model!$B19,QRT!$A:$A,0),MATCH(Model!AC$3,QRT!$4:$4,0)+2)+INDEX(QRT!$1:$1048576,MATCH(Model!$B19,QRT!$A:$A,0),MATCH(Model!AC$3,QRT!$4:$4,0)+3)</f>
        <v>3.5950000000000015</v>
      </c>
      <c r="AD19" s="58" cm="1">
        <f t="array" ref="AD19">INDEX(QRT!$1:$1048576,MATCH(Model!$B19,QRT!$A:$A,0),MATCH(Model!AD$3,QRT!$4:$4,0))+INDEX(QRT!$1:$1048576,MATCH(Model!$B19,QRT!$A:$A,0),MATCH(Model!AD$3,QRT!$4:$4,0)+1)+INDEX(QRT!$1:$1048576,MATCH(Model!$B19,QRT!$A:$A,0),MATCH(Model!AD$3,QRT!$4:$4,0)+2)+INDEX(QRT!$1:$1048576,MATCH(Model!$B19,QRT!$A:$A,0),MATCH(Model!AD$3,QRT!$4:$4,0)+3)</f>
        <v>2.0369999999999999</v>
      </c>
      <c r="AE19" s="58" cm="1">
        <f t="array" aca="1" ref="AE19" ca="1">INDEX(QRT!$1:$1048576,MATCH(Model!$B19,QRT!$A:$A,0),MATCH(Model!AE$3,QRT!$4:$4,0))+INDEX(QRT!$1:$1048576,MATCH(Model!$B19,QRT!$A:$A,0),MATCH(Model!AE$3,QRT!$4:$4,0)+1)+INDEX(QRT!$1:$1048576,MATCH(Model!$B19,QRT!$A:$A,0),MATCH(Model!AE$3,QRT!$4:$4,0)+2)+INDEX(QRT!$1:$1048576,MATCH(Model!$B19,QRT!$A:$A,0),MATCH(Model!AE$3,QRT!$4:$4,0)+3)</f>
        <v>0</v>
      </c>
      <c r="AF19" s="58" cm="1">
        <f t="array" aca="1" ref="AF19" ca="1">INDEX(QRT!$1:$1048576,MATCH(Model!$B19,QRT!$A:$A,0),MATCH(Model!AF$3,QRT!$4:$4,0))+INDEX(QRT!$1:$1048576,MATCH(Model!$B19,QRT!$A:$A,0),MATCH(Model!AF$3,QRT!$4:$4,0)+1)+INDEX(QRT!$1:$1048576,MATCH(Model!$B19,QRT!$A:$A,0),MATCH(Model!AF$3,QRT!$4:$4,0)+2)+INDEX(QRT!$1:$1048576,MATCH(Model!$B19,QRT!$A:$A,0),MATCH(Model!AF$3,QRT!$4:$4,0)+3)</f>
        <v>0</v>
      </c>
      <c r="AG19" s="63">
        <f ca="1">-AG118</f>
        <v>-14.966525060039439</v>
      </c>
      <c r="AH19" s="63">
        <f t="shared" ref="AH19:AN19" ca="1" si="13">-AH118</f>
        <v>-12.178648507998377</v>
      </c>
      <c r="AI19" s="63">
        <f t="shared" ca="1" si="13"/>
        <v>-1.1351371372472325</v>
      </c>
      <c r="AJ19" s="63">
        <f t="shared" ca="1" si="13"/>
        <v>22.506386288405032</v>
      </c>
      <c r="AK19" s="63">
        <f t="shared" ca="1" si="13"/>
        <v>62.985446071954506</v>
      </c>
      <c r="AL19" s="63">
        <f t="shared" ca="1" si="13"/>
        <v>114.7465138965692</v>
      </c>
      <c r="AM19" s="63">
        <f t="shared" ca="1" si="13"/>
        <v>176.18546912062411</v>
      </c>
      <c r="AN19" s="63">
        <f t="shared" ca="1" si="13"/>
        <v>236.20960565698331</v>
      </c>
      <c r="AO19" s="7"/>
    </row>
    <row r="20" spans="1:41" outlineLevel="1">
      <c r="B20" s="96" t="s">
        <v>111</v>
      </c>
      <c r="E20" s="178" t="s">
        <v>111</v>
      </c>
      <c r="F20" s="52"/>
      <c r="G20" s="52"/>
      <c r="H20" s="177"/>
      <c r="I20" s="177"/>
      <c r="J20" s="177"/>
      <c r="K20" s="177"/>
      <c r="L20" s="177"/>
      <c r="M20" s="177"/>
      <c r="N20" s="177"/>
      <c r="O20" s="177"/>
      <c r="P20" s="177"/>
      <c r="Q20" s="177"/>
      <c r="R20" s="177"/>
      <c r="S20" s="177"/>
      <c r="T20" s="177"/>
      <c r="U20" s="177"/>
      <c r="V20" s="177"/>
      <c r="W20" s="177"/>
      <c r="X20" s="177">
        <v>-0.53</v>
      </c>
      <c r="Y20" s="177" cm="1">
        <f t="array" ref="Y20">INDEX(QRT!$1:$1048576,MATCH(Model!$B20,QRT!$A:$A,0),MATCH(Model!Y$3,QRT!$4:$4,0))+INDEX(QRT!$1:$1048576,MATCH(Model!$B20,QRT!$A:$A,0),MATCH(Model!Y$3,QRT!$4:$4,0)+1)+INDEX(QRT!$1:$1048576,MATCH(Model!$B20,QRT!$A:$A,0),MATCH(Model!Y$3,QRT!$4:$4,0)+2)+INDEX(QRT!$1:$1048576,MATCH(Model!$B20,QRT!$A:$A,0),MATCH(Model!Y$3,QRT!$4:$4,0)+3)</f>
        <v>-0.13500000000000001</v>
      </c>
      <c r="Z20" s="177" cm="1">
        <f t="array" ref="Z20">INDEX(QRT!$1:$1048576,MATCH(Model!$B20,QRT!$A:$A,0),MATCH(Model!Z$3,QRT!$4:$4,0))+INDEX(QRT!$1:$1048576,MATCH(Model!$B20,QRT!$A:$A,0),MATCH(Model!Z$3,QRT!$4:$4,0)+1)+INDEX(QRT!$1:$1048576,MATCH(Model!$B20,QRT!$A:$A,0),MATCH(Model!Z$3,QRT!$4:$4,0)+2)+INDEX(QRT!$1:$1048576,MATCH(Model!$B20,QRT!$A:$A,0),MATCH(Model!Z$3,QRT!$4:$4,0)+3)</f>
        <v>0.38500000000000001</v>
      </c>
      <c r="AA20" s="177" cm="1">
        <f t="array" ref="AA20">INDEX(QRT!$1:$1048576,MATCH(Model!$B20,QRT!$A:$A,0),MATCH(Model!AA$3,QRT!$4:$4,0))+INDEX(QRT!$1:$1048576,MATCH(Model!$B20,QRT!$A:$A,0),MATCH(Model!AA$3,QRT!$4:$4,0)+1)+INDEX(QRT!$1:$1048576,MATCH(Model!$B20,QRT!$A:$A,0),MATCH(Model!AA$3,QRT!$4:$4,0)+2)+INDEX(QRT!$1:$1048576,MATCH(Model!$B20,QRT!$A:$A,0),MATCH(Model!AA$3,QRT!$4:$4,0)+3)</f>
        <v>0.37</v>
      </c>
      <c r="AB20" s="177" cm="1">
        <f t="array" ref="AB20">INDEX(QRT!$1:$1048576,MATCH(Model!$B20,QRT!$A:$A,0),MATCH(Model!AB$3,QRT!$4:$4,0))+INDEX(QRT!$1:$1048576,MATCH(Model!$B20,QRT!$A:$A,0),MATCH(Model!AB$3,QRT!$4:$4,0)+1)+INDEX(QRT!$1:$1048576,MATCH(Model!$B20,QRT!$A:$A,0),MATCH(Model!AB$3,QRT!$4:$4,0)+2)+INDEX(QRT!$1:$1048576,MATCH(Model!$B20,QRT!$A:$A,0),MATCH(Model!AB$3,QRT!$4:$4,0)+3)</f>
        <v>-6.1449999999999996</v>
      </c>
      <c r="AC20" s="177" cm="1">
        <f t="array" ref="AC20">INDEX(QRT!$1:$1048576,MATCH(Model!$B20,QRT!$A:$A,0),MATCH(Model!AC$3,QRT!$4:$4,0))+INDEX(QRT!$1:$1048576,MATCH(Model!$B20,QRT!$A:$A,0),MATCH(Model!AC$3,QRT!$4:$4,0)+1)+INDEX(QRT!$1:$1048576,MATCH(Model!$B20,QRT!$A:$A,0),MATCH(Model!AC$3,QRT!$4:$4,0)+2)+INDEX(QRT!$1:$1048576,MATCH(Model!$B20,QRT!$A:$A,0),MATCH(Model!AC$3,QRT!$4:$4,0)+3)</f>
        <v>8.7379999999999995</v>
      </c>
      <c r="AD20" s="58" cm="1">
        <f t="array" aca="1" ref="AD20" ca="1">INDEX(QRT!$1:$1048576,MATCH(Model!$B20,QRT!$A:$A,0),MATCH(Model!AD$3,QRT!$4:$4,0))+INDEX(QRT!$1:$1048576,MATCH(Model!$B20,QRT!$A:$A,0),MATCH(Model!AD$3,QRT!$4:$4,0)+1)+INDEX(QRT!$1:$1048576,MATCH(Model!$B20,QRT!$A:$A,0),MATCH(Model!AD$3,QRT!$4:$4,0)+2)+INDEX(QRT!$1:$1048576,MATCH(Model!$B20,QRT!$A:$A,0),MATCH(Model!AD$3,QRT!$4:$4,0)+3)</f>
        <v>-17.710577747928077</v>
      </c>
      <c r="AE20" s="58" cm="1">
        <f t="array" aca="1" ref="AE20" ca="1">INDEX(QRT!$1:$1048576,MATCH(Model!$B20,QRT!$A:$A,0),MATCH(Model!AE$3,QRT!$4:$4,0))+INDEX(QRT!$1:$1048576,MATCH(Model!$B20,QRT!$A:$A,0),MATCH(Model!AE$3,QRT!$4:$4,0)+1)+INDEX(QRT!$1:$1048576,MATCH(Model!$B20,QRT!$A:$A,0),MATCH(Model!AE$3,QRT!$4:$4,0)+2)+INDEX(QRT!$1:$1048576,MATCH(Model!$B20,QRT!$A:$A,0),MATCH(Model!AE$3,QRT!$4:$4,0)+3)</f>
        <v>-38.846499057453187</v>
      </c>
      <c r="AF20" s="58" cm="1">
        <f t="array" aca="1" ref="AF20" ca="1">INDEX(QRT!$1:$1048576,MATCH(Model!$B20,QRT!$A:$A,0),MATCH(Model!AF$3,QRT!$4:$4,0))+INDEX(QRT!$1:$1048576,MATCH(Model!$B20,QRT!$A:$A,0),MATCH(Model!AF$3,QRT!$4:$4,0)+1)+INDEX(QRT!$1:$1048576,MATCH(Model!$B20,QRT!$A:$A,0),MATCH(Model!AF$3,QRT!$4:$4,0)+2)+INDEX(QRT!$1:$1048576,MATCH(Model!$B20,QRT!$A:$A,0),MATCH(Model!AF$3,QRT!$4:$4,0)+3)</f>
        <v>-45.954847926302918</v>
      </c>
      <c r="AG20" s="63">
        <f t="shared" ref="AG20:AN20" ca="1" si="14">-AG119</f>
        <v>-30.455449128655477</v>
      </c>
      <c r="AH20" s="63">
        <f t="shared" ca="1" si="14"/>
        <v>-15.904344691991712</v>
      </c>
      <c r="AI20" s="63">
        <f t="shared" ca="1" si="14"/>
        <v>-0.97543835910648713</v>
      </c>
      <c r="AJ20" s="63">
        <f t="shared" ca="1" si="14"/>
        <v>12.550308729114988</v>
      </c>
      <c r="AK20" s="63">
        <f t="shared" ca="1" si="14"/>
        <v>21.426626418420483</v>
      </c>
      <c r="AL20" s="63">
        <f t="shared" ca="1" si="14"/>
        <v>20.196519916566515</v>
      </c>
      <c r="AM20" s="63">
        <f t="shared" ca="1" si="14"/>
        <v>8.398639674919993</v>
      </c>
      <c r="AN20" s="63">
        <f t="shared" ca="1" si="14"/>
        <v>0</v>
      </c>
      <c r="AO20" s="7"/>
    </row>
    <row r="21" spans="1:41" outlineLevel="1">
      <c r="E21" s="2" t="s">
        <v>113</v>
      </c>
      <c r="F21" s="157"/>
      <c r="G21" s="157"/>
      <c r="H21" s="139"/>
      <c r="I21" s="139"/>
      <c r="J21" s="139"/>
      <c r="K21" s="139"/>
      <c r="L21" s="139"/>
      <c r="M21" s="139"/>
      <c r="N21" s="139"/>
      <c r="O21" s="139"/>
      <c r="P21" s="139"/>
      <c r="Q21" s="139"/>
      <c r="R21" s="139"/>
      <c r="S21" s="139"/>
      <c r="T21" s="139"/>
      <c r="U21" s="139"/>
      <c r="V21" s="139"/>
      <c r="W21" s="139"/>
      <c r="X21" s="139">
        <f t="shared" ref="X21:AN21" si="15">X18-SUM(X19:X20)</f>
        <v>-17.333999999999993</v>
      </c>
      <c r="Y21" s="139">
        <f t="shared" si="15"/>
        <v>-10.747999999999989</v>
      </c>
      <c r="Z21" s="139">
        <f t="shared" si="15"/>
        <v>-87.16400000000003</v>
      </c>
      <c r="AA21" s="139">
        <f t="shared" si="15"/>
        <v>-105.82800000000002</v>
      </c>
      <c r="AB21" s="139">
        <f t="shared" si="15"/>
        <v>-119.36999999999999</v>
      </c>
      <c r="AC21" s="139">
        <f>AC18-SUM(AC19:AC20)</f>
        <v>-260.30900000000008</v>
      </c>
      <c r="AD21" s="139">
        <f t="shared" ca="1" si="15"/>
        <v>-210.55895464590347</v>
      </c>
      <c r="AE21" s="139">
        <f t="shared" ca="1" si="15"/>
        <v>-220.14519238704491</v>
      </c>
      <c r="AF21" s="139">
        <f t="shared" ca="1" si="15"/>
        <v>-201.22043051435321</v>
      </c>
      <c r="AG21" s="139">
        <f t="shared" ca="1" si="15"/>
        <v>-143.83625159753385</v>
      </c>
      <c r="AH21" s="139">
        <f t="shared" ca="1" si="15"/>
        <v>-88.929478466635345</v>
      </c>
      <c r="AI21" s="139">
        <f t="shared" ca="1" si="15"/>
        <v>-6.6834890717866084</v>
      </c>
      <c r="AJ21" s="139">
        <f t="shared" ca="1" si="15"/>
        <v>111.01286755548009</v>
      </c>
      <c r="AK21" s="139">
        <f t="shared" ca="1" si="15"/>
        <v>267.30489621952097</v>
      </c>
      <c r="AL21" s="139">
        <f t="shared" ca="1" si="15"/>
        <v>427.31960707492988</v>
      </c>
      <c r="AM21" s="139">
        <f t="shared" ca="1" si="15"/>
        <v>584.51634451922291</v>
      </c>
      <c r="AN21" s="139">
        <f t="shared" ca="1" si="15"/>
        <v>747.99708458044699</v>
      </c>
      <c r="AO21" s="7"/>
    </row>
    <row r="22" spans="1:41" s="73" customFormat="1" outlineLevel="1">
      <c r="A22" s="96"/>
      <c r="E22" s="73" t="s">
        <v>578</v>
      </c>
      <c r="G22" s="167"/>
      <c r="H22" s="167"/>
      <c r="I22" s="167"/>
      <c r="J22" s="167"/>
      <c r="K22" s="167"/>
      <c r="L22" s="167"/>
      <c r="M22" s="167"/>
      <c r="N22" s="167"/>
      <c r="O22" s="167"/>
      <c r="P22" s="167"/>
      <c r="Q22" s="167"/>
      <c r="R22" s="167"/>
      <c r="S22" s="167"/>
      <c r="T22" s="167"/>
      <c r="U22" s="167"/>
      <c r="V22" s="167"/>
      <c r="W22" s="167"/>
      <c r="X22" s="167"/>
      <c r="Y22" s="167">
        <f t="shared" ref="Y22:AN22" si="16">IFERROR(Y7/X7-1,"na")</f>
        <v>0.59114764538689268</v>
      </c>
      <c r="Z22" s="167">
        <f t="shared" si="16"/>
        <v>0.42811399770225655</v>
      </c>
      <c r="AA22" s="167">
        <f t="shared" si="16"/>
        <v>0.48967686351038586</v>
      </c>
      <c r="AB22" s="167">
        <f t="shared" si="16"/>
        <v>0.50183261213426134</v>
      </c>
      <c r="AC22" s="167">
        <f t="shared" si="16"/>
        <v>0.52282170190159594</v>
      </c>
      <c r="AD22" s="167">
        <f t="shared" si="16"/>
        <v>0.48228943822629655</v>
      </c>
      <c r="AE22" s="167">
        <f t="shared" si="16"/>
        <v>0.3439014761286554</v>
      </c>
      <c r="AF22" s="167">
        <f t="shared" si="16"/>
        <v>0.31239012122891463</v>
      </c>
      <c r="AG22" s="167">
        <f t="shared" si="16"/>
        <v>0.27996483130505045</v>
      </c>
      <c r="AH22" s="167">
        <f t="shared" si="16"/>
        <v>0.24788268691899118</v>
      </c>
      <c r="AI22" s="167">
        <f t="shared" si="16"/>
        <v>0.2170369858137382</v>
      </c>
      <c r="AJ22" s="167">
        <f t="shared" si="16"/>
        <v>0.18996588044125517</v>
      </c>
      <c r="AK22" s="167">
        <f t="shared" si="16"/>
        <v>0.16749674663094316</v>
      </c>
      <c r="AL22" s="167">
        <f t="shared" si="16"/>
        <v>0.14497229305878867</v>
      </c>
      <c r="AM22" s="167">
        <f t="shared" si="16"/>
        <v>0.12576150339503123</v>
      </c>
      <c r="AN22" s="167">
        <f t="shared" si="16"/>
        <v>0.10707081136123153</v>
      </c>
    </row>
    <row r="23" spans="1:41" outlineLevel="1">
      <c r="E23" s="142"/>
      <c r="F23" s="52"/>
      <c r="G23" s="52"/>
      <c r="H23" s="152"/>
      <c r="I23" s="152"/>
      <c r="J23" s="152"/>
      <c r="K23" s="152"/>
      <c r="L23" s="152"/>
      <c r="M23" s="151"/>
      <c r="N23" s="151"/>
      <c r="O23" s="151"/>
      <c r="P23" s="151"/>
      <c r="Q23" s="151"/>
      <c r="R23" s="68"/>
      <c r="S23" s="68"/>
      <c r="T23" s="68"/>
      <c r="U23" s="68"/>
      <c r="V23" s="68"/>
      <c r="W23" s="68"/>
      <c r="X23" s="68"/>
      <c r="Y23" s="68"/>
      <c r="Z23" s="68"/>
      <c r="AA23" s="65"/>
      <c r="AB23" s="68"/>
      <c r="AC23" s="151"/>
      <c r="AD23" s="151"/>
      <c r="AE23" s="323"/>
      <c r="AF23" s="323"/>
      <c r="AG23" s="151"/>
      <c r="AH23" s="151"/>
      <c r="AI23" s="151"/>
      <c r="AJ23" s="151"/>
      <c r="AK23" s="151"/>
      <c r="AL23" s="151"/>
      <c r="AM23" s="151"/>
      <c r="AN23" s="151"/>
      <c r="AO23" s="7"/>
    </row>
    <row r="24" spans="1:41" s="73" customFormat="1" outlineLevel="1">
      <c r="A24" s="96"/>
      <c r="E24" s="73" t="s">
        <v>148</v>
      </c>
      <c r="G24" s="167"/>
      <c r="H24" s="167"/>
      <c r="I24" s="167"/>
      <c r="J24" s="167"/>
      <c r="K24" s="167"/>
      <c r="L24" s="167"/>
      <c r="M24" s="167"/>
      <c r="N24" s="167"/>
      <c r="O24" s="167"/>
      <c r="P24" s="167"/>
      <c r="Q24" s="167"/>
      <c r="R24" s="167"/>
      <c r="S24" s="167"/>
      <c r="T24" s="167"/>
      <c r="U24" s="167"/>
      <c r="V24" s="167"/>
      <c r="W24" s="167"/>
      <c r="X24" s="167">
        <f t="shared" ref="X24:AF24" si="17">IFERROR(X9/X7,"na")</f>
        <v>0.78775760911868731</v>
      </c>
      <c r="Y24" s="167">
        <f t="shared" si="17"/>
        <v>0.85191586812308551</v>
      </c>
      <c r="Z24" s="167">
        <f t="shared" si="17"/>
        <v>0.84474916179660975</v>
      </c>
      <c r="AA24" s="167">
        <f t="shared" si="17"/>
        <v>0.85411257673627805</v>
      </c>
      <c r="AB24" s="167">
        <f t="shared" si="17"/>
        <v>0.85276934247979974</v>
      </c>
      <c r="AC24" s="167">
        <f t="shared" si="17"/>
        <v>0.85292576771791484</v>
      </c>
      <c r="AD24" s="167">
        <f t="shared" si="17"/>
        <v>0.8472462285514456</v>
      </c>
      <c r="AE24" s="167">
        <f t="shared" si="17"/>
        <v>0.84551040936780508</v>
      </c>
      <c r="AF24" s="167">
        <f t="shared" si="17"/>
        <v>0.84351312575623305</v>
      </c>
      <c r="AG24" s="166">
        <f>AF24-0.0016</f>
        <v>0.84191312575623301</v>
      </c>
      <c r="AH24" s="166">
        <f t="shared" ref="AH24:AN24" si="18">AG24-0.0016</f>
        <v>0.84031312575623296</v>
      </c>
      <c r="AI24" s="166">
        <f t="shared" si="18"/>
        <v>0.83871312575623291</v>
      </c>
      <c r="AJ24" s="166">
        <f t="shared" si="18"/>
        <v>0.83711312575623287</v>
      </c>
      <c r="AK24" s="166">
        <f t="shared" si="18"/>
        <v>0.83551312575623282</v>
      </c>
      <c r="AL24" s="166">
        <f t="shared" si="18"/>
        <v>0.83391312575623278</v>
      </c>
      <c r="AM24" s="166">
        <f t="shared" si="18"/>
        <v>0.83231312575623273</v>
      </c>
      <c r="AN24" s="166">
        <f t="shared" si="18"/>
        <v>0.83071312575623268</v>
      </c>
    </row>
    <row r="25" spans="1:41" s="73" customFormat="1" outlineLevel="1">
      <c r="A25" s="96"/>
      <c r="E25" s="69" t="s">
        <v>621</v>
      </c>
      <c r="G25" s="167"/>
      <c r="H25" s="167"/>
      <c r="I25" s="167"/>
      <c r="J25" s="167"/>
      <c r="K25" s="167"/>
      <c r="L25" s="167"/>
      <c r="M25" s="167"/>
      <c r="N25" s="167"/>
      <c r="O25" s="167"/>
      <c r="P25" s="167"/>
      <c r="Q25" s="167"/>
      <c r="R25" s="167"/>
      <c r="S25" s="167"/>
      <c r="T25" s="167"/>
      <c r="U25" s="167"/>
      <c r="V25" s="167"/>
      <c r="W25" s="167"/>
      <c r="X25" s="167">
        <f>X8/X7</f>
        <v>0.21224239088131275</v>
      </c>
      <c r="Y25" s="167">
        <f t="shared" ref="Y25:AN25" si="19">Y8/Y7</f>
        <v>0.14808413187691444</v>
      </c>
      <c r="Z25" s="167">
        <f t="shared" si="19"/>
        <v>0.1552508382033902</v>
      </c>
      <c r="AA25" s="167">
        <f t="shared" si="19"/>
        <v>0.14588742326372195</v>
      </c>
      <c r="AB25" s="167">
        <f t="shared" si="19"/>
        <v>0.14723065752020026</v>
      </c>
      <c r="AC25" s="167">
        <f t="shared" si="19"/>
        <v>0.14707423228208508</v>
      </c>
      <c r="AD25" s="167">
        <f t="shared" si="19"/>
        <v>0.1527537714485544</v>
      </c>
      <c r="AE25" s="167">
        <f t="shared" si="19"/>
        <v>0.15448959063219489</v>
      </c>
      <c r="AF25" s="167">
        <f t="shared" si="19"/>
        <v>0.15648687424376698</v>
      </c>
      <c r="AG25" s="167">
        <f t="shared" si="19"/>
        <v>0.15808687424376699</v>
      </c>
      <c r="AH25" s="167">
        <f t="shared" si="19"/>
        <v>0.1596868742437671</v>
      </c>
      <c r="AI25" s="167">
        <f t="shared" si="19"/>
        <v>0.16128687424376714</v>
      </c>
      <c r="AJ25" s="167">
        <f t="shared" si="19"/>
        <v>0.16288687424376716</v>
      </c>
      <c r="AK25" s="167">
        <f t="shared" si="19"/>
        <v>0.16448687424376721</v>
      </c>
      <c r="AL25" s="167">
        <f t="shared" si="19"/>
        <v>0.16608687424376728</v>
      </c>
      <c r="AM25" s="167">
        <f t="shared" si="19"/>
        <v>0.16768687424376724</v>
      </c>
      <c r="AN25" s="167">
        <f t="shared" si="19"/>
        <v>0.16928687424376729</v>
      </c>
    </row>
    <row r="26" spans="1:41" s="276" customFormat="1" outlineLevel="1">
      <c r="A26" s="312"/>
      <c r="E26" s="276" t="s">
        <v>220</v>
      </c>
      <c r="G26" s="313"/>
      <c r="H26" s="313"/>
      <c r="I26" s="313"/>
      <c r="J26" s="313"/>
      <c r="K26" s="313"/>
      <c r="L26" s="313"/>
      <c r="M26" s="313"/>
      <c r="N26" s="313"/>
      <c r="O26" s="313"/>
      <c r="P26" s="313"/>
      <c r="Q26" s="313"/>
      <c r="R26" s="313"/>
      <c r="S26" s="313"/>
      <c r="T26" s="313"/>
      <c r="U26" s="313"/>
      <c r="V26" s="313"/>
      <c r="W26" s="313"/>
      <c r="X26" s="313">
        <f t="shared" ref="X26:AN26" si="20">IFERROR(X14/X$7,"na")</f>
        <v>-0.20083499428005328</v>
      </c>
      <c r="Y26" s="313">
        <f t="shared" si="20"/>
        <v>-7.2119482637215931E-2</v>
      </c>
      <c r="Z26" s="313">
        <f t="shared" si="20"/>
        <v>-0.31970582434578643</v>
      </c>
      <c r="AA26" s="313">
        <f t="shared" si="20"/>
        <v>-0.37608963772811843</v>
      </c>
      <c r="AB26" s="313">
        <f t="shared" si="20"/>
        <v>-0.23312122006500263</v>
      </c>
      <c r="AC26" s="313">
        <f t="shared" si="20"/>
        <v>-0.19451392845499732</v>
      </c>
      <c r="AD26" s="313">
        <f t="shared" si="20"/>
        <v>-0.20737029435964197</v>
      </c>
      <c r="AE26" s="313">
        <f t="shared" si="20"/>
        <v>-0.15239834513361983</v>
      </c>
      <c r="AF26" s="313">
        <f t="shared" si="20"/>
        <v>-0.10701091537236823</v>
      </c>
      <c r="AG26" s="313">
        <f t="shared" si="20"/>
        <v>-5.1893231883341419E-2</v>
      </c>
      <c r="AH26" s="313">
        <f t="shared" si="20"/>
        <v>-1.289937256176547E-2</v>
      </c>
      <c r="AI26" s="313">
        <f t="shared" si="20"/>
        <v>2.2367918296813432E-2</v>
      </c>
      <c r="AJ26" s="313">
        <f t="shared" si="20"/>
        <v>5.864490015075751E-2</v>
      </c>
      <c r="AK26" s="313">
        <f t="shared" si="20"/>
        <v>9.482204587424567E-2</v>
      </c>
      <c r="AL26" s="313">
        <f t="shared" si="20"/>
        <v>0.12291353704537798</v>
      </c>
      <c r="AM26" s="313">
        <f t="shared" si="20"/>
        <v>0.14373538408543154</v>
      </c>
      <c r="AN26" s="313">
        <f t="shared" si="20"/>
        <v>0.16247335010164238</v>
      </c>
    </row>
    <row r="27" spans="1:41" s="73" customFormat="1" outlineLevel="1">
      <c r="A27" s="96"/>
      <c r="E27" s="73" t="s">
        <v>469</v>
      </c>
      <c r="G27" s="187"/>
      <c r="H27" s="187"/>
      <c r="I27" s="187"/>
      <c r="J27" s="187"/>
      <c r="K27" s="187"/>
      <c r="L27" s="187"/>
      <c r="M27" s="187"/>
      <c r="N27" s="187"/>
      <c r="O27" s="187"/>
      <c r="P27" s="187"/>
      <c r="Q27" s="187"/>
      <c r="R27" s="187"/>
      <c r="S27" s="187"/>
      <c r="T27" s="187"/>
      <c r="U27" s="187"/>
      <c r="V27" s="187"/>
      <c r="W27" s="187"/>
      <c r="X27" s="187">
        <f t="shared" ref="X27:AC27" si="21">(X14+X13+X139)/X7</f>
        <v>-8.3405078369166497E-2</v>
      </c>
      <c r="Y27" s="187">
        <f t="shared" si="21"/>
        <v>1.8115109513397367E-2</v>
      </c>
      <c r="Z27" s="187">
        <f t="shared" si="21"/>
        <v>-0.18494451768271819</v>
      </c>
      <c r="AA27" s="187">
        <f t="shared" si="21"/>
        <v>-0.2356822821943963</v>
      </c>
      <c r="AB27" s="187">
        <f t="shared" si="21"/>
        <v>-3.2508310927274367E-2</v>
      </c>
      <c r="AC27" s="187">
        <f t="shared" si="21"/>
        <v>-1.0235731064887871E-2</v>
      </c>
      <c r="AD27" s="187">
        <f t="shared" ref="AD27:AN27" si="22">(AD14+AD13+AD139)/AD7</f>
        <v>-1.7586986875497489E-2</v>
      </c>
      <c r="AE27" s="187">
        <f t="shared" si="22"/>
        <v>2.766197656487325E-2</v>
      </c>
      <c r="AF27" s="187">
        <f t="shared" si="22"/>
        <v>5.6765051801621016E-2</v>
      </c>
      <c r="AG27" s="187">
        <f t="shared" si="22"/>
        <v>8.495628684819756E-2</v>
      </c>
      <c r="AH27" s="187">
        <f t="shared" si="22"/>
        <v>0.11942468656044955</v>
      </c>
      <c r="AI27" s="187">
        <f t="shared" si="22"/>
        <v>0.15000160260681034</v>
      </c>
      <c r="AJ27" s="187">
        <f t="shared" si="22"/>
        <v>0.18467724046081449</v>
      </c>
      <c r="AK27" s="187">
        <f t="shared" si="22"/>
        <v>0.21664493416743788</v>
      </c>
      <c r="AL27" s="187">
        <f t="shared" si="22"/>
        <v>0.24292267051543612</v>
      </c>
      <c r="AM27" s="187">
        <f t="shared" si="22"/>
        <v>0.26010201246709358</v>
      </c>
      <c r="AN27" s="187">
        <f t="shared" si="22"/>
        <v>0.27712298374109123</v>
      </c>
    </row>
    <row r="28" spans="1:41" s="73" customFormat="1" outlineLevel="1">
      <c r="A28" s="96"/>
      <c r="D28" s="69"/>
      <c r="E28" s="69" t="s">
        <v>571</v>
      </c>
      <c r="G28" s="187"/>
      <c r="H28" s="187"/>
      <c r="I28" s="187"/>
      <c r="J28" s="187"/>
      <c r="K28" s="187"/>
      <c r="L28" s="187"/>
      <c r="M28" s="187"/>
      <c r="N28" s="187"/>
      <c r="O28" s="187"/>
      <c r="P28" s="187"/>
      <c r="Q28" s="187"/>
      <c r="R28" s="187"/>
      <c r="S28" s="187"/>
      <c r="T28" s="187"/>
      <c r="U28" s="187"/>
      <c r="V28" s="187"/>
      <c r="W28" s="187"/>
      <c r="X28" s="187">
        <f t="shared" ref="X28:AF28" si="23">IFERROR(X10/X$7,"na")</f>
        <v>0.45026806321220519</v>
      </c>
      <c r="Y28" s="187">
        <f t="shared" si="23"/>
        <v>0.45523713803699267</v>
      </c>
      <c r="Z28" s="187">
        <f t="shared" si="23"/>
        <v>0.44935798291414519</v>
      </c>
      <c r="AA28" s="187">
        <f t="shared" si="23"/>
        <v>0.51335542223244202</v>
      </c>
      <c r="AB28" s="187">
        <f t="shared" si="23"/>
        <v>0.46134218285663908</v>
      </c>
      <c r="AC28" s="187">
        <f t="shared" si="23"/>
        <v>0.45170354312595784</v>
      </c>
      <c r="AD28" s="187">
        <f t="shared" si="23"/>
        <v>0.43043393083363651</v>
      </c>
      <c r="AE28" s="187">
        <f t="shared" si="23"/>
        <v>0.41422614801563956</v>
      </c>
      <c r="AF28" s="187">
        <f t="shared" si="23"/>
        <v>0.40094952073723988</v>
      </c>
      <c r="AG28" s="166">
        <f>AF28-0.016</f>
        <v>0.38494952073723987</v>
      </c>
      <c r="AH28" s="166">
        <f>AG28-0.018</f>
        <v>0.36694952073723985</v>
      </c>
      <c r="AI28" s="166">
        <f>AH28-0.02</f>
        <v>0.34694952073723984</v>
      </c>
      <c r="AJ28" s="166">
        <f>AI28-0.02</f>
        <v>0.32694952073723982</v>
      </c>
      <c r="AK28" s="166">
        <f>AJ28-0.02</f>
        <v>0.3069495207372398</v>
      </c>
      <c r="AL28" s="166">
        <f>AK28-0.015</f>
        <v>0.29194952073723979</v>
      </c>
      <c r="AM28" s="166">
        <f>AL28-0.01</f>
        <v>0.28194952073723978</v>
      </c>
      <c r="AN28" s="166">
        <f>AM28-0.01</f>
        <v>0.27194952073723977</v>
      </c>
    </row>
    <row r="29" spans="1:41" s="73" customFormat="1" outlineLevel="1">
      <c r="A29" s="96"/>
      <c r="D29" s="69"/>
      <c r="E29" s="69" t="s">
        <v>572</v>
      </c>
      <c r="G29" s="187"/>
      <c r="H29" s="187"/>
      <c r="I29" s="187"/>
      <c r="J29" s="187"/>
      <c r="K29" s="187"/>
      <c r="L29" s="187"/>
      <c r="M29" s="187"/>
      <c r="N29" s="187"/>
      <c r="O29" s="187"/>
      <c r="P29" s="187"/>
      <c r="Q29" s="187"/>
      <c r="R29" s="187"/>
      <c r="S29" s="187"/>
      <c r="T29" s="187"/>
      <c r="U29" s="187"/>
      <c r="V29" s="187"/>
      <c r="W29" s="187"/>
      <c r="X29" s="187">
        <f t="shared" ref="X29:AF29" si="24">IFERROR(X11/X$7,"na")</f>
        <v>0.27504899515073639</v>
      </c>
      <c r="Y29" s="187">
        <f t="shared" si="24"/>
        <v>0.2458534520124587</v>
      </c>
      <c r="Z29" s="187">
        <f t="shared" si="24"/>
        <v>0.27875374985727192</v>
      </c>
      <c r="AA29" s="187">
        <f t="shared" si="24"/>
        <v>0.31194925824501257</v>
      </c>
      <c r="AB29" s="187">
        <f t="shared" si="24"/>
        <v>0.27776638464804121</v>
      </c>
      <c r="AC29" s="187">
        <f t="shared" si="24"/>
        <v>0.2850587118730824</v>
      </c>
      <c r="AD29" s="187">
        <f t="shared" si="24"/>
        <v>0.30295731169800966</v>
      </c>
      <c r="AE29" s="187">
        <f t="shared" si="24"/>
        <v>0.28204358002606578</v>
      </c>
      <c r="AF29" s="187">
        <f t="shared" si="24"/>
        <v>0.26724244634620553</v>
      </c>
      <c r="AG29" s="166">
        <f>AF29-0.012</f>
        <v>0.25524244634620552</v>
      </c>
      <c r="AH29" s="166">
        <f>AG29-0.012</f>
        <v>0.24324244634620551</v>
      </c>
      <c r="AI29" s="166">
        <f>AH29-0.012</f>
        <v>0.2312424463462055</v>
      </c>
      <c r="AJ29" s="166">
        <f>AI29-0.014</f>
        <v>0.21724244634620549</v>
      </c>
      <c r="AK29" s="166">
        <f>AJ29-0.014</f>
        <v>0.20324244634620547</v>
      </c>
      <c r="AL29" s="166">
        <f>AK29-0.012</f>
        <v>0.19124244634620546</v>
      </c>
      <c r="AM29" s="166">
        <f>AL29-0.01</f>
        <v>0.18124244634620545</v>
      </c>
      <c r="AN29" s="166">
        <f>AM29-0.008</f>
        <v>0.17324244634620545</v>
      </c>
    </row>
    <row r="30" spans="1:41" s="73" customFormat="1" outlineLevel="1">
      <c r="A30" s="96"/>
      <c r="D30" s="218"/>
      <c r="E30" s="218" t="s">
        <v>532</v>
      </c>
      <c r="G30" s="187"/>
      <c r="H30" s="187"/>
      <c r="I30" s="187"/>
      <c r="J30" s="187"/>
      <c r="K30" s="187"/>
      <c r="L30" s="187"/>
      <c r="M30" s="187"/>
      <c r="N30" s="187"/>
      <c r="O30" s="187"/>
      <c r="P30" s="187"/>
      <c r="Q30" s="187"/>
      <c r="R30" s="187"/>
      <c r="S30" s="187"/>
      <c r="T30" s="187"/>
      <c r="U30" s="187"/>
      <c r="V30" s="187"/>
      <c r="W30" s="187"/>
      <c r="X30" s="187">
        <f t="shared" ref="X30:AN30" si="25">(X11-X153)/X7</f>
        <v>0.30642024917533806</v>
      </c>
      <c r="Y30" s="187">
        <f t="shared" si="25"/>
        <v>0.27508667292933231</v>
      </c>
      <c r="Z30" s="187">
        <f t="shared" si="25"/>
        <v>0.32740068717107657</v>
      </c>
      <c r="AA30" s="187">
        <f t="shared" si="25"/>
        <v>0.36069116653078853</v>
      </c>
      <c r="AB30" s="187">
        <f t="shared" si="25"/>
        <v>0.32088577201728763</v>
      </c>
      <c r="AC30" s="187">
        <f t="shared" si="25"/>
        <v>0.30753192286716247</v>
      </c>
      <c r="AD30" s="187">
        <f t="shared" si="25"/>
        <v>0.32454260336710372</v>
      </c>
      <c r="AE30" s="187">
        <f t="shared" si="25"/>
        <v>0.29887350614437697</v>
      </c>
      <c r="AF30" s="187">
        <f t="shared" si="25"/>
        <v>0.27999574869570898</v>
      </c>
      <c r="AG30" s="187">
        <f t="shared" si="25"/>
        <v>0.26601589392442665</v>
      </c>
      <c r="AH30" s="187">
        <f t="shared" si="25"/>
        <v>0.25308537827984345</v>
      </c>
      <c r="AI30" s="187">
        <f t="shared" si="25"/>
        <v>0.24030160765824368</v>
      </c>
      <c r="AJ30" s="187">
        <f t="shared" si="25"/>
        <v>0.22563197440952115</v>
      </c>
      <c r="AK30" s="187">
        <f t="shared" si="25"/>
        <v>0.2110015633981604</v>
      </c>
      <c r="AL30" s="187">
        <f t="shared" si="25"/>
        <v>0.19842209495558294</v>
      </c>
      <c r="AM30" s="187">
        <f t="shared" si="25"/>
        <v>0.18784228473680423</v>
      </c>
      <c r="AN30" s="187">
        <f t="shared" si="25"/>
        <v>0.17927704915823303</v>
      </c>
    </row>
    <row r="31" spans="1:41" s="73" customFormat="1" outlineLevel="1">
      <c r="A31" s="96"/>
      <c r="D31" s="69"/>
      <c r="E31" s="69" t="s">
        <v>573</v>
      </c>
      <c r="G31" s="187"/>
      <c r="H31" s="187"/>
      <c r="I31" s="187"/>
      <c r="J31" s="187"/>
      <c r="K31" s="187"/>
      <c r="L31" s="187"/>
      <c r="M31" s="187"/>
      <c r="N31" s="187"/>
      <c r="O31" s="187"/>
      <c r="P31" s="187"/>
      <c r="Q31" s="187"/>
      <c r="R31" s="187"/>
      <c r="S31" s="187"/>
      <c r="T31" s="187"/>
      <c r="U31" s="187"/>
      <c r="V31" s="187"/>
      <c r="W31" s="187"/>
      <c r="X31" s="187">
        <f t="shared" ref="X31:AF31" si="26">IFERROR(X12/X$7,"na")</f>
        <v>0.14584562912491225</v>
      </c>
      <c r="Y31" s="187">
        <f t="shared" si="26"/>
        <v>0.13271016856023679</v>
      </c>
      <c r="Z31" s="187">
        <f t="shared" si="26"/>
        <v>0.30158194670791078</v>
      </c>
      <c r="AA31" s="187">
        <f t="shared" si="26"/>
        <v>0.26449017845321959</v>
      </c>
      <c r="AB31" s="187">
        <f t="shared" si="26"/>
        <v>0.19202127782971706</v>
      </c>
      <c r="AC31" s="187">
        <f t="shared" si="26"/>
        <v>0.16462289732582194</v>
      </c>
      <c r="AD31" s="187">
        <f t="shared" si="26"/>
        <v>0.16933235271199593</v>
      </c>
      <c r="AE31" s="187">
        <f t="shared" si="26"/>
        <v>0.15461307400781976</v>
      </c>
      <c r="AF31" s="187">
        <f t="shared" si="26"/>
        <v>0.14862122317310278</v>
      </c>
      <c r="AG31" s="166">
        <f>AF31-0.006</f>
        <v>0.14262122317310277</v>
      </c>
      <c r="AH31" s="166">
        <f>AG31-0.004</f>
        <v>0.13862122317310277</v>
      </c>
      <c r="AI31" s="166">
        <f>AH31-0.002</f>
        <v>0.13662122317310277</v>
      </c>
      <c r="AJ31" s="166">
        <f>AI31-0.001</f>
        <v>0.13562122317310277</v>
      </c>
      <c r="AK31" s="166">
        <f>AJ31-0.001</f>
        <v>0.13462122317310277</v>
      </c>
      <c r="AL31" s="166">
        <f>AK31</f>
        <v>0.13462122317310277</v>
      </c>
      <c r="AM31" s="166">
        <f>AL31</f>
        <v>0.13462122317310277</v>
      </c>
      <c r="AN31" s="166">
        <f>AM31</f>
        <v>0.13462122317310277</v>
      </c>
    </row>
    <row r="32" spans="1:41" s="73" customFormat="1" outlineLevel="1">
      <c r="A32" s="96"/>
      <c r="D32" s="69"/>
      <c r="E32" s="69" t="s">
        <v>574</v>
      </c>
      <c r="G32" s="187"/>
      <c r="H32" s="187"/>
      <c r="I32" s="187"/>
      <c r="J32" s="187"/>
      <c r="K32" s="187"/>
      <c r="L32" s="187"/>
      <c r="M32" s="187"/>
      <c r="N32" s="187"/>
      <c r="O32" s="187"/>
      <c r="P32" s="187"/>
      <c r="Q32" s="187"/>
      <c r="R32" s="187"/>
      <c r="S32" s="187"/>
      <c r="T32" s="187"/>
      <c r="U32" s="187"/>
      <c r="V32" s="187"/>
      <c r="W32" s="187"/>
      <c r="X32" s="187">
        <f t="shared" ref="X32:AF32" si="27">IFERROR(X13/X$7,"na")</f>
        <v>0.11742991591088678</v>
      </c>
      <c r="Y32" s="187">
        <f t="shared" si="27"/>
        <v>9.0234592150613302E-2</v>
      </c>
      <c r="Z32" s="187">
        <f t="shared" si="27"/>
        <v>0.13476130666306821</v>
      </c>
      <c r="AA32" s="187">
        <f t="shared" si="27"/>
        <v>0.14040735553372213</v>
      </c>
      <c r="AB32" s="187">
        <f t="shared" si="27"/>
        <v>0.1547607172104051</v>
      </c>
      <c r="AC32" s="187">
        <f t="shared" si="27"/>
        <v>0.14605454384804989</v>
      </c>
      <c r="AD32" s="187">
        <f t="shared" si="27"/>
        <v>0.15189292766744542</v>
      </c>
      <c r="AE32" s="187">
        <f t="shared" si="27"/>
        <v>0.14702595245189989</v>
      </c>
      <c r="AF32" s="187">
        <f t="shared" si="27"/>
        <v>0.13371085087205306</v>
      </c>
      <c r="AG32" s="187">
        <f t="shared" ref="AG32:AN32" si="28">IFERROR(AG13/AG$7,"na")</f>
        <v>0.11099316738302624</v>
      </c>
      <c r="AH32" s="187">
        <f t="shared" si="28"/>
        <v>0.10439930806145029</v>
      </c>
      <c r="AI32" s="187">
        <f t="shared" si="28"/>
        <v>0.10153201720287139</v>
      </c>
      <c r="AJ32" s="187">
        <f t="shared" si="28"/>
        <v>9.8655035348927264E-2</v>
      </c>
      <c r="AK32" s="187">
        <f t="shared" si="28"/>
        <v>9.5877889625439125E-2</v>
      </c>
      <c r="AL32" s="187">
        <f t="shared" si="28"/>
        <v>9.3186398454306762E-2</v>
      </c>
      <c r="AM32" s="187">
        <f t="shared" si="28"/>
        <v>9.0764551414253214E-2</v>
      </c>
      <c r="AN32" s="187">
        <f t="shared" si="28"/>
        <v>8.8426585398042351E-2</v>
      </c>
    </row>
    <row r="33" spans="1:41" s="73" customFormat="1" outlineLevel="1">
      <c r="A33" s="96"/>
      <c r="D33" s="69"/>
      <c r="E33" s="69" t="s">
        <v>564</v>
      </c>
      <c r="G33" s="187"/>
      <c r="H33" s="187"/>
      <c r="I33" s="187"/>
      <c r="J33" s="187"/>
      <c r="K33" s="187"/>
      <c r="L33" s="187"/>
      <c r="M33" s="187"/>
      <c r="N33" s="187"/>
      <c r="O33" s="187"/>
      <c r="P33" s="187"/>
      <c r="Q33" s="187"/>
      <c r="R33" s="187"/>
      <c r="S33" s="187"/>
      <c r="T33" s="187"/>
      <c r="U33" s="187"/>
      <c r="V33" s="187"/>
      <c r="W33" s="187"/>
      <c r="X33" s="187">
        <f t="shared" ref="X33:AF33" si="29">X138/SUM(X10:X12,X8)</f>
        <v>6.2048920675353517E-2</v>
      </c>
      <c r="Y33" s="187">
        <f t="shared" si="29"/>
        <v>2.0797004627427888E-2</v>
      </c>
      <c r="Z33" s="187">
        <f t="shared" si="29"/>
        <v>0.1197811728016539</v>
      </c>
      <c r="AA33" s="187">
        <f t="shared" si="29"/>
        <v>0.10327122830365298</v>
      </c>
      <c r="AB33" s="187">
        <f t="shared" si="29"/>
        <v>0.12119086905732548</v>
      </c>
      <c r="AC33" s="187">
        <f t="shared" si="29"/>
        <v>0.13096670328201371</v>
      </c>
      <c r="AD33" s="187">
        <f t="shared" si="29"/>
        <v>0.15766533194029403</v>
      </c>
      <c r="AE33" s="187">
        <f t="shared" si="29"/>
        <v>0.12346943994627613</v>
      </c>
      <c r="AF33" s="187">
        <f t="shared" si="29"/>
        <v>0.10948305390624394</v>
      </c>
      <c r="AG33" s="166">
        <f>MAX(AF33-0.008,0.01)</f>
        <v>0.10148305390624393</v>
      </c>
      <c r="AH33" s="166">
        <f t="shared" ref="AH33:AN33" si="30">MAX(AG33-0.008,0.01)</f>
        <v>9.3483053906243924E-2</v>
      </c>
      <c r="AI33" s="166">
        <f t="shared" si="30"/>
        <v>8.5483053906243917E-2</v>
      </c>
      <c r="AJ33" s="166">
        <f t="shared" si="30"/>
        <v>7.7483053906243909E-2</v>
      </c>
      <c r="AK33" s="166">
        <f t="shared" si="30"/>
        <v>6.9483053906243902E-2</v>
      </c>
      <c r="AL33" s="166">
        <f t="shared" si="30"/>
        <v>6.1483053906243902E-2</v>
      </c>
      <c r="AM33" s="166">
        <f t="shared" si="30"/>
        <v>5.3483053906243902E-2</v>
      </c>
      <c r="AN33" s="166">
        <f t="shared" si="30"/>
        <v>4.5483053906243902E-2</v>
      </c>
    </row>
    <row r="34" spans="1:41" s="73" customFormat="1" outlineLevel="1">
      <c r="A34" s="96"/>
      <c r="D34" s="69"/>
      <c r="E34" s="69" t="s">
        <v>670</v>
      </c>
      <c r="G34" s="187"/>
      <c r="H34" s="187"/>
      <c r="I34" s="187"/>
      <c r="J34" s="187"/>
      <c r="K34" s="187"/>
      <c r="L34" s="187"/>
      <c r="M34" s="187"/>
      <c r="N34" s="187"/>
      <c r="O34" s="187"/>
      <c r="P34" s="187"/>
      <c r="Q34" s="187"/>
      <c r="R34" s="187"/>
      <c r="S34" s="187"/>
      <c r="T34" s="187"/>
      <c r="U34" s="187"/>
      <c r="V34" s="187"/>
      <c r="W34" s="187"/>
      <c r="X34" s="187">
        <f>X24-X27</f>
        <v>0.87116268748785375</v>
      </c>
      <c r="Y34" s="187">
        <f t="shared" ref="Y34:AN34" si="31">Y24-Y27</f>
        <v>0.83380075860968816</v>
      </c>
      <c r="Z34" s="187">
        <f t="shared" si="31"/>
        <v>1.0296936794793279</v>
      </c>
      <c r="AA34" s="187">
        <f t="shared" si="31"/>
        <v>1.0897948589306743</v>
      </c>
      <c r="AB34" s="187">
        <f t="shared" si="31"/>
        <v>0.88527765340707409</v>
      </c>
      <c r="AC34" s="187">
        <f t="shared" si="31"/>
        <v>0.86316149878280268</v>
      </c>
      <c r="AD34" s="187">
        <f t="shared" si="31"/>
        <v>0.86483321542694314</v>
      </c>
      <c r="AE34" s="187">
        <f t="shared" si="31"/>
        <v>0.81784843280293185</v>
      </c>
      <c r="AF34" s="187">
        <f t="shared" si="31"/>
        <v>0.78674807395461199</v>
      </c>
      <c r="AG34" s="187">
        <f t="shared" si="31"/>
        <v>0.75695683890803545</v>
      </c>
      <c r="AH34" s="187">
        <f t="shared" si="31"/>
        <v>0.72088843919578338</v>
      </c>
      <c r="AI34" s="187">
        <f t="shared" si="31"/>
        <v>0.68871152314942252</v>
      </c>
      <c r="AJ34" s="187">
        <f t="shared" si="31"/>
        <v>0.65243588529541841</v>
      </c>
      <c r="AK34" s="187">
        <f t="shared" si="31"/>
        <v>0.61886819158879491</v>
      </c>
      <c r="AL34" s="187">
        <f t="shared" si="31"/>
        <v>0.59099045524079663</v>
      </c>
      <c r="AM34" s="187">
        <f t="shared" si="31"/>
        <v>0.57221111328913921</v>
      </c>
      <c r="AN34" s="187">
        <f t="shared" si="31"/>
        <v>0.55359014201514145</v>
      </c>
    </row>
    <row r="35" spans="1:41" s="73" customFormat="1" outlineLevel="1">
      <c r="A35" s="96"/>
      <c r="D35" s="69"/>
      <c r="E35" s="69"/>
      <c r="G35" s="187"/>
      <c r="H35" s="187"/>
      <c r="I35" s="187"/>
      <c r="J35" s="187"/>
      <c r="K35" s="187"/>
      <c r="L35" s="187"/>
      <c r="M35" s="187"/>
      <c r="N35" s="187"/>
      <c r="O35" s="187"/>
      <c r="P35" s="187"/>
      <c r="Q35" s="187"/>
      <c r="R35" s="187"/>
      <c r="S35" s="187"/>
      <c r="T35" s="187"/>
      <c r="U35" s="187"/>
      <c r="V35" s="187"/>
      <c r="W35" s="187"/>
      <c r="X35" s="187"/>
      <c r="Y35" s="187"/>
      <c r="Z35" s="187"/>
      <c r="AA35" s="187"/>
      <c r="AB35" s="187"/>
      <c r="AC35" s="187"/>
      <c r="AD35" s="187"/>
      <c r="AE35" s="187"/>
      <c r="AF35" s="187"/>
      <c r="AG35" s="166"/>
      <c r="AH35" s="166"/>
      <c r="AI35" s="166"/>
      <c r="AJ35" s="166"/>
      <c r="AK35" s="166"/>
      <c r="AL35" s="166"/>
      <c r="AM35" s="166"/>
      <c r="AN35" s="166"/>
    </row>
    <row r="36" spans="1:41" s="286" customFormat="1" outlineLevel="1">
      <c r="A36" s="96"/>
      <c r="D36" s="216"/>
      <c r="E36" s="216" t="s">
        <v>247</v>
      </c>
      <c r="G36" s="291"/>
      <c r="H36" s="177"/>
      <c r="I36" s="177"/>
      <c r="J36" s="177"/>
      <c r="K36" s="177"/>
      <c r="L36" s="177"/>
      <c r="M36" s="177"/>
      <c r="N36" s="177"/>
      <c r="O36" s="177"/>
      <c r="P36" s="177"/>
      <c r="Q36" s="177"/>
      <c r="R36" s="177"/>
      <c r="S36" s="177"/>
      <c r="T36" s="177"/>
      <c r="U36" s="177"/>
      <c r="V36" s="177"/>
      <c r="W36" s="177"/>
      <c r="X36" s="177">
        <v>2.2000000000000002</v>
      </c>
      <c r="Y36" s="177">
        <v>5.9</v>
      </c>
      <c r="Z36" s="177">
        <v>10.4</v>
      </c>
      <c r="AA36" s="177">
        <v>18.8</v>
      </c>
      <c r="AB36" s="177">
        <v>25</v>
      </c>
      <c r="AC36" s="177">
        <v>36.200000000000003</v>
      </c>
      <c r="AD36" s="291"/>
      <c r="AE36" s="291"/>
      <c r="AF36" s="291"/>
      <c r="AG36" s="166"/>
      <c r="AH36" s="166"/>
      <c r="AI36" s="166"/>
      <c r="AJ36" s="166"/>
      <c r="AK36" s="166"/>
      <c r="AL36" s="166"/>
      <c r="AM36" s="166"/>
      <c r="AN36" s="166"/>
    </row>
    <row r="37" spans="1:41" s="286" customFormat="1" outlineLevel="1">
      <c r="A37" s="96"/>
      <c r="D37" s="216"/>
      <c r="E37" s="216" t="s">
        <v>581</v>
      </c>
      <c r="G37" s="291"/>
      <c r="H37" s="291"/>
      <c r="I37" s="291"/>
      <c r="J37" s="291"/>
      <c r="K37" s="291"/>
      <c r="L37" s="291"/>
      <c r="M37" s="291"/>
      <c r="N37" s="291"/>
      <c r="O37" s="291"/>
      <c r="P37" s="291"/>
      <c r="Q37" s="291"/>
      <c r="R37" s="291"/>
      <c r="S37" s="291"/>
      <c r="T37" s="291"/>
      <c r="U37" s="291"/>
      <c r="V37" s="291"/>
      <c r="W37" s="291"/>
      <c r="X37" s="67">
        <f t="shared" ref="X37:AC37" si="32">X38-X36</f>
        <v>35.978679347826088</v>
      </c>
      <c r="Y37" s="67">
        <f t="shared" si="32"/>
        <v>55.518318478260873</v>
      </c>
      <c r="Z37" s="67">
        <f t="shared" si="32"/>
        <v>76.179599999999994</v>
      </c>
      <c r="AA37" s="67">
        <f t="shared" si="32"/>
        <v>128.54429999999999</v>
      </c>
      <c r="AB37" s="67">
        <f t="shared" si="32"/>
        <v>173.8657</v>
      </c>
      <c r="AC37" s="67">
        <f t="shared" si="32"/>
        <v>260.30995000000001</v>
      </c>
      <c r="AD37" s="291"/>
      <c r="AE37" s="291"/>
      <c r="AF37" s="291"/>
      <c r="AG37" s="166"/>
      <c r="AH37" s="166"/>
      <c r="AI37" s="166"/>
      <c r="AJ37" s="166"/>
      <c r="AK37" s="166"/>
      <c r="AL37" s="166"/>
      <c r="AM37" s="166"/>
      <c r="AN37" s="166"/>
    </row>
    <row r="38" spans="1:41" outlineLevel="1">
      <c r="B38" s="96"/>
      <c r="E38" s="292" t="s">
        <v>582</v>
      </c>
      <c r="F38" s="157"/>
      <c r="G38" s="157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>
        <f t="shared" ref="X38:AC38" si="33">X10</f>
        <v>38.17867934782609</v>
      </c>
      <c r="Y38" s="139">
        <f t="shared" si="33"/>
        <v>61.418318478260872</v>
      </c>
      <c r="Z38" s="139">
        <f t="shared" si="33"/>
        <v>86.579599999999999</v>
      </c>
      <c r="AA38" s="139">
        <f t="shared" si="33"/>
        <v>147.3443</v>
      </c>
      <c r="AB38" s="139">
        <f t="shared" si="33"/>
        <v>198.8657</v>
      </c>
      <c r="AC38" s="139">
        <f t="shared" si="33"/>
        <v>296.50995</v>
      </c>
      <c r="AD38" s="139"/>
      <c r="AE38" s="139"/>
      <c r="AF38" s="139"/>
      <c r="AG38" s="139"/>
      <c r="AH38" s="139"/>
      <c r="AI38" s="139"/>
      <c r="AJ38" s="139"/>
      <c r="AK38" s="139"/>
      <c r="AL38" s="139"/>
      <c r="AM38" s="139"/>
      <c r="AN38" s="139"/>
      <c r="AO38" s="7"/>
    </row>
    <row r="39" spans="1:41" s="73" customFormat="1" outlineLevel="1">
      <c r="A39" s="96"/>
      <c r="D39" s="69"/>
      <c r="E39" s="69" t="s">
        <v>583</v>
      </c>
      <c r="G39" s="187"/>
      <c r="H39" s="187"/>
      <c r="I39" s="187"/>
      <c r="J39" s="187"/>
      <c r="K39" s="187"/>
      <c r="L39" s="187"/>
      <c r="M39" s="187"/>
      <c r="N39" s="187"/>
      <c r="O39" s="187"/>
      <c r="P39" s="187"/>
      <c r="Q39" s="187"/>
      <c r="R39" s="187"/>
      <c r="S39" s="187"/>
      <c r="T39" s="187"/>
      <c r="U39" s="187"/>
      <c r="V39" s="187"/>
      <c r="W39" s="187"/>
      <c r="X39" s="187">
        <f t="shared" ref="X39:AC39" si="34">X36/X38</f>
        <v>5.7623784729611632E-2</v>
      </c>
      <c r="Y39" s="187">
        <f t="shared" si="34"/>
        <v>9.6062545282614931E-2</v>
      </c>
      <c r="Z39" s="187">
        <f t="shared" si="34"/>
        <v>0.12012067507819395</v>
      </c>
      <c r="AA39" s="187">
        <f t="shared" si="34"/>
        <v>0.1275923126988964</v>
      </c>
      <c r="AB39" s="187">
        <f t="shared" si="34"/>
        <v>0.12571298117272109</v>
      </c>
      <c r="AC39" s="187">
        <f t="shared" si="34"/>
        <v>0.12208696537839625</v>
      </c>
      <c r="AD39" s="187"/>
      <c r="AE39" s="187"/>
      <c r="AF39" s="187"/>
      <c r="AG39" s="166"/>
      <c r="AH39" s="166"/>
      <c r="AI39" s="166"/>
      <c r="AJ39" s="166"/>
      <c r="AK39" s="166"/>
      <c r="AL39" s="166"/>
      <c r="AM39" s="166"/>
      <c r="AN39" s="166"/>
    </row>
    <row r="40" spans="1:41" s="73" customFormat="1">
      <c r="A40" s="96"/>
      <c r="D40" s="69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66"/>
      <c r="W40" s="166"/>
      <c r="X40" s="166"/>
      <c r="Y40" s="166"/>
      <c r="Z40" s="166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</row>
    <row r="41" spans="1:41">
      <c r="D41" s="91"/>
      <c r="E41" s="91" t="s">
        <v>348</v>
      </c>
      <c r="F41" s="90"/>
      <c r="G41" s="90"/>
      <c r="H41" s="90"/>
      <c r="I41" s="90"/>
      <c r="J41" s="90"/>
      <c r="K41" s="90"/>
      <c r="L41" s="90"/>
      <c r="M41" s="90"/>
      <c r="N41" s="90"/>
      <c r="O41" s="90"/>
      <c r="P41" s="90"/>
      <c r="Q41" s="90"/>
      <c r="R41" s="90"/>
      <c r="S41" s="90"/>
      <c r="T41" s="90"/>
      <c r="U41" s="90"/>
      <c r="V41" s="90"/>
      <c r="W41" s="90"/>
      <c r="X41" s="90"/>
      <c r="Y41" s="90"/>
      <c r="Z41" s="90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</row>
    <row r="42" spans="1:41" ht="5.0999999999999996" customHeight="1">
      <c r="H42" s="7"/>
      <c r="I42" s="7"/>
      <c r="J42" s="7"/>
      <c r="K42" s="7"/>
      <c r="L42" s="7"/>
      <c r="M42" s="7"/>
      <c r="N42" s="7"/>
      <c r="O42" s="7"/>
      <c r="P42" s="7"/>
      <c r="Q42" s="84"/>
      <c r="R42" s="62"/>
      <c r="S42" s="62"/>
      <c r="T42" s="62"/>
      <c r="U42" s="62"/>
      <c r="V42" s="62"/>
      <c r="W42" s="62"/>
      <c r="X42" s="62"/>
      <c r="Y42" s="62"/>
      <c r="Z42" s="62"/>
      <c r="AA42" s="55"/>
      <c r="AB42" s="55"/>
      <c r="AC42" s="55"/>
      <c r="AD42" s="55"/>
      <c r="AE42" s="55"/>
      <c r="AF42" s="55"/>
      <c r="AG42" s="55"/>
      <c r="AH42" s="55"/>
      <c r="AI42" s="55"/>
      <c r="AJ42" s="55"/>
      <c r="AK42" s="55"/>
      <c r="AL42" s="55"/>
      <c r="AM42" s="55"/>
      <c r="AN42" s="55"/>
      <c r="AO42" s="7"/>
    </row>
    <row r="43" spans="1:41" ht="17.45" customHeight="1" outlineLevel="1">
      <c r="A43" s="96"/>
      <c r="B43"/>
      <c r="C43"/>
      <c r="D43" s="185"/>
      <c r="E43" s="185" t="s">
        <v>555</v>
      </c>
      <c r="F43" s="3"/>
      <c r="G43" s="1"/>
      <c r="H43" s="1"/>
      <c r="I43" s="1"/>
      <c r="J43" s="1"/>
      <c r="K43" s="1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  <c r="Y43" s="7"/>
      <c r="Z43" s="7">
        <f t="shared" ref="Z43:AC45" si="35">Z50*Z$48</f>
        <v>50.576630999999985</v>
      </c>
      <c r="AA43" s="7">
        <f t="shared" si="35"/>
        <v>58.242604125</v>
      </c>
      <c r="AB43" s="7">
        <f t="shared" si="35"/>
        <v>72.279923000000011</v>
      </c>
      <c r="AC43" s="7">
        <f t="shared" si="35"/>
        <v>93.543671812500008</v>
      </c>
      <c r="AD43" s="7">
        <f t="shared" ref="AD43:AF45" si="36">AD50*AD$48</f>
        <v>111.91040848124999</v>
      </c>
      <c r="AE43" s="7">
        <f t="shared" si="36"/>
        <v>131.7308855771513</v>
      </c>
      <c r="AF43" s="7">
        <f t="shared" si="36"/>
        <v>152.9901500546184</v>
      </c>
      <c r="AG43" s="7">
        <f t="shared" ref="AG43:AL45" si="37">AG50*AG$48</f>
        <v>175.01289766034955</v>
      </c>
      <c r="AH43" s="7">
        <f t="shared" si="37"/>
        <v>197.15459297560804</v>
      </c>
      <c r="AI43" s="7">
        <f t="shared" si="37"/>
        <v>218.6605410423013</v>
      </c>
      <c r="AJ43" s="7">
        <f t="shared" si="37"/>
        <v>239.24259897106916</v>
      </c>
      <c r="AK43" s="7">
        <f t="shared" si="37"/>
        <v>258.18462530863349</v>
      </c>
      <c r="AL43" s="7">
        <f t="shared" si="37"/>
        <v>274.76598672374524</v>
      </c>
      <c r="AM43" s="7">
        <f t="shared" ref="AM43:AN45" si="38">AM50*AM$48</f>
        <v>288.98489164488797</v>
      </c>
      <c r="AN43" s="7">
        <f t="shared" si="38"/>
        <v>300.33502839500386</v>
      </c>
    </row>
    <row r="44" spans="1:41" ht="15" customHeight="1" outlineLevel="1">
      <c r="A44" s="96"/>
      <c r="B44"/>
      <c r="C44"/>
      <c r="D44" s="185"/>
      <c r="E44" s="185" t="s">
        <v>556</v>
      </c>
      <c r="F44" s="3"/>
      <c r="G44" s="1"/>
      <c r="H44" s="1"/>
      <c r="I44" s="1"/>
      <c r="J44" s="1"/>
      <c r="K44" s="1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  <c r="Y44" s="7"/>
      <c r="Z44" s="7">
        <f t="shared" si="35"/>
        <v>11.906158716666663</v>
      </c>
      <c r="AA44" s="7">
        <f t="shared" si="35"/>
        <v>14.141525706249995</v>
      </c>
      <c r="AB44" s="7">
        <f t="shared" si="35"/>
        <v>18.088615999999991</v>
      </c>
      <c r="AC44" s="7">
        <f t="shared" si="35"/>
        <v>23.951327399999993</v>
      </c>
      <c r="AD44" s="7">
        <f t="shared" si="36"/>
        <v>29.380643374499986</v>
      </c>
      <c r="AE44" s="7">
        <f t="shared" si="36"/>
        <v>35.339030370150006</v>
      </c>
      <c r="AF44" s="7">
        <f t="shared" si="36"/>
        <v>42.002849313678055</v>
      </c>
      <c r="AG44" s="7">
        <f t="shared" si="37"/>
        <v>49.091589103147221</v>
      </c>
      <c r="AH44" s="7">
        <f t="shared" si="37"/>
        <v>56.497179993589654</v>
      </c>
      <c r="AI44" s="7">
        <f t="shared" si="37"/>
        <v>64.008339599229714</v>
      </c>
      <c r="AJ44" s="7">
        <f t="shared" si="37"/>
        <v>71.534683481508011</v>
      </c>
      <c r="AK44" s="7">
        <f t="shared" si="37"/>
        <v>78.847606658032632</v>
      </c>
      <c r="AL44" s="7">
        <f t="shared" si="37"/>
        <v>85.698119386407868</v>
      </c>
      <c r="AM44" s="7">
        <f t="shared" si="38"/>
        <v>92.046229023733304</v>
      </c>
      <c r="AN44" s="7">
        <f t="shared" si="38"/>
        <v>97.686349319765839</v>
      </c>
    </row>
    <row r="45" spans="1:41" ht="15" customHeight="1" outlineLevel="1">
      <c r="A45" s="96"/>
      <c r="B45"/>
      <c r="C45"/>
      <c r="D45" s="262"/>
      <c r="E45" s="185" t="s">
        <v>557</v>
      </c>
      <c r="F45" s="3"/>
      <c r="G45" s="1"/>
      <c r="H45" s="1"/>
      <c r="I45" s="1"/>
      <c r="J45" s="1"/>
      <c r="K45" s="1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>
        <f t="shared" si="35"/>
        <v>4.9602102833333417</v>
      </c>
      <c r="AA45" s="7">
        <f t="shared" si="35"/>
        <v>6.271120168750012</v>
      </c>
      <c r="AB45" s="7">
        <f t="shared" si="35"/>
        <v>8.3302109999999985</v>
      </c>
      <c r="AC45" s="7">
        <f t="shared" si="35"/>
        <v>10.934500787500003</v>
      </c>
      <c r="AD45" s="7">
        <f t="shared" si="36"/>
        <v>13.553154040249982</v>
      </c>
      <c r="AE45" s="7">
        <f t="shared" si="36"/>
        <v>16.474421603295202</v>
      </c>
      <c r="AF45" s="7">
        <f t="shared" si="36"/>
        <v>19.667377774364208</v>
      </c>
      <c r="AG45" s="7">
        <f t="shared" si="37"/>
        <v>23.224474334088363</v>
      </c>
      <c r="AH45" s="7">
        <f t="shared" si="37"/>
        <v>27.027627134094246</v>
      </c>
      <c r="AI45" s="7">
        <f t="shared" si="37"/>
        <v>30.988681072459915</v>
      </c>
      <c r="AJ45" s="7">
        <f t="shared" si="37"/>
        <v>35.07392349006026</v>
      </c>
      <c r="AK45" s="7">
        <f t="shared" si="37"/>
        <v>39.178420536265655</v>
      </c>
      <c r="AL45" s="7">
        <f t="shared" si="37"/>
        <v>43.180221656449682</v>
      </c>
      <c r="AM45" s="7">
        <f t="shared" si="38"/>
        <v>47.056025524274425</v>
      </c>
      <c r="AN45" s="7">
        <f t="shared" si="38"/>
        <v>50.693995684272743</v>
      </c>
    </row>
    <row r="46" spans="1:41" ht="15" customHeight="1" outlineLevel="1">
      <c r="A46" s="96"/>
      <c r="B46"/>
      <c r="C46"/>
      <c r="D46" s="263"/>
      <c r="E46" s="238" t="s">
        <v>370</v>
      </c>
      <c r="F46" s="193"/>
      <c r="G46" s="239"/>
      <c r="H46" s="239"/>
      <c r="I46" s="239"/>
      <c r="J46" s="239"/>
      <c r="K46" s="239"/>
      <c r="L46" s="239"/>
      <c r="M46" s="239"/>
      <c r="N46" s="239"/>
      <c r="O46" s="239"/>
      <c r="P46" s="239"/>
      <c r="Q46" s="239"/>
      <c r="R46" s="239"/>
      <c r="S46" s="239"/>
      <c r="T46" s="239"/>
      <c r="U46" s="239"/>
      <c r="V46" s="239"/>
      <c r="W46" s="239"/>
      <c r="X46" s="239"/>
      <c r="Y46" s="239"/>
      <c r="Z46" s="239">
        <f>Z48-Z47</f>
        <v>67.442999999999984</v>
      </c>
      <c r="AA46" s="239">
        <f t="shared" ref="AA46:AL46" si="39">AA48-AA47</f>
        <v>78.655250000000009</v>
      </c>
      <c r="AB46" s="239">
        <f t="shared" si="39"/>
        <v>98.698750000000004</v>
      </c>
      <c r="AC46" s="239">
        <f t="shared" si="39"/>
        <v>128.42950000000002</v>
      </c>
      <c r="AD46" s="239">
        <f>AD48-AD47</f>
        <v>154.84420589599998</v>
      </c>
      <c r="AE46" s="239">
        <f>AE48-AE47</f>
        <v>183.54433755059651</v>
      </c>
      <c r="AF46" s="239">
        <f>AF48-AF47</f>
        <v>214.66037714266065</v>
      </c>
      <c r="AG46" s="239">
        <f t="shared" si="39"/>
        <v>247.32896109758514</v>
      </c>
      <c r="AH46" s="239">
        <f t="shared" si="39"/>
        <v>280.67940010329198</v>
      </c>
      <c r="AI46" s="239">
        <f t="shared" si="39"/>
        <v>313.65756171399096</v>
      </c>
      <c r="AJ46" s="239">
        <f t="shared" si="39"/>
        <v>345.85120594263742</v>
      </c>
      <c r="AK46" s="239">
        <f t="shared" si="39"/>
        <v>376.21065250293179</v>
      </c>
      <c r="AL46" s="239">
        <f t="shared" si="39"/>
        <v>403.64432776660277</v>
      </c>
      <c r="AM46" s="239">
        <f>AM48-AM47</f>
        <v>428.08714619289566</v>
      </c>
      <c r="AN46" s="239">
        <f>AN48-AN47</f>
        <v>448.71537339904245</v>
      </c>
    </row>
    <row r="47" spans="1:41" ht="15" customHeight="1" outlineLevel="1">
      <c r="A47" s="96"/>
      <c r="B47" s="96" t="s">
        <v>371</v>
      </c>
      <c r="C47"/>
      <c r="D47" s="263"/>
      <c r="E47" s="59" t="s">
        <v>371</v>
      </c>
      <c r="F47" s="3"/>
      <c r="G47" s="141"/>
      <c r="H47" s="190"/>
      <c r="I47" s="190"/>
      <c r="J47" s="190"/>
      <c r="K47" s="190"/>
      <c r="L47" s="190"/>
      <c r="M47" s="190"/>
      <c r="N47" s="190"/>
      <c r="O47" s="190"/>
      <c r="P47" s="190"/>
      <c r="Q47" s="190"/>
      <c r="R47" s="190"/>
      <c r="S47" s="190"/>
      <c r="T47" s="190"/>
      <c r="U47" s="190"/>
      <c r="V47" s="190"/>
      <c r="W47" s="190"/>
      <c r="X47" s="190"/>
      <c r="Y47" s="190"/>
      <c r="Z47" s="190">
        <f>AVERAGE(INDEX(QRT!$1:$1048576,MATCH(Model!$B47,QRT!$A:$A,0),MATCH(Model!Z$3,QRT!$4:$4,0)),INDEX(QRT!$1:$1048576,MATCH(Model!$B47,QRT!$A:$A,0),MATCH(Model!Z$3,QRT!$4:$4,0)+1),INDEX(QRT!$1:$1048576,MATCH(Model!$B47,QRT!$A:$A,0),MATCH(Model!Z$3,QRT!$4:$4,0)+2),INDEX(QRT!$1:$1048576,MATCH(Model!$B47,QRT!$A:$A,0),MATCH(Model!Z$3,QRT!$4:$4,0)+3))</f>
        <v>0.26333333333333336</v>
      </c>
      <c r="AA47" s="190">
        <f>AVERAGE(INDEX(QRT!$1:$1048576,MATCH(Model!$B47,QRT!$A:$A,0),MATCH(Model!AA$3,QRT!$4:$4,0)),INDEX(QRT!$1:$1048576,MATCH(Model!$B47,QRT!$A:$A,0),MATCH(Model!AA$3,QRT!$4:$4,0)+1),INDEX(QRT!$1:$1048576,MATCH(Model!$B47,QRT!$A:$A,0),MATCH(Model!AA$3,QRT!$4:$4,0)+2),INDEX(QRT!$1:$1048576,MATCH(Model!$B47,QRT!$A:$A,0),MATCH(Model!AA$3,QRT!$4:$4,0)+3))</f>
        <v>0.42500000000000004</v>
      </c>
      <c r="AB47" s="190">
        <f>AVERAGE(INDEX(QRT!$1:$1048576,MATCH(Model!$B47,QRT!$A:$A,0),MATCH(Model!AB$3,QRT!$4:$4,0)),INDEX(QRT!$1:$1048576,MATCH(Model!$B47,QRT!$A:$A,0),MATCH(Model!AB$3,QRT!$4:$4,0)+1),INDEX(QRT!$1:$1048576,MATCH(Model!$B47,QRT!$A:$A,0),MATCH(Model!AB$3,QRT!$4:$4,0)+2),INDEX(QRT!$1:$1048576,MATCH(Model!$B47,QRT!$A:$A,0),MATCH(Model!AB$3,QRT!$4:$4,0)+3))</f>
        <v>0.68925000000000003</v>
      </c>
      <c r="AC47" s="190">
        <f>AVERAGE(INDEX(QRT!$1:$1048576,MATCH(Model!$B47,QRT!$A:$A,0),MATCH(Model!AC$3,QRT!$4:$4,0)),INDEX(QRT!$1:$1048576,MATCH(Model!$B47,QRT!$A:$A,0),MATCH(Model!AC$3,QRT!$4:$4,0)+1),INDEX(QRT!$1:$1048576,MATCH(Model!$B47,QRT!$A:$A,0),MATCH(Model!AC$3,QRT!$4:$4,0)+2),INDEX(QRT!$1:$1048576,MATCH(Model!$B47,QRT!$A:$A,0),MATCH(Model!AC$3,QRT!$4:$4,0)+3))</f>
        <v>1.1772499999999999</v>
      </c>
      <c r="AD47" s="253">
        <f>AVERAGE(INDEX(QRT!$1:$1048576,MATCH(Model!$B47,QRT!$A:$A,0),MATCH(Model!AD$3,QRT!$4:$4,0)),INDEX(QRT!$1:$1048576,MATCH(Model!$B47,QRT!$A:$A,0),MATCH(Model!AD$3,QRT!$4:$4,0)+1),INDEX(QRT!$1:$1048576,MATCH(Model!$B47,QRT!$A:$A,0),MATCH(Model!AD$3,QRT!$4:$4,0)+2),INDEX(QRT!$1:$1048576,MATCH(Model!$B47,QRT!$A:$A,0),MATCH(Model!AD$3,QRT!$4:$4,0)+3))</f>
        <v>1.8107841039999999</v>
      </c>
      <c r="AE47" s="253">
        <f>AVERAGE(INDEX(QRT!$1:$1048576,MATCH(Model!$B47,QRT!$A:$A,0),MATCH(Model!AE$3,QRT!$4:$4,0)),INDEX(QRT!$1:$1048576,MATCH(Model!$B47,QRT!$A:$A,0),MATCH(Model!AE$3,QRT!$4:$4,0)+1),INDEX(QRT!$1:$1048576,MATCH(Model!$B47,QRT!$A:$A,0),MATCH(Model!AE$3,QRT!$4:$4,0)+2),INDEX(QRT!$1:$1048576,MATCH(Model!$B47,QRT!$A:$A,0),MATCH(Model!AE$3,QRT!$4:$4,0)+3))</f>
        <v>2.4505591344034996</v>
      </c>
      <c r="AF47" s="253">
        <f>AVERAGE(INDEX(QRT!$1:$1048576,MATCH(Model!$B47,QRT!$A:$A,0),MATCH(Model!AF$3,QRT!$4:$4,0)),INDEX(QRT!$1:$1048576,MATCH(Model!$B47,QRT!$A:$A,0),MATCH(Model!AF$3,QRT!$4:$4,0)+1),INDEX(QRT!$1:$1048576,MATCH(Model!$B47,QRT!$A:$A,0),MATCH(Model!AF$3,QRT!$4:$4,0)+2),INDEX(QRT!$1:$1048576,MATCH(Model!$B47,QRT!$A:$A,0),MATCH(Model!AF$3,QRT!$4:$4,0)+3))</f>
        <v>3.1967251067068299</v>
      </c>
      <c r="AG47" s="244">
        <f t="shared" ref="AG47:AL47" si="40">AG48*AG53</f>
        <v>4.0360624720370684</v>
      </c>
      <c r="AH47" s="244">
        <f t="shared" si="40"/>
        <v>4.9484057288093748</v>
      </c>
      <c r="AI47" s="244">
        <f t="shared" si="40"/>
        <v>5.904792750460925</v>
      </c>
      <c r="AJ47" s="244">
        <f t="shared" si="40"/>
        <v>6.8839197058241002</v>
      </c>
      <c r="AK47" s="244">
        <f t="shared" si="40"/>
        <v>7.8497793433060092</v>
      </c>
      <c r="AL47" s="244">
        <f t="shared" si="40"/>
        <v>8.7624065279489258</v>
      </c>
      <c r="AM47" s="244">
        <f>AM48*AM53</f>
        <v>9.6029585324171514</v>
      </c>
      <c r="AN47" s="244">
        <f>AN48*AN53</f>
        <v>10.33702002090973</v>
      </c>
    </row>
    <row r="48" spans="1:41" ht="15" customHeight="1" outlineLevel="1">
      <c r="A48" s="96"/>
      <c r="B48" s="96" t="s">
        <v>373</v>
      </c>
      <c r="C48"/>
      <c r="D48" s="264"/>
      <c r="E48" s="193" t="s">
        <v>373</v>
      </c>
      <c r="F48" s="193"/>
      <c r="G48" s="256"/>
      <c r="H48" s="194"/>
      <c r="I48" s="194"/>
      <c r="J48" s="194"/>
      <c r="K48" s="194"/>
      <c r="L48" s="221"/>
      <c r="M48" s="221"/>
      <c r="N48" s="221"/>
      <c r="O48" s="221"/>
      <c r="P48" s="221"/>
      <c r="Q48" s="221"/>
      <c r="R48" s="221"/>
      <c r="S48" s="221"/>
      <c r="T48" s="221"/>
      <c r="U48" s="221"/>
      <c r="V48" s="221"/>
      <c r="W48" s="221"/>
      <c r="X48" s="221"/>
      <c r="Y48" s="221"/>
      <c r="Z48" s="221">
        <f>AVERAGE(INDEX(QRT!$1:$1048576,MATCH(Model!$B48,QRT!$A:$A,0),MATCH(Model!Z$3,QRT!$4:$4,0)),INDEX(QRT!$1:$1048576,MATCH(Model!$B48,QRT!$A:$A,0),MATCH(Model!Z$3,QRT!$4:$4,0)+1),INDEX(QRT!$1:$1048576,MATCH(Model!$B48,QRT!$A:$A,0),MATCH(Model!Z$3,QRT!$4:$4,0)+2),INDEX(QRT!$1:$1048576,MATCH(Model!$B48,QRT!$A:$A,0),MATCH(Model!Z$3,QRT!$4:$4,0)+3))</f>
        <v>67.706333333333319</v>
      </c>
      <c r="AA48" s="221">
        <f>AVERAGE(INDEX(QRT!$1:$1048576,MATCH(Model!$B48,QRT!$A:$A,0),MATCH(Model!AA$3,QRT!$4:$4,0)),INDEX(QRT!$1:$1048576,MATCH(Model!$B48,QRT!$A:$A,0),MATCH(Model!AA$3,QRT!$4:$4,0)+1),INDEX(QRT!$1:$1048576,MATCH(Model!$B48,QRT!$A:$A,0),MATCH(Model!AA$3,QRT!$4:$4,0)+2),INDEX(QRT!$1:$1048576,MATCH(Model!$B48,QRT!$A:$A,0),MATCH(Model!AA$3,QRT!$4:$4,0)+3))</f>
        <v>79.080250000000007</v>
      </c>
      <c r="AB48" s="221">
        <f>AVERAGE(INDEX(QRT!$1:$1048576,MATCH(Model!$B48,QRT!$A:$A,0),MATCH(Model!AB$3,QRT!$4:$4,0)),INDEX(QRT!$1:$1048576,MATCH(Model!$B48,QRT!$A:$A,0),MATCH(Model!AB$3,QRT!$4:$4,0)+1),INDEX(QRT!$1:$1048576,MATCH(Model!$B48,QRT!$A:$A,0),MATCH(Model!AB$3,QRT!$4:$4,0)+2),INDEX(QRT!$1:$1048576,MATCH(Model!$B48,QRT!$A:$A,0),MATCH(Model!AB$3,QRT!$4:$4,0)+3))</f>
        <v>99.388000000000005</v>
      </c>
      <c r="AC48" s="221">
        <f>AVERAGE(INDEX(QRT!$1:$1048576,MATCH(Model!$B48,QRT!$A:$A,0),MATCH(Model!AC$3,QRT!$4:$4,0)),INDEX(QRT!$1:$1048576,MATCH(Model!$B48,QRT!$A:$A,0),MATCH(Model!AC$3,QRT!$4:$4,0)+1),INDEX(QRT!$1:$1048576,MATCH(Model!$B48,QRT!$A:$A,0),MATCH(Model!AC$3,QRT!$4:$4,0)+2),INDEX(QRT!$1:$1048576,MATCH(Model!$B48,QRT!$A:$A,0),MATCH(Model!AC$3,QRT!$4:$4,0)+3))</f>
        <v>129.60675000000001</v>
      </c>
      <c r="AD48" s="254">
        <f>AVERAGE(INDEX(QRT!$1:$1048576,MATCH(Model!$B48,QRT!$A:$A,0),MATCH(Model!AD$3,QRT!$4:$4,0)),INDEX(QRT!$1:$1048576,MATCH(Model!$B48,QRT!$A:$A,0),MATCH(Model!AD$3,QRT!$4:$4,0)+1),INDEX(QRT!$1:$1048576,MATCH(Model!$B48,QRT!$A:$A,0),MATCH(Model!AD$3,QRT!$4:$4,0)+2),INDEX(QRT!$1:$1048576,MATCH(Model!$B48,QRT!$A:$A,0),MATCH(Model!AD$3,QRT!$4:$4,0)+3))</f>
        <v>156.65498999999997</v>
      </c>
      <c r="AE48" s="254">
        <f>AVERAGE(INDEX(QRT!$1:$1048576,MATCH(Model!$B48,QRT!$A:$A,0),MATCH(Model!AE$3,QRT!$4:$4,0)),INDEX(QRT!$1:$1048576,MATCH(Model!$B48,QRT!$A:$A,0),MATCH(Model!AE$3,QRT!$4:$4,0)+1),INDEX(QRT!$1:$1048576,MATCH(Model!$B48,QRT!$A:$A,0),MATCH(Model!AE$3,QRT!$4:$4,0)+2),INDEX(QRT!$1:$1048576,MATCH(Model!$B48,QRT!$A:$A,0),MATCH(Model!AE$3,QRT!$4:$4,0)+3))</f>
        <v>185.99489668500001</v>
      </c>
      <c r="AF48" s="254">
        <f>AVERAGE(INDEX(QRT!$1:$1048576,MATCH(Model!$B48,QRT!$A:$A,0),MATCH(Model!AF$3,QRT!$4:$4,0)),INDEX(QRT!$1:$1048576,MATCH(Model!$B48,QRT!$A:$A,0),MATCH(Model!AF$3,QRT!$4:$4,0)+1),INDEX(QRT!$1:$1048576,MATCH(Model!$B48,QRT!$A:$A,0),MATCH(Model!AF$3,QRT!$4:$4,0)+2),INDEX(QRT!$1:$1048576,MATCH(Model!$B48,QRT!$A:$A,0),MATCH(Model!AF$3,QRT!$4:$4,0)+3))</f>
        <v>217.85710224936747</v>
      </c>
      <c r="AG48" s="208">
        <f>AF48*(1+AG49)</f>
        <v>251.3650235696222</v>
      </c>
      <c r="AH48" s="208">
        <f t="shared" ref="AH48:AN48" si="41">AG48*(1+AH49)</f>
        <v>285.62780583210133</v>
      </c>
      <c r="AI48" s="208">
        <f t="shared" si="41"/>
        <v>319.56235446445186</v>
      </c>
      <c r="AJ48" s="208">
        <f t="shared" si="41"/>
        <v>352.73512564846152</v>
      </c>
      <c r="AK48" s="208">
        <f t="shared" si="41"/>
        <v>384.0604318462378</v>
      </c>
      <c r="AL48" s="208">
        <f t="shared" si="41"/>
        <v>412.40673429455171</v>
      </c>
      <c r="AM48" s="208">
        <f t="shared" si="41"/>
        <v>437.69010472531284</v>
      </c>
      <c r="AN48" s="208">
        <f t="shared" si="41"/>
        <v>459.05239341995218</v>
      </c>
    </row>
    <row r="49" spans="1:42" ht="15" customHeight="1" outlineLevel="1">
      <c r="A49" s="96"/>
      <c r="B49"/>
      <c r="C49"/>
      <c r="D49" s="265"/>
      <c r="E49" s="73" t="s">
        <v>243</v>
      </c>
      <c r="F49" s="3"/>
      <c r="G49" s="167"/>
      <c r="H49" s="167"/>
      <c r="I49" s="167"/>
      <c r="J49" s="167"/>
      <c r="K49" s="167"/>
      <c r="L49" s="167"/>
      <c r="M49" s="167"/>
      <c r="N49" s="167"/>
      <c r="O49" s="167"/>
      <c r="P49" s="167"/>
      <c r="Q49" s="167"/>
      <c r="R49" s="167"/>
      <c r="S49" s="167"/>
      <c r="T49" s="167"/>
      <c r="U49" s="167"/>
      <c r="V49" s="167"/>
      <c r="W49" s="167"/>
      <c r="X49" s="167"/>
      <c r="Y49" s="167"/>
      <c r="Z49" s="167" t="str">
        <f t="shared" ref="Z49:AF49" si="42">IFERROR(Z48/Y48-1,"na")</f>
        <v>na</v>
      </c>
      <c r="AA49" s="167">
        <f t="shared" si="42"/>
        <v>0.1679889621354973</v>
      </c>
      <c r="AB49" s="167">
        <f t="shared" si="42"/>
        <v>0.25679926403874531</v>
      </c>
      <c r="AC49" s="167">
        <f t="shared" si="42"/>
        <v>0.30404827544572788</v>
      </c>
      <c r="AD49" s="167">
        <f t="shared" si="42"/>
        <v>0.20869468604065733</v>
      </c>
      <c r="AE49" s="167">
        <f>IFERROR(AE48/AD48-1,"na")</f>
        <v>0.18728995919632085</v>
      </c>
      <c r="AF49" s="167">
        <f t="shared" si="42"/>
        <v>0.17130688063086552</v>
      </c>
      <c r="AG49" s="255">
        <f>AF49-0.0175</f>
        <v>0.15380688063086551</v>
      </c>
      <c r="AH49" s="255">
        <f>AG49-0.0175</f>
        <v>0.13630688063086549</v>
      </c>
      <c r="AI49" s="255">
        <f>AH49-0.0175</f>
        <v>0.11880688063086549</v>
      </c>
      <c r="AJ49" s="255">
        <f>AI49-0.015</f>
        <v>0.10380688063086549</v>
      </c>
      <c r="AK49" s="255">
        <f>AJ49-0.015</f>
        <v>8.880688063086549E-2</v>
      </c>
      <c r="AL49" s="255">
        <f>AK49-0.015</f>
        <v>7.380688063086549E-2</v>
      </c>
      <c r="AM49" s="255">
        <f>AL49-0.0125</f>
        <v>6.1306880630865493E-2</v>
      </c>
      <c r="AN49" s="255">
        <f>AM49-0.0125</f>
        <v>4.8806880630865496E-2</v>
      </c>
    </row>
    <row r="50" spans="1:42" ht="15" customHeight="1" outlineLevel="1">
      <c r="A50" s="96"/>
      <c r="B50" s="96" t="s">
        <v>558</v>
      </c>
      <c r="C50"/>
      <c r="D50" s="265"/>
      <c r="E50" s="73" t="s">
        <v>558</v>
      </c>
      <c r="F50" s="3"/>
      <c r="G50" s="167"/>
      <c r="H50" s="167"/>
      <c r="I50" s="167"/>
      <c r="J50" s="167"/>
      <c r="K50" s="167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>
        <f>AVERAGE(INDEX(QRT!$1:$1048576,MATCH(Model!$B50,QRT!$A:$A,0),MATCH(Model!Z$3,QRT!$4:$4,0)),INDEX(QRT!$1:$1048576,MATCH(Model!$B50,QRT!$A:$A,0),MATCH(Model!Z$3,QRT!$4:$4,0)+1),INDEX(QRT!$1:$1048576,MATCH(Model!$B50,QRT!$A:$A,0),MATCH(Model!Z$3,QRT!$4:$4,0)+2),INDEX(QRT!$1:$1048576,MATCH(Model!$B50,QRT!$A:$A,0),MATCH(Model!Z$3,QRT!$4:$4,0)+3))</f>
        <v>0.74699999999999989</v>
      </c>
      <c r="AA50" s="66">
        <f>AVERAGE(INDEX(QRT!$1:$1048576,MATCH(Model!$B50,QRT!$A:$A,0),MATCH(Model!AA$3,QRT!$4:$4,0)),INDEX(QRT!$1:$1048576,MATCH(Model!$B50,QRT!$A:$A,0),MATCH(Model!AA$3,QRT!$4:$4,0)+1),INDEX(QRT!$1:$1048576,MATCH(Model!$B50,QRT!$A:$A,0),MATCH(Model!AA$3,QRT!$4:$4,0)+2),INDEX(QRT!$1:$1048576,MATCH(Model!$B50,QRT!$A:$A,0),MATCH(Model!AA$3,QRT!$4:$4,0)+3))</f>
        <v>0.73649999999999993</v>
      </c>
      <c r="AB50" s="66">
        <f>AVERAGE(INDEX(QRT!$1:$1048576,MATCH(Model!$B50,QRT!$A:$A,0),MATCH(Model!AB$3,QRT!$4:$4,0)),INDEX(QRT!$1:$1048576,MATCH(Model!$B50,QRT!$A:$A,0),MATCH(Model!AB$3,QRT!$4:$4,0)+1),INDEX(QRT!$1:$1048576,MATCH(Model!$B50,QRT!$A:$A,0),MATCH(Model!AB$3,QRT!$4:$4,0)+2),INDEX(QRT!$1:$1048576,MATCH(Model!$B50,QRT!$A:$A,0),MATCH(Model!AB$3,QRT!$4:$4,0)+3))</f>
        <v>0.72725000000000006</v>
      </c>
      <c r="AC50" s="66">
        <f>AVERAGE(INDEX(QRT!$1:$1048576,MATCH(Model!$B50,QRT!$A:$A,0),MATCH(Model!AC$3,QRT!$4:$4,0)),INDEX(QRT!$1:$1048576,MATCH(Model!$B50,QRT!$A:$A,0),MATCH(Model!AC$3,QRT!$4:$4,0)+1),INDEX(QRT!$1:$1048576,MATCH(Model!$B50,QRT!$A:$A,0),MATCH(Model!AC$3,QRT!$4:$4,0)+2),INDEX(QRT!$1:$1048576,MATCH(Model!$B50,QRT!$A:$A,0),MATCH(Model!AC$3,QRT!$4:$4,0)+3))</f>
        <v>0.72175</v>
      </c>
      <c r="AD50" s="66">
        <f>AVERAGE(INDEX(QRT!$1:$1048576,MATCH(Model!$B50,QRT!$A:$A,0),MATCH(Model!AD$3,QRT!$4:$4,0)),INDEX(QRT!$1:$1048576,MATCH(Model!$B50,QRT!$A:$A,0),MATCH(Model!AD$3,QRT!$4:$4,0)+1),INDEX(QRT!$1:$1048576,MATCH(Model!$B50,QRT!$A:$A,0),MATCH(Model!AD$3,QRT!$4:$4,0)+2),INDEX(QRT!$1:$1048576,MATCH(Model!$B50,QRT!$A:$A,0),MATCH(Model!AD$3,QRT!$4:$4,0)+3))</f>
        <v>0.71437500000000009</v>
      </c>
      <c r="AE50" s="66">
        <f>AVERAGE(INDEX(QRT!$1:$1048576,MATCH(Model!$B50,QRT!$A:$A,0),MATCH(Model!AE$3,QRT!$4:$4,0)),INDEX(QRT!$1:$1048576,MATCH(Model!$B50,QRT!$A:$A,0),MATCH(Model!AE$3,QRT!$4:$4,0)+1),INDEX(QRT!$1:$1048576,MATCH(Model!$B50,QRT!$A:$A,0),MATCH(Model!AE$3,QRT!$4:$4,0)+2),INDEX(QRT!$1:$1048576,MATCH(Model!$B50,QRT!$A:$A,0),MATCH(Model!AE$3,QRT!$4:$4,0)+3))</f>
        <v>0.70825000000000027</v>
      </c>
      <c r="AF50" s="66">
        <f>AVERAGE(INDEX(QRT!$1:$1048576,MATCH(Model!$B50,QRT!$A:$A,0),MATCH(Model!AF$3,QRT!$4:$4,0)),INDEX(QRT!$1:$1048576,MATCH(Model!$B50,QRT!$A:$A,0),MATCH(Model!AF$3,QRT!$4:$4,0)+1),INDEX(QRT!$1:$1048576,MATCH(Model!$B50,QRT!$A:$A,0),MATCH(Model!AF$3,QRT!$4:$4,0)+2),INDEX(QRT!$1:$1048576,MATCH(Model!$B50,QRT!$A:$A,0),MATCH(Model!AF$3,QRT!$4:$4,0)+3))</f>
        <v>0.70225000000000037</v>
      </c>
      <c r="AG50" s="255">
        <f>AF50-0.006</f>
        <v>0.69625000000000037</v>
      </c>
      <c r="AH50" s="255">
        <f t="shared" ref="AH50:AN50" si="43">AG50-0.006</f>
        <v>0.69025000000000036</v>
      </c>
      <c r="AI50" s="255">
        <f t="shared" si="43"/>
        <v>0.68425000000000036</v>
      </c>
      <c r="AJ50" s="255">
        <f t="shared" si="43"/>
        <v>0.67825000000000035</v>
      </c>
      <c r="AK50" s="255">
        <f t="shared" si="43"/>
        <v>0.67225000000000035</v>
      </c>
      <c r="AL50" s="255">
        <f t="shared" si="43"/>
        <v>0.66625000000000034</v>
      </c>
      <c r="AM50" s="255">
        <f t="shared" si="43"/>
        <v>0.66025000000000034</v>
      </c>
      <c r="AN50" s="255">
        <f t="shared" si="43"/>
        <v>0.65425000000000033</v>
      </c>
      <c r="AO50" s="14"/>
    </row>
    <row r="51" spans="1:42" ht="15" customHeight="1" outlineLevel="1">
      <c r="A51" s="96"/>
      <c r="B51" s="96" t="s">
        <v>559</v>
      </c>
      <c r="C51"/>
      <c r="D51" s="265"/>
      <c r="E51" s="73" t="s">
        <v>559</v>
      </c>
      <c r="F51" s="3"/>
      <c r="G51" s="167"/>
      <c r="H51" s="167"/>
      <c r="I51" s="167"/>
      <c r="J51" s="167"/>
      <c r="K51" s="167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>
        <f>AVERAGE(INDEX(QRT!$1:$1048576,MATCH(Model!$B51,QRT!$A:$A,0),MATCH(Model!Z$3,QRT!$4:$4,0)),INDEX(QRT!$1:$1048576,MATCH(Model!$B51,QRT!$A:$A,0),MATCH(Model!Z$3,QRT!$4:$4,0)+1),INDEX(QRT!$1:$1048576,MATCH(Model!$B51,QRT!$A:$A,0),MATCH(Model!Z$3,QRT!$4:$4,0)+2),INDEX(QRT!$1:$1048576,MATCH(Model!$B51,QRT!$A:$A,0),MATCH(Model!Z$3,QRT!$4:$4,0)+3))</f>
        <v>0.17584999999999998</v>
      </c>
      <c r="AA51" s="66">
        <f>AVERAGE(INDEX(QRT!$1:$1048576,MATCH(Model!$B51,QRT!$A:$A,0),MATCH(Model!AA$3,QRT!$4:$4,0)),INDEX(QRT!$1:$1048576,MATCH(Model!$B51,QRT!$A:$A,0),MATCH(Model!AA$3,QRT!$4:$4,0)+1),INDEX(QRT!$1:$1048576,MATCH(Model!$B51,QRT!$A:$A,0),MATCH(Model!AA$3,QRT!$4:$4,0)+2),INDEX(QRT!$1:$1048576,MATCH(Model!$B51,QRT!$A:$A,0),MATCH(Model!AA$3,QRT!$4:$4,0)+3))</f>
        <v>0.17882499999999993</v>
      </c>
      <c r="AB51" s="66">
        <f>AVERAGE(INDEX(QRT!$1:$1048576,MATCH(Model!$B51,QRT!$A:$A,0),MATCH(Model!AB$3,QRT!$4:$4,0)),INDEX(QRT!$1:$1048576,MATCH(Model!$B51,QRT!$A:$A,0),MATCH(Model!AB$3,QRT!$4:$4,0)+1),INDEX(QRT!$1:$1048576,MATCH(Model!$B51,QRT!$A:$A,0),MATCH(Model!AB$3,QRT!$4:$4,0)+2),INDEX(QRT!$1:$1048576,MATCH(Model!$B51,QRT!$A:$A,0),MATCH(Model!AB$3,QRT!$4:$4,0)+3))</f>
        <v>0.18199999999999991</v>
      </c>
      <c r="AC51" s="66">
        <f>AVERAGE(INDEX(QRT!$1:$1048576,MATCH(Model!$B51,QRT!$A:$A,0),MATCH(Model!AC$3,QRT!$4:$4,0)),INDEX(QRT!$1:$1048576,MATCH(Model!$B51,QRT!$A:$A,0),MATCH(Model!AC$3,QRT!$4:$4,0)+1),INDEX(QRT!$1:$1048576,MATCH(Model!$B51,QRT!$A:$A,0),MATCH(Model!AC$3,QRT!$4:$4,0)+2),INDEX(QRT!$1:$1048576,MATCH(Model!$B51,QRT!$A:$A,0),MATCH(Model!AC$3,QRT!$4:$4,0)+3))</f>
        <v>0.18479999999999994</v>
      </c>
      <c r="AD51" s="66">
        <f>AVERAGE(INDEX(QRT!$1:$1048576,MATCH(Model!$B51,QRT!$A:$A,0),MATCH(Model!AD$3,QRT!$4:$4,0)),INDEX(QRT!$1:$1048576,MATCH(Model!$B51,QRT!$A:$A,0),MATCH(Model!AD$3,QRT!$4:$4,0)+1),INDEX(QRT!$1:$1048576,MATCH(Model!$B51,QRT!$A:$A,0),MATCH(Model!AD$3,QRT!$4:$4,0)+2),INDEX(QRT!$1:$1048576,MATCH(Model!$B51,QRT!$A:$A,0),MATCH(Model!AD$3,QRT!$4:$4,0)+3))</f>
        <v>0.18754999999999994</v>
      </c>
      <c r="AE51" s="66">
        <f>AVERAGE(INDEX(QRT!$1:$1048576,MATCH(Model!$B51,QRT!$A:$A,0),MATCH(Model!AE$3,QRT!$4:$4,0)),INDEX(QRT!$1:$1048576,MATCH(Model!$B51,QRT!$A:$A,0),MATCH(Model!AE$3,QRT!$4:$4,0)+1),INDEX(QRT!$1:$1048576,MATCH(Model!$B51,QRT!$A:$A,0),MATCH(Model!AE$3,QRT!$4:$4,0)+2),INDEX(QRT!$1:$1048576,MATCH(Model!$B51,QRT!$A:$A,0),MATCH(Model!AE$3,QRT!$4:$4,0)+3))</f>
        <v>0.19</v>
      </c>
      <c r="AF51" s="66">
        <f>AVERAGE(INDEX(QRT!$1:$1048576,MATCH(Model!$B51,QRT!$A:$A,0),MATCH(Model!AF$3,QRT!$4:$4,0)),INDEX(QRT!$1:$1048576,MATCH(Model!$B51,QRT!$A:$A,0),MATCH(Model!AF$3,QRT!$4:$4,0)+1),INDEX(QRT!$1:$1048576,MATCH(Model!$B51,QRT!$A:$A,0),MATCH(Model!AF$3,QRT!$4:$4,0)+2),INDEX(QRT!$1:$1048576,MATCH(Model!$B51,QRT!$A:$A,0),MATCH(Model!AF$3,QRT!$4:$4,0)+3))</f>
        <v>0.19280000000000003</v>
      </c>
      <c r="AG51" s="255">
        <f>AF51+0.0025</f>
        <v>0.19530000000000003</v>
      </c>
      <c r="AH51" s="255">
        <f t="shared" ref="AH51:AN51" si="44">AG51+0.0025</f>
        <v>0.19780000000000003</v>
      </c>
      <c r="AI51" s="255">
        <f t="shared" si="44"/>
        <v>0.20030000000000003</v>
      </c>
      <c r="AJ51" s="255">
        <f t="shared" si="44"/>
        <v>0.20280000000000004</v>
      </c>
      <c r="AK51" s="255">
        <f t="shared" si="44"/>
        <v>0.20530000000000004</v>
      </c>
      <c r="AL51" s="255">
        <f t="shared" si="44"/>
        <v>0.20780000000000004</v>
      </c>
      <c r="AM51" s="255">
        <f t="shared" si="44"/>
        <v>0.21030000000000004</v>
      </c>
      <c r="AN51" s="255">
        <f t="shared" si="44"/>
        <v>0.21280000000000004</v>
      </c>
      <c r="AO51" s="14"/>
    </row>
    <row r="52" spans="1:42" ht="15" customHeight="1" outlineLevel="1">
      <c r="A52" s="96"/>
      <c r="B52"/>
      <c r="C52"/>
      <c r="D52" s="265"/>
      <c r="E52" s="73" t="s">
        <v>518</v>
      </c>
      <c r="F52" s="3"/>
      <c r="G52" s="167"/>
      <c r="H52" s="167"/>
      <c r="I52" s="167"/>
      <c r="J52" s="167"/>
      <c r="K52" s="167"/>
      <c r="L52" s="187"/>
      <c r="M52" s="187"/>
      <c r="N52" s="187"/>
      <c r="O52" s="187"/>
      <c r="P52" s="187"/>
      <c r="Q52" s="187"/>
      <c r="R52" s="187"/>
      <c r="S52" s="187"/>
      <c r="T52" s="187"/>
      <c r="U52" s="187"/>
      <c r="V52" s="187"/>
      <c r="W52" s="187"/>
      <c r="X52" s="187"/>
      <c r="Y52" s="187"/>
      <c r="Z52" s="187">
        <f t="shared" ref="Z52:AF52" si="45">1-SUM(Z50:Z51,Z53)</f>
        <v>7.3260654345482346E-2</v>
      </c>
      <c r="AA52" s="187">
        <f t="shared" si="45"/>
        <v>7.9300712488263647E-2</v>
      </c>
      <c r="AB52" s="187">
        <f t="shared" si="45"/>
        <v>8.3815058155914168E-2</v>
      </c>
      <c r="AC52" s="187">
        <f t="shared" si="45"/>
        <v>8.4366753949929318E-2</v>
      </c>
      <c r="AD52" s="187">
        <f t="shared" si="45"/>
        <v>8.6515942072767582E-2</v>
      </c>
      <c r="AE52" s="187">
        <f t="shared" si="45"/>
        <v>8.8574589394225134E-2</v>
      </c>
      <c r="AF52" s="187">
        <f t="shared" si="45"/>
        <v>9.027650497183326E-2</v>
      </c>
      <c r="AG52" s="187">
        <f t="shared" ref="AG52:AL52" si="46">1-SUM(AG50:AG51,AG53)</f>
        <v>9.2393420549441441E-2</v>
      </c>
      <c r="AH52" s="187">
        <f t="shared" si="46"/>
        <v>9.4625336127049597E-2</v>
      </c>
      <c r="AI52" s="187">
        <f t="shared" si="46"/>
        <v>9.6972251704657841E-2</v>
      </c>
      <c r="AJ52" s="187">
        <f t="shared" si="46"/>
        <v>9.9434167282266062E-2</v>
      </c>
      <c r="AK52" s="187">
        <f t="shared" si="46"/>
        <v>0.10201108285987426</v>
      </c>
      <c r="AL52" s="187">
        <f t="shared" si="46"/>
        <v>0.10470299843748243</v>
      </c>
      <c r="AM52" s="187">
        <f>1-SUM(AM50:AM51,AM53)</f>
        <v>0.10750991401509069</v>
      </c>
      <c r="AN52" s="187">
        <f>1-SUM(AN50:AN51,AN53)</f>
        <v>0.11043182959269893</v>
      </c>
      <c r="AO52" s="14"/>
    </row>
    <row r="53" spans="1:42" ht="15" customHeight="1" outlineLevel="1">
      <c r="A53" s="96"/>
      <c r="B53"/>
      <c r="C53"/>
      <c r="D53" s="265"/>
      <c r="E53" s="73" t="s">
        <v>519</v>
      </c>
      <c r="F53" s="3"/>
      <c r="G53" s="167"/>
      <c r="H53" s="167"/>
      <c r="I53" s="167"/>
      <c r="J53" s="167"/>
      <c r="K53" s="167"/>
      <c r="L53" s="240"/>
      <c r="M53" s="240"/>
      <c r="N53" s="240"/>
      <c r="O53" s="240"/>
      <c r="P53" s="240"/>
      <c r="Q53" s="240"/>
      <c r="R53" s="240"/>
      <c r="S53" s="240"/>
      <c r="T53" s="240"/>
      <c r="U53" s="240"/>
      <c r="V53" s="240"/>
      <c r="W53" s="240"/>
      <c r="X53" s="240"/>
      <c r="Y53" s="240"/>
      <c r="Z53" s="187">
        <f t="shared" ref="Z53:AF53" si="47">Z47/Z48</f>
        <v>3.8893456545177961E-3</v>
      </c>
      <c r="AA53" s="187">
        <f t="shared" si="47"/>
        <v>5.3742875117364954E-3</v>
      </c>
      <c r="AB53" s="187">
        <f t="shared" si="47"/>
        <v>6.9349418440858047E-3</v>
      </c>
      <c r="AC53" s="187">
        <f t="shared" si="47"/>
        <v>9.0832460500706938E-3</v>
      </c>
      <c r="AD53" s="187">
        <f t="shared" si="47"/>
        <v>1.1559057927232323E-2</v>
      </c>
      <c r="AE53" s="187">
        <f t="shared" si="47"/>
        <v>1.3175410605774597E-2</v>
      </c>
      <c r="AF53" s="187">
        <f t="shared" si="47"/>
        <v>1.4673495028166388E-2</v>
      </c>
      <c r="AG53" s="243">
        <f t="shared" ref="AG53:AN53" si="48">AF53+AG54/10000</f>
        <v>1.6056579450558179E-2</v>
      </c>
      <c r="AH53" s="243">
        <f t="shared" si="48"/>
        <v>1.732466387294997E-2</v>
      </c>
      <c r="AI53" s="243">
        <f t="shared" si="48"/>
        <v>1.847774829534176E-2</v>
      </c>
      <c r="AJ53" s="243">
        <f t="shared" si="48"/>
        <v>1.951583271773355E-2</v>
      </c>
      <c r="AK53" s="243">
        <f t="shared" si="48"/>
        <v>2.0438917140125339E-2</v>
      </c>
      <c r="AL53" s="243">
        <f t="shared" si="48"/>
        <v>2.1247001562517128E-2</v>
      </c>
      <c r="AM53" s="243">
        <f t="shared" si="48"/>
        <v>2.1940085984908916E-2</v>
      </c>
      <c r="AN53" s="243">
        <f t="shared" si="48"/>
        <v>2.2518170407300708E-2</v>
      </c>
      <c r="AO53" s="14"/>
    </row>
    <row r="54" spans="1:42" ht="15" customHeight="1" outlineLevel="1">
      <c r="A54" s="96"/>
      <c r="B54"/>
      <c r="C54"/>
      <c r="D54" s="266"/>
      <c r="E54" s="69" t="s">
        <v>526</v>
      </c>
      <c r="F54" s="3"/>
      <c r="G54" s="167"/>
      <c r="H54" s="167"/>
      <c r="I54" s="167"/>
      <c r="J54" s="167"/>
      <c r="K54" s="167"/>
      <c r="L54" s="241"/>
      <c r="M54" s="241"/>
      <c r="N54" s="241"/>
      <c r="O54" s="241"/>
      <c r="P54" s="241"/>
      <c r="Q54" s="241"/>
      <c r="R54" s="241"/>
      <c r="S54" s="241"/>
      <c r="T54" s="241"/>
      <c r="U54" s="241"/>
      <c r="V54" s="241"/>
      <c r="W54" s="241"/>
      <c r="X54" s="241"/>
      <c r="Y54" s="241"/>
      <c r="Z54" s="241"/>
      <c r="AA54" s="241">
        <f t="shared" ref="AA54:AF54" si="49">(AA53-Z53)*10000</f>
        <v>14.849418572186993</v>
      </c>
      <c r="AB54" s="241">
        <f t="shared" si="49"/>
        <v>15.606543323493094</v>
      </c>
      <c r="AC54" s="241">
        <f t="shared" si="49"/>
        <v>21.483042059848891</v>
      </c>
      <c r="AD54" s="241">
        <f t="shared" si="49"/>
        <v>24.758118771616296</v>
      </c>
      <c r="AE54" s="241">
        <f t="shared" si="49"/>
        <v>16.163526785422743</v>
      </c>
      <c r="AF54" s="241">
        <f t="shared" si="49"/>
        <v>14.980844223917902</v>
      </c>
      <c r="AG54" s="242">
        <f>AF54-1.15</f>
        <v>13.830844223917902</v>
      </c>
      <c r="AH54" s="242">
        <f t="shared" ref="AH54:AN54" si="50">AG54-1.15</f>
        <v>12.680844223917902</v>
      </c>
      <c r="AI54" s="242">
        <f t="shared" si="50"/>
        <v>11.530844223917901</v>
      </c>
      <c r="AJ54" s="242">
        <f t="shared" si="50"/>
        <v>10.380844223917901</v>
      </c>
      <c r="AK54" s="242">
        <f t="shared" si="50"/>
        <v>9.2308442239179005</v>
      </c>
      <c r="AL54" s="242">
        <f t="shared" si="50"/>
        <v>8.0808442239179001</v>
      </c>
      <c r="AM54" s="242">
        <f t="shared" si="50"/>
        <v>6.9308442239178998</v>
      </c>
      <c r="AN54" s="242">
        <f t="shared" si="50"/>
        <v>5.7808442239178994</v>
      </c>
    </row>
    <row r="55" spans="1:42" ht="15" customHeight="1" outlineLevel="1">
      <c r="A55" s="96"/>
      <c r="B55"/>
      <c r="C55"/>
      <c r="D55" s="265"/>
      <c r="E55" s="73"/>
      <c r="F55" s="3"/>
      <c r="G55" s="167"/>
      <c r="H55" s="167"/>
      <c r="I55" s="167"/>
      <c r="J55" s="167"/>
      <c r="K55" s="167"/>
      <c r="L55" s="240"/>
      <c r="M55" s="240"/>
      <c r="N55" s="240"/>
      <c r="O55" s="240"/>
      <c r="P55" s="240"/>
      <c r="Q55" s="240"/>
      <c r="R55" s="240"/>
      <c r="S55" s="240"/>
      <c r="T55" s="240"/>
      <c r="U55" s="240"/>
      <c r="V55" s="240"/>
      <c r="W55" s="240"/>
      <c r="X55" s="240"/>
      <c r="Y55" s="240"/>
      <c r="Z55" s="240"/>
      <c r="AA55" s="214"/>
      <c r="AB55" s="214"/>
      <c r="AC55" s="214"/>
      <c r="AD55" s="214"/>
      <c r="AE55" s="214"/>
      <c r="AF55" s="214"/>
      <c r="AG55" s="214"/>
      <c r="AH55" s="214"/>
      <c r="AI55" s="214"/>
      <c r="AJ55" s="214"/>
      <c r="AK55" s="214"/>
      <c r="AL55" s="214"/>
      <c r="AM55" s="7"/>
    </row>
    <row r="56" spans="1:42" ht="15" customHeight="1" outlineLevel="1">
      <c r="A56" s="96"/>
      <c r="B56" s="96" t="s">
        <v>520</v>
      </c>
      <c r="C56"/>
      <c r="D56" s="262"/>
      <c r="E56" s="185" t="s">
        <v>520</v>
      </c>
      <c r="F56" s="3"/>
      <c r="G56" s="167"/>
      <c r="H56" s="167"/>
      <c r="I56" s="167"/>
      <c r="J56" s="167"/>
      <c r="K56" s="167"/>
      <c r="L56" s="68"/>
      <c r="M56" s="68"/>
      <c r="N56" s="68"/>
      <c r="O56" s="68"/>
      <c r="P56" s="68"/>
      <c r="Q56" s="68"/>
      <c r="R56" s="68"/>
      <c r="S56" s="68"/>
      <c r="T56" s="68"/>
      <c r="U56" s="68"/>
      <c r="V56" s="68"/>
      <c r="W56" s="68"/>
      <c r="X56" s="68"/>
      <c r="Y56" s="68"/>
      <c r="Z56" s="68">
        <f>AVERAGE(INDEX(QRT!$1:$1048576,MATCH(Model!$B56,QRT!$A:$A,0),MATCH(Model!Z$3,QRT!$4:$4,0)),INDEX(QRT!$1:$1048576,MATCH(Model!$B56,QRT!$A:$A,0),MATCH(Model!Z$3,QRT!$4:$4,0)+1),INDEX(QRT!$1:$1048576,MATCH(Model!$B56,QRT!$A:$A,0),MATCH(Model!Z$3,QRT!$4:$4,0)+2),INDEX(QRT!$1:$1048576,MATCH(Model!$B56,QRT!$A:$A,0),MATCH(Model!Z$3,QRT!$4:$4,0)+3))</f>
        <v>247.111885870686</v>
      </c>
      <c r="AA56" s="68">
        <f>AVERAGE(INDEX(QRT!$1:$1048576,MATCH(Model!$B56,QRT!$A:$A,0),MATCH(Model!AA$3,QRT!$4:$4,0)),INDEX(QRT!$1:$1048576,MATCH(Model!$B56,QRT!$A:$A,0),MATCH(Model!AA$3,QRT!$4:$4,0)+1),INDEX(QRT!$1:$1048576,MATCH(Model!$B56,QRT!$A:$A,0),MATCH(Model!AA$3,QRT!$4:$4,0)+2),INDEX(QRT!$1:$1048576,MATCH(Model!$B56,QRT!$A:$A,0),MATCH(Model!AA$3,QRT!$4:$4,0)+3))</f>
        <v>256.76619144449808</v>
      </c>
      <c r="AB56" s="68">
        <f>AVERAGE(INDEX(QRT!$1:$1048576,MATCH(Model!$B56,QRT!$A:$A,0),MATCH(Model!AB$3,QRT!$4:$4,0)),INDEX(QRT!$1:$1048576,MATCH(Model!$B56,QRT!$A:$A,0),MATCH(Model!AB$3,QRT!$4:$4,0)+1),INDEX(QRT!$1:$1048576,MATCH(Model!$B56,QRT!$A:$A,0),MATCH(Model!AB$3,QRT!$4:$4,0)+2),INDEX(QRT!$1:$1048576,MATCH(Model!$B56,QRT!$A:$A,0),MATCH(Model!AB$3,QRT!$4:$4,0)+3))</f>
        <v>268.25168690556166</v>
      </c>
      <c r="AC56" s="68">
        <f>AVERAGE(INDEX(QRT!$1:$1048576,MATCH(Model!$B56,QRT!$A:$A,0),MATCH(Model!AC$3,QRT!$4:$4,0)),INDEX(QRT!$1:$1048576,MATCH(Model!$B56,QRT!$A:$A,0),MATCH(Model!AC$3,QRT!$4:$4,0)+1),INDEX(QRT!$1:$1048576,MATCH(Model!$B56,QRT!$A:$A,0),MATCH(Model!AC$3,QRT!$4:$4,0)+2),INDEX(QRT!$1:$1048576,MATCH(Model!$B56,QRT!$A:$A,0),MATCH(Model!AC$3,QRT!$4:$4,0)+3))</f>
        <v>280.25094395355376</v>
      </c>
      <c r="AD56" s="68">
        <f>AVERAGE(INDEX(QRT!$1:$1048576,MATCH(Model!$B56,QRT!$A:$A,0),MATCH(Model!AD$3,QRT!$4:$4,0)),INDEX(QRT!$1:$1048576,MATCH(Model!$B56,QRT!$A:$A,0),MATCH(Model!AD$3,QRT!$4:$4,0)+1),INDEX(QRT!$1:$1048576,MATCH(Model!$B56,QRT!$A:$A,0),MATCH(Model!AD$3,QRT!$4:$4,0)+2),INDEX(QRT!$1:$1048576,MATCH(Model!$B56,QRT!$A:$A,0),MATCH(Model!AD$3,QRT!$4:$4,0)+3))</f>
        <v>290.27612889</v>
      </c>
      <c r="AE56" s="68">
        <f>AVERAGE(INDEX(QRT!$1:$1048576,MATCH(Model!$B56,QRT!$A:$A,0),MATCH(Model!AE$3,QRT!$4:$4,0)),INDEX(QRT!$1:$1048576,MATCH(Model!$B56,QRT!$A:$A,0),MATCH(Model!AE$3,QRT!$4:$4,0)+1),INDEX(QRT!$1:$1048576,MATCH(Model!$B56,QRT!$A:$A,0),MATCH(Model!AE$3,QRT!$4:$4,0)+2),INDEX(QRT!$1:$1048576,MATCH(Model!$B56,QRT!$A:$A,0),MATCH(Model!AE$3,QRT!$4:$4,0)+3))</f>
        <v>296.67848501436868</v>
      </c>
      <c r="AF56" s="68">
        <f>AVERAGE(INDEX(QRT!$1:$1048576,MATCH(Model!$B56,QRT!$A:$A,0),MATCH(Model!AF$3,QRT!$4:$4,0)),INDEX(QRT!$1:$1048576,MATCH(Model!$B56,QRT!$A:$A,0),MATCH(Model!AF$3,QRT!$4:$4,0)+1),INDEX(QRT!$1:$1048576,MATCH(Model!$B56,QRT!$A:$A,0),MATCH(Model!AF$3,QRT!$4:$4,0)+2),INDEX(QRT!$1:$1048576,MATCH(Model!$B56,QRT!$A:$A,0),MATCH(Model!AF$3,QRT!$4:$4,0)+3))</f>
        <v>303.25945654072615</v>
      </c>
      <c r="AG56" s="214">
        <f>AF56*(1+AG62)</f>
        <v>310.21385286505966</v>
      </c>
      <c r="AH56" s="214">
        <f t="shared" ref="AH56:AN56" si="51">AG56*(1+AH62)</f>
        <v>317.56038895286787</v>
      </c>
      <c r="AI56" s="214">
        <f t="shared" si="51"/>
        <v>325.31907722259649</v>
      </c>
      <c r="AJ56" s="214">
        <f t="shared" si="51"/>
        <v>333.51131636321065</v>
      </c>
      <c r="AK56" s="214">
        <f t="shared" si="51"/>
        <v>341.90985383317576</v>
      </c>
      <c r="AL56" s="214">
        <f t="shared" si="51"/>
        <v>350.26345228097779</v>
      </c>
      <c r="AM56" s="214">
        <f t="shared" si="51"/>
        <v>358.55844964701038</v>
      </c>
      <c r="AN56" s="214">
        <f t="shared" si="51"/>
        <v>366.78097168384261</v>
      </c>
    </row>
    <row r="57" spans="1:42" ht="15" customHeight="1" outlineLevel="1">
      <c r="A57" s="96"/>
      <c r="B57" s="96" t="s">
        <v>521</v>
      </c>
      <c r="C57"/>
      <c r="D57" s="262"/>
      <c r="E57" s="185" t="s">
        <v>521</v>
      </c>
      <c r="F57" s="3"/>
      <c r="G57" s="167"/>
      <c r="H57" s="167"/>
      <c r="I57" s="167"/>
      <c r="J57" s="167"/>
      <c r="K57" s="167"/>
      <c r="L57" s="68"/>
      <c r="M57" s="68"/>
      <c r="N57" s="68"/>
      <c r="O57" s="68"/>
      <c r="P57" s="68"/>
      <c r="Q57" s="68"/>
      <c r="R57" s="68"/>
      <c r="S57" s="68"/>
      <c r="T57" s="68"/>
      <c r="U57" s="68"/>
      <c r="V57" s="68"/>
      <c r="W57" s="68"/>
      <c r="X57" s="68"/>
      <c r="Y57" s="68"/>
      <c r="Z57" s="68">
        <f>AVERAGE(INDEX(QRT!$1:$1048576,MATCH(Model!$B57,QRT!$A:$A,0),MATCH(Model!Z$3,QRT!$4:$4,0)),INDEX(QRT!$1:$1048576,MATCH(Model!$B57,QRT!$A:$A,0),MATCH(Model!Z$3,QRT!$4:$4,0)+1),INDEX(QRT!$1:$1048576,MATCH(Model!$B57,QRT!$A:$A,0),MATCH(Model!Z$3,QRT!$4:$4,0)+2),INDEX(QRT!$1:$1048576,MATCH(Model!$B57,QRT!$A:$A,0),MATCH(Model!Z$3,QRT!$4:$4,0)+3))</f>
        <v>2574.0821444863127</v>
      </c>
      <c r="AA57" s="68">
        <f>AVERAGE(INDEX(QRT!$1:$1048576,MATCH(Model!$B57,QRT!$A:$A,0),MATCH(Model!AA$3,QRT!$4:$4,0)),INDEX(QRT!$1:$1048576,MATCH(Model!$B57,QRT!$A:$A,0),MATCH(Model!AA$3,QRT!$4:$4,0)+1),INDEX(QRT!$1:$1048576,MATCH(Model!$B57,QRT!$A:$A,0),MATCH(Model!AA$3,QRT!$4:$4,0)+2),INDEX(QRT!$1:$1048576,MATCH(Model!$B57,QRT!$A:$A,0),MATCH(Model!AA$3,QRT!$4:$4,0)+3))</f>
        <v>2674.6478275468553</v>
      </c>
      <c r="AB57" s="68">
        <f>AVERAGE(INDEX(QRT!$1:$1048576,MATCH(Model!$B57,QRT!$A:$A,0),MATCH(Model!AB$3,QRT!$4:$4,0)),INDEX(QRT!$1:$1048576,MATCH(Model!$B57,QRT!$A:$A,0),MATCH(Model!AB$3,QRT!$4:$4,0)+1),INDEX(QRT!$1:$1048576,MATCH(Model!$B57,QRT!$A:$A,0),MATCH(Model!AB$3,QRT!$4:$4,0)+2),INDEX(QRT!$1:$1048576,MATCH(Model!$B57,QRT!$A:$A,0),MATCH(Model!AB$3,QRT!$4:$4,0)+3))</f>
        <v>2794.2884052662675</v>
      </c>
      <c r="AC57" s="68">
        <f>AVERAGE(INDEX(QRT!$1:$1048576,MATCH(Model!$B57,QRT!$A:$A,0),MATCH(Model!AC$3,QRT!$4:$4,0)),INDEX(QRT!$1:$1048576,MATCH(Model!$B57,QRT!$A:$A,0),MATCH(Model!AC$3,QRT!$4:$4,0)+1),INDEX(QRT!$1:$1048576,MATCH(Model!$B57,QRT!$A:$A,0),MATCH(Model!AC$3,QRT!$4:$4,0)+2),INDEX(QRT!$1:$1048576,MATCH(Model!$B57,QRT!$A:$A,0),MATCH(Model!AC$3,QRT!$4:$4,0)+3))</f>
        <v>2919.2806661828513</v>
      </c>
      <c r="AD57" s="68">
        <f>AVERAGE(INDEX(QRT!$1:$1048576,MATCH(Model!$B57,QRT!$A:$A,0),MATCH(Model!AD$3,QRT!$4:$4,0)),INDEX(QRT!$1:$1048576,MATCH(Model!$B57,QRT!$A:$A,0),MATCH(Model!AD$3,QRT!$4:$4,0)+1),INDEX(QRT!$1:$1048576,MATCH(Model!$B57,QRT!$A:$A,0),MATCH(Model!AD$3,QRT!$4:$4,0)+2),INDEX(QRT!$1:$1048576,MATCH(Model!$B57,QRT!$A:$A,0),MATCH(Model!AD$3,QRT!$4:$4,0)+3))</f>
        <v>3023.7096759374999</v>
      </c>
      <c r="AE57" s="68">
        <f>AVERAGE(INDEX(QRT!$1:$1048576,MATCH(Model!$B57,QRT!$A:$A,0),MATCH(Model!AE$3,QRT!$4:$4,0)),INDEX(QRT!$1:$1048576,MATCH(Model!$B57,QRT!$A:$A,0),MATCH(Model!AE$3,QRT!$4:$4,0)+1),INDEX(QRT!$1:$1048576,MATCH(Model!$B57,QRT!$A:$A,0),MATCH(Model!AE$3,QRT!$4:$4,0)+2),INDEX(QRT!$1:$1048576,MATCH(Model!$B57,QRT!$A:$A,0),MATCH(Model!AE$3,QRT!$4:$4,0)+3))</f>
        <v>3090.4008855663396</v>
      </c>
      <c r="AF57" s="68">
        <f>AVERAGE(INDEX(QRT!$1:$1048576,MATCH(Model!$B57,QRT!$A:$A,0),MATCH(Model!AF$3,QRT!$4:$4,0)),INDEX(QRT!$1:$1048576,MATCH(Model!$B57,QRT!$A:$A,0),MATCH(Model!AF$3,QRT!$4:$4,0)+1),INDEX(QRT!$1:$1048576,MATCH(Model!$B57,QRT!$A:$A,0),MATCH(Model!AF$3,QRT!$4:$4,0)+2),INDEX(QRT!$1:$1048576,MATCH(Model!$B57,QRT!$A:$A,0),MATCH(Model!AF$3,QRT!$4:$4,0)+3))</f>
        <v>3158.9526722992291</v>
      </c>
      <c r="AG57" s="214">
        <f t="shared" ref="AG57:AN57" si="52">AF57*(1+AG63)</f>
        <v>3231.3943006777017</v>
      </c>
      <c r="AH57" s="214">
        <f t="shared" si="52"/>
        <v>3307.9207182590358</v>
      </c>
      <c r="AI57" s="214">
        <f t="shared" si="52"/>
        <v>3388.740387735374</v>
      </c>
      <c r="AJ57" s="214">
        <f t="shared" si="52"/>
        <v>3474.07621211677</v>
      </c>
      <c r="AK57" s="214">
        <f t="shared" si="52"/>
        <v>3561.5609774289051</v>
      </c>
      <c r="AL57" s="214">
        <f t="shared" si="52"/>
        <v>3648.5776279268412</v>
      </c>
      <c r="AM57" s="214">
        <f t="shared" si="52"/>
        <v>3734.9838504896788</v>
      </c>
      <c r="AN57" s="214">
        <f t="shared" si="52"/>
        <v>3820.6351217066795</v>
      </c>
    </row>
    <row r="58" spans="1:42" ht="15" customHeight="1" outlineLevel="1">
      <c r="B58" s="96" t="s">
        <v>522</v>
      </c>
      <c r="C58"/>
      <c r="D58" s="262"/>
      <c r="E58" s="185" t="s">
        <v>522</v>
      </c>
      <c r="G58" s="1"/>
      <c r="H58" s="1"/>
      <c r="I58" s="1"/>
      <c r="J58" s="1"/>
      <c r="K58" s="1"/>
      <c r="L58" s="68"/>
      <c r="M58" s="68"/>
      <c r="N58" s="68"/>
      <c r="O58" s="68"/>
      <c r="P58" s="68"/>
      <c r="Q58" s="68"/>
      <c r="R58" s="68"/>
      <c r="S58" s="68"/>
      <c r="T58" s="68"/>
      <c r="U58" s="68"/>
      <c r="V58" s="68"/>
      <c r="W58" s="68"/>
      <c r="X58" s="68"/>
      <c r="Y58" s="68"/>
      <c r="Z58" s="68">
        <f>AVERAGE(INDEX(QRT!$1:$1048576,MATCH(Model!$B58,QRT!$A:$A,0),MATCH(Model!Z$3,QRT!$4:$4,0)),INDEX(QRT!$1:$1048576,MATCH(Model!$B58,QRT!$A:$A,0),MATCH(Model!Z$3,QRT!$4:$4,0)+1),INDEX(QRT!$1:$1048576,MATCH(Model!$B58,QRT!$A:$A,0),MATCH(Model!Z$3,QRT!$4:$4,0)+2),INDEX(QRT!$1:$1048576,MATCH(Model!$B58,QRT!$A:$A,0),MATCH(Model!Z$3,QRT!$4:$4,0)+3))</f>
        <v>18876.602392899629</v>
      </c>
      <c r="AA58" s="68">
        <f>AVERAGE(INDEX(QRT!$1:$1048576,MATCH(Model!$B58,QRT!$A:$A,0),MATCH(Model!AA$3,QRT!$4:$4,0)),INDEX(QRT!$1:$1048576,MATCH(Model!$B58,QRT!$A:$A,0),MATCH(Model!AA$3,QRT!$4:$4,0)+1),INDEX(QRT!$1:$1048576,MATCH(Model!$B58,QRT!$A:$A,0),MATCH(Model!AA$3,QRT!$4:$4,0)+2),INDEX(QRT!$1:$1048576,MATCH(Model!$B58,QRT!$A:$A,0),MATCH(Model!AA$3,QRT!$4:$4,0)+3))</f>
        <v>19614.084068676937</v>
      </c>
      <c r="AB58" s="68">
        <f>AVERAGE(INDEX(QRT!$1:$1048576,MATCH(Model!$B58,QRT!$A:$A,0),MATCH(Model!AB$3,QRT!$4:$4,0)),INDEX(QRT!$1:$1048576,MATCH(Model!$B58,QRT!$A:$A,0),MATCH(Model!AB$3,QRT!$4:$4,0)+1),INDEX(QRT!$1:$1048576,MATCH(Model!$B58,QRT!$A:$A,0),MATCH(Model!AB$3,QRT!$4:$4,0)+2),INDEX(QRT!$1:$1048576,MATCH(Model!$B58,QRT!$A:$A,0),MATCH(Model!AB$3,QRT!$4:$4,0)+3))</f>
        <v>20491.448305285961</v>
      </c>
      <c r="AC58" s="68">
        <f>AVERAGE(INDEX(QRT!$1:$1048576,MATCH(Model!$B58,QRT!$A:$A,0),MATCH(Model!AC$3,QRT!$4:$4,0)),INDEX(QRT!$1:$1048576,MATCH(Model!$B58,QRT!$A:$A,0),MATCH(Model!AC$3,QRT!$4:$4,0)+1),INDEX(QRT!$1:$1048576,MATCH(Model!$B58,QRT!$A:$A,0),MATCH(Model!AC$3,QRT!$4:$4,0)+2),INDEX(QRT!$1:$1048576,MATCH(Model!$B58,QRT!$A:$A,0),MATCH(Model!AC$3,QRT!$4:$4,0)+3))</f>
        <v>21408.058218674247</v>
      </c>
      <c r="AD58" s="68">
        <f>AVERAGE(INDEX(QRT!$1:$1048576,MATCH(Model!$B58,QRT!$A:$A,0),MATCH(Model!AD$3,QRT!$4:$4,0)),INDEX(QRT!$1:$1048576,MATCH(Model!$B58,QRT!$A:$A,0),MATCH(Model!AD$3,QRT!$4:$4,0)+1),INDEX(QRT!$1:$1048576,MATCH(Model!$B58,QRT!$A:$A,0),MATCH(Model!AD$3,QRT!$4:$4,0)+2),INDEX(QRT!$1:$1048576,MATCH(Model!$B58,QRT!$A:$A,0),MATCH(Model!AD$3,QRT!$4:$4,0)+3))</f>
        <v>22173.870956874998</v>
      </c>
      <c r="AE58" s="68">
        <f>AVERAGE(INDEX(QRT!$1:$1048576,MATCH(Model!$B58,QRT!$A:$A,0),MATCH(Model!AE$3,QRT!$4:$4,0)),INDEX(QRT!$1:$1048576,MATCH(Model!$B58,QRT!$A:$A,0),MATCH(Model!AE$3,QRT!$4:$4,0)+1),INDEX(QRT!$1:$1048576,MATCH(Model!$B58,QRT!$A:$A,0),MATCH(Model!AE$3,QRT!$4:$4,0)+2),INDEX(QRT!$1:$1048576,MATCH(Model!$B58,QRT!$A:$A,0),MATCH(Model!AE$3,QRT!$4:$4,0)+3))</f>
        <v>22662.939827486491</v>
      </c>
      <c r="AF58" s="68">
        <f>AVERAGE(INDEX(QRT!$1:$1048576,MATCH(Model!$B58,QRT!$A:$A,0),MATCH(Model!AF$3,QRT!$4:$4,0)),INDEX(QRT!$1:$1048576,MATCH(Model!$B58,QRT!$A:$A,0),MATCH(Model!AF$3,QRT!$4:$4,0)+1),INDEX(QRT!$1:$1048576,MATCH(Model!$B58,QRT!$A:$A,0),MATCH(Model!AF$3,QRT!$4:$4,0)+2),INDEX(QRT!$1:$1048576,MATCH(Model!$B58,QRT!$A:$A,0),MATCH(Model!AF$3,QRT!$4:$4,0)+3))</f>
        <v>23165.652930194348</v>
      </c>
      <c r="AG58" s="214">
        <f t="shared" ref="AG58:AN58" si="53">AF58*(1+AG64)</f>
        <v>23696.891538303153</v>
      </c>
      <c r="AH58" s="214">
        <f t="shared" si="53"/>
        <v>24258.085267232942</v>
      </c>
      <c r="AI58" s="214">
        <f t="shared" si="53"/>
        <v>24850.76284339276</v>
      </c>
      <c r="AJ58" s="214">
        <f t="shared" si="53"/>
        <v>25476.558888856332</v>
      </c>
      <c r="AK58" s="214">
        <f t="shared" si="53"/>
        <v>26118.113834478656</v>
      </c>
      <c r="AL58" s="214">
        <f t="shared" si="53"/>
        <v>26756.235938130194</v>
      </c>
      <c r="AM58" s="214">
        <f t="shared" si="53"/>
        <v>27389.881570257679</v>
      </c>
      <c r="AN58" s="214">
        <f t="shared" si="53"/>
        <v>28017.990892515689</v>
      </c>
    </row>
    <row r="59" spans="1:42" ht="15" customHeight="1" outlineLevel="1">
      <c r="B59"/>
      <c r="C59"/>
      <c r="D59" s="262"/>
      <c r="E59" s="185" t="s">
        <v>523</v>
      </c>
      <c r="G59" s="1"/>
      <c r="H59" s="1"/>
      <c r="I59" s="1"/>
      <c r="J59" s="1"/>
      <c r="K59" s="1"/>
      <c r="L59" s="63"/>
      <c r="M59" s="63"/>
      <c r="N59" s="63"/>
      <c r="O59" s="63"/>
      <c r="P59" s="63"/>
      <c r="Q59" s="63"/>
      <c r="R59" s="63"/>
      <c r="S59" s="63"/>
      <c r="T59" s="63"/>
      <c r="U59" s="63"/>
      <c r="V59" s="63"/>
      <c r="W59" s="63"/>
      <c r="X59" s="63"/>
      <c r="Y59" s="63"/>
      <c r="Z59" s="63">
        <f t="shared" ref="Z59:AF59" si="54">(Z7-SUMPRODUCT(Z56:Z58,Z43:Z45)/1000)*1000/Z47</f>
        <v>212265.43848211499</v>
      </c>
      <c r="AA59" s="63">
        <f t="shared" si="54"/>
        <v>261744.44507283848</v>
      </c>
      <c r="AB59" s="63">
        <f t="shared" si="54"/>
        <v>276281.30676983326</v>
      </c>
      <c r="AC59" s="63">
        <f t="shared" si="54"/>
        <v>277089.16645953746</v>
      </c>
      <c r="AD59" s="63">
        <f t="shared" si="54"/>
        <v>304378.62857272051</v>
      </c>
      <c r="AE59" s="63">
        <f t="shared" si="54"/>
        <v>320735.67183607008</v>
      </c>
      <c r="AF59" s="63">
        <f t="shared" si="54"/>
        <v>338295.47359764355</v>
      </c>
      <c r="AG59" s="164">
        <f>AF59*(1+AG65)</f>
        <v>355125.17106252024</v>
      </c>
      <c r="AH59" s="164">
        <f t="shared" ref="AH59:AN59" si="55">AG59*(1+AH65)</f>
        <v>371016.4951299642</v>
      </c>
      <c r="AI59" s="164">
        <f t="shared" si="55"/>
        <v>385763.84987620183</v>
      </c>
      <c r="AJ59" s="164">
        <f t="shared" si="55"/>
        <v>399168.57082536607</v>
      </c>
      <c r="AK59" s="164">
        <f t="shared" si="55"/>
        <v>413039.08592238172</v>
      </c>
      <c r="AL59" s="164">
        <f t="shared" si="55"/>
        <v>427081.80150777102</v>
      </c>
      <c r="AM59" s="164">
        <f t="shared" si="55"/>
        <v>441281.63721942046</v>
      </c>
      <c r="AN59" s="164">
        <f t="shared" si="55"/>
        <v>455622.63515474228</v>
      </c>
    </row>
    <row r="60" spans="1:42" s="3" customFormat="1" ht="15" customHeight="1" outlineLevel="1">
      <c r="A60" s="96"/>
      <c r="D60" s="267"/>
      <c r="E60" s="250" t="s">
        <v>517</v>
      </c>
      <c r="F60" s="193"/>
      <c r="G60" s="258"/>
      <c r="H60" s="258"/>
      <c r="I60" s="258"/>
      <c r="J60" s="258"/>
      <c r="K60" s="258"/>
      <c r="L60" s="208"/>
      <c r="M60" s="208"/>
      <c r="N60" s="208"/>
      <c r="O60" s="208"/>
      <c r="P60" s="208"/>
      <c r="Q60" s="208"/>
      <c r="R60" s="208"/>
      <c r="S60" s="208"/>
      <c r="T60" s="208"/>
      <c r="U60" s="208"/>
      <c r="V60" s="208"/>
      <c r="W60" s="208"/>
      <c r="X60" s="208"/>
      <c r="Y60" s="208"/>
      <c r="Z60" s="208">
        <f t="shared" ref="Z60:AF60" si="56">Z7*1000/Z48</f>
        <v>2845.7308277413736</v>
      </c>
      <c r="AA60" s="208">
        <f t="shared" si="56"/>
        <v>3629.5029416320767</v>
      </c>
      <c r="AB60" s="208">
        <f t="shared" si="56"/>
        <v>4337.133255523805</v>
      </c>
      <c r="AC60" s="208">
        <f t="shared" si="56"/>
        <v>5064.751642950695</v>
      </c>
      <c r="AD60" s="208">
        <f t="shared" si="56"/>
        <v>6211.1862940154997</v>
      </c>
      <c r="AE60" s="208">
        <f t="shared" si="56"/>
        <v>7030.4834673138785</v>
      </c>
      <c r="AF60" s="208">
        <f t="shared" si="56"/>
        <v>7877.3011603896875</v>
      </c>
      <c r="AG60" s="210">
        <f>(SUMPRODUCT(AG56:AG58,AG43:AG45)+AG59*AG47)/AG48</f>
        <v>8738.6100916510186</v>
      </c>
      <c r="AH60" s="210">
        <f t="shared" ref="AH60:AN60" si="57">(SUMPRODUCT(AH56:AH58,AH43:AH45)+AH59*AH47)/AH48</f>
        <v>9596.6683182035122</v>
      </c>
      <c r="AI60" s="210">
        <f t="shared" si="57"/>
        <v>10439.246027209661</v>
      </c>
      <c r="AJ60" s="210">
        <f t="shared" si="57"/>
        <v>11254.094178876292</v>
      </c>
      <c r="AK60" s="210">
        <f t="shared" si="57"/>
        <v>12067.446095218807</v>
      </c>
      <c r="AL60" s="210">
        <f t="shared" si="57"/>
        <v>12867.203289746596</v>
      </c>
      <c r="AM60" s="210">
        <f t="shared" si="57"/>
        <v>13648.646196794805</v>
      </c>
      <c r="AN60" s="210">
        <f t="shared" si="57"/>
        <v>14406.863740233302</v>
      </c>
      <c r="AP60" s="319">
        <f>(AL60/AC60)^(1/9)-1</f>
        <v>0.10915381855970674</v>
      </c>
    </row>
    <row r="61" spans="1:42" ht="15" customHeight="1" outlineLevel="1">
      <c r="A61" s="96"/>
      <c r="B61"/>
      <c r="C61"/>
      <c r="D61" s="266"/>
      <c r="E61" s="69" t="s">
        <v>524</v>
      </c>
      <c r="F61" s="3"/>
      <c r="G61" s="167"/>
      <c r="H61" s="167"/>
      <c r="I61" s="167"/>
      <c r="J61" s="167"/>
      <c r="K61" s="167"/>
      <c r="L61" s="167"/>
      <c r="M61" s="167"/>
      <c r="N61" s="167"/>
      <c r="O61" s="167"/>
      <c r="P61" s="167"/>
      <c r="Q61" s="167"/>
      <c r="R61" s="167"/>
      <c r="S61" s="167"/>
      <c r="T61" s="167"/>
      <c r="U61" s="167"/>
      <c r="V61" s="167"/>
      <c r="W61" s="167"/>
      <c r="X61" s="167"/>
      <c r="Y61" s="167"/>
      <c r="Z61" s="167"/>
      <c r="AA61" s="167">
        <f>IFERROR(AA60/Z60-1,"na")</f>
        <v>0.27542032656432758</v>
      </c>
      <c r="AB61" s="167">
        <f>IFERROR(AB60/AA60-1,"na")</f>
        <v>0.19496617726214827</v>
      </c>
      <c r="AC61" s="167">
        <f>IFERROR(AC60/AB60-1,"na")</f>
        <v>0.16776482172877438</v>
      </c>
      <c r="AD61" s="167">
        <f>IFERROR(AD60/AC60-1,"na")</f>
        <v>0.22635555144356467</v>
      </c>
      <c r="AE61" s="167">
        <f t="shared" ref="AE61:AN61" si="58">IFERROR(AE60/AD60-1,"na")</f>
        <v>0.13190671387328612</v>
      </c>
      <c r="AF61" s="167">
        <f t="shared" si="58"/>
        <v>0.12044942527961755</v>
      </c>
      <c r="AG61" s="167">
        <f t="shared" si="58"/>
        <v>0.10934061218737545</v>
      </c>
      <c r="AH61" s="167">
        <f t="shared" si="58"/>
        <v>9.8191613718100701E-2</v>
      </c>
      <c r="AI61" s="167">
        <f t="shared" si="58"/>
        <v>8.7798982007943227E-2</v>
      </c>
      <c r="AJ61" s="167">
        <f t="shared" si="58"/>
        <v>7.8056226430792686E-2</v>
      </c>
      <c r="AK61" s="167">
        <f t="shared" si="58"/>
        <v>7.2271646515022159E-2</v>
      </c>
      <c r="AL61" s="167">
        <f t="shared" si="58"/>
        <v>6.6273939673503701E-2</v>
      </c>
      <c r="AM61" s="167">
        <f t="shared" si="58"/>
        <v>6.0731371802519973E-2</v>
      </c>
      <c r="AN61" s="167">
        <f t="shared" si="58"/>
        <v>5.5552582469062362E-2</v>
      </c>
      <c r="AP61" s="7"/>
    </row>
    <row r="62" spans="1:42" ht="15" customHeight="1" outlineLevel="1">
      <c r="A62" s="96"/>
      <c r="B62"/>
      <c r="C62"/>
      <c r="D62" s="266"/>
      <c r="E62" s="69" t="str">
        <f>E56&amp;", Growth"</f>
        <v>Pro ARPU, Growth</v>
      </c>
      <c r="F62" s="3"/>
      <c r="G62" s="167"/>
      <c r="H62" s="167"/>
      <c r="I62" s="167"/>
      <c r="J62" s="167"/>
      <c r="K62" s="167"/>
      <c r="L62" s="167"/>
      <c r="M62" s="167"/>
      <c r="N62" s="167"/>
      <c r="O62" s="167"/>
      <c r="P62" s="167"/>
      <c r="Q62" s="167"/>
      <c r="R62" s="167"/>
      <c r="S62" s="167"/>
      <c r="T62" s="167"/>
      <c r="U62" s="167"/>
      <c r="V62" s="167"/>
      <c r="W62" s="167"/>
      <c r="X62" s="167"/>
      <c r="Y62" s="167"/>
      <c r="Z62" s="167"/>
      <c r="AA62" s="167">
        <f t="shared" ref="AA62:AF62" si="59">AA56/Z56-1</f>
        <v>3.9068560137427655E-2</v>
      </c>
      <c r="AB62" s="167">
        <f t="shared" si="59"/>
        <v>4.4731338640999541E-2</v>
      </c>
      <c r="AC62" s="167">
        <f t="shared" si="59"/>
        <v>4.4731338640999763E-2</v>
      </c>
      <c r="AD62" s="167">
        <f t="shared" si="59"/>
        <v>3.577217187931292E-2</v>
      </c>
      <c r="AE62" s="167">
        <f t="shared" si="59"/>
        <v>2.2056088968979148E-2</v>
      </c>
      <c r="AF62" s="167">
        <f t="shared" si="59"/>
        <v>2.2182166415062987E-2</v>
      </c>
      <c r="AG62" s="66">
        <f>AF62+0.00075</f>
        <v>2.2932166415062988E-2</v>
      </c>
      <c r="AH62" s="66">
        <f>AG62+0.00075</f>
        <v>2.3682166415062988E-2</v>
      </c>
      <c r="AI62" s="66">
        <f>AH62+0.00075</f>
        <v>2.4432166415062989E-2</v>
      </c>
      <c r="AJ62" s="66">
        <f>AI62+0.00075</f>
        <v>2.518216641506299E-2</v>
      </c>
      <c r="AK62" s="66">
        <f>AJ62</f>
        <v>2.518216641506299E-2</v>
      </c>
      <c r="AL62" s="66">
        <f t="shared" ref="AL62:AN65" si="60">AK62-0.00075</f>
        <v>2.4432166415062989E-2</v>
      </c>
      <c r="AM62" s="66">
        <f t="shared" si="60"/>
        <v>2.3682166415062988E-2</v>
      </c>
      <c r="AN62" s="66">
        <f t="shared" si="60"/>
        <v>2.2932166415062988E-2</v>
      </c>
    </row>
    <row r="63" spans="1:42" ht="15" customHeight="1" outlineLevel="1">
      <c r="A63" s="96"/>
      <c r="B63"/>
      <c r="C63"/>
      <c r="D63" s="266"/>
      <c r="E63" s="69" t="str">
        <f>E57&amp;", Growth"</f>
        <v>Business ARPU, Growth</v>
      </c>
      <c r="F63" s="3"/>
      <c r="G63" s="167"/>
      <c r="H63" s="167"/>
      <c r="I63" s="167"/>
      <c r="J63" s="167"/>
      <c r="K63" s="167"/>
      <c r="L63" s="167"/>
      <c r="M63" s="167"/>
      <c r="N63" s="167"/>
      <c r="O63" s="167"/>
      <c r="P63" s="167"/>
      <c r="Q63" s="167"/>
      <c r="R63" s="167"/>
      <c r="S63" s="167"/>
      <c r="T63" s="167"/>
      <c r="U63" s="167"/>
      <c r="V63" s="167"/>
      <c r="W63" s="167"/>
      <c r="X63" s="167"/>
      <c r="Y63" s="167"/>
      <c r="Z63" s="167"/>
      <c r="AA63" s="167">
        <f t="shared" ref="AA63:AF63" si="61">AA57/Z57-1</f>
        <v>3.9068560137427877E-2</v>
      </c>
      <c r="AB63" s="167">
        <f t="shared" si="61"/>
        <v>4.4731338640999541E-2</v>
      </c>
      <c r="AC63" s="167">
        <f t="shared" si="61"/>
        <v>4.4731338640999541E-2</v>
      </c>
      <c r="AD63" s="167">
        <f t="shared" si="61"/>
        <v>3.5772171879313142E-2</v>
      </c>
      <c r="AE63" s="167">
        <f t="shared" si="61"/>
        <v>2.2056088968978926E-2</v>
      </c>
      <c r="AF63" s="167">
        <f t="shared" si="61"/>
        <v>2.2182166415062543E-2</v>
      </c>
      <c r="AG63" s="66">
        <f t="shared" ref="AG63:AJ63" si="62">AF63+0.00075</f>
        <v>2.2932166415062544E-2</v>
      </c>
      <c r="AH63" s="66">
        <f t="shared" si="62"/>
        <v>2.3682166415062544E-2</v>
      </c>
      <c r="AI63" s="66">
        <f t="shared" si="62"/>
        <v>2.4432166415062545E-2</v>
      </c>
      <c r="AJ63" s="66">
        <f t="shared" si="62"/>
        <v>2.5182166415062546E-2</v>
      </c>
      <c r="AK63" s="66">
        <f>AJ63</f>
        <v>2.5182166415062546E-2</v>
      </c>
      <c r="AL63" s="66">
        <f t="shared" si="60"/>
        <v>2.4432166415062545E-2</v>
      </c>
      <c r="AM63" s="66">
        <f t="shared" si="60"/>
        <v>2.3682166415062544E-2</v>
      </c>
      <c r="AN63" s="66">
        <f t="shared" si="60"/>
        <v>2.2932166415062544E-2</v>
      </c>
    </row>
    <row r="64" spans="1:42" ht="15" customHeight="1" outlineLevel="1">
      <c r="A64" s="96"/>
      <c r="B64"/>
      <c r="C64"/>
      <c r="D64" s="266"/>
      <c r="E64" s="69" t="str">
        <f>E58&amp;", Growth"</f>
        <v>Enterprise customers, &lt;$100k ARPU, Growth</v>
      </c>
      <c r="F64" s="3"/>
      <c r="G64" s="167"/>
      <c r="H64" s="167"/>
      <c r="I64" s="167"/>
      <c r="J64" s="167"/>
      <c r="K64" s="167"/>
      <c r="L64" s="167"/>
      <c r="M64" s="167"/>
      <c r="N64" s="167"/>
      <c r="O64" s="167"/>
      <c r="P64" s="167"/>
      <c r="Q64" s="167"/>
      <c r="R64" s="167"/>
      <c r="S64" s="167"/>
      <c r="T64" s="167"/>
      <c r="U64" s="167"/>
      <c r="V64" s="167"/>
      <c r="W64" s="167"/>
      <c r="X64" s="167"/>
      <c r="Y64" s="167"/>
      <c r="Z64" s="167"/>
      <c r="AA64" s="167">
        <f t="shared" ref="AA64:AF64" si="63">AA58/Z58-1</f>
        <v>3.9068560137427433E-2</v>
      </c>
      <c r="AB64" s="167">
        <f t="shared" si="63"/>
        <v>4.4731338640999763E-2</v>
      </c>
      <c r="AC64" s="167">
        <f t="shared" si="63"/>
        <v>4.4731338640999763E-2</v>
      </c>
      <c r="AD64" s="167">
        <f t="shared" si="63"/>
        <v>3.577217187931292E-2</v>
      </c>
      <c r="AE64" s="167">
        <f t="shared" si="63"/>
        <v>2.2056088968978926E-2</v>
      </c>
      <c r="AF64" s="167">
        <f t="shared" si="63"/>
        <v>2.2182166415062765E-2</v>
      </c>
      <c r="AG64" s="66">
        <f t="shared" ref="AG64:AJ64" si="64">AF64+0.00075</f>
        <v>2.2932166415062766E-2</v>
      </c>
      <c r="AH64" s="66">
        <f t="shared" si="64"/>
        <v>2.3682166415062766E-2</v>
      </c>
      <c r="AI64" s="66">
        <f t="shared" si="64"/>
        <v>2.4432166415062767E-2</v>
      </c>
      <c r="AJ64" s="66">
        <f t="shared" si="64"/>
        <v>2.5182166415062768E-2</v>
      </c>
      <c r="AK64" s="66">
        <f>AJ64</f>
        <v>2.5182166415062768E-2</v>
      </c>
      <c r="AL64" s="66">
        <f t="shared" si="60"/>
        <v>2.4432166415062767E-2</v>
      </c>
      <c r="AM64" s="66">
        <f t="shared" si="60"/>
        <v>2.3682166415062766E-2</v>
      </c>
      <c r="AN64" s="66">
        <f t="shared" si="60"/>
        <v>2.2932166415062766E-2</v>
      </c>
    </row>
    <row r="65" spans="1:41" ht="15" customHeight="1" outlineLevel="1">
      <c r="A65" s="96"/>
      <c r="B65"/>
      <c r="C65"/>
      <c r="D65" s="266"/>
      <c r="E65" s="69" t="s">
        <v>525</v>
      </c>
      <c r="F65" s="3"/>
      <c r="G65" s="167"/>
      <c r="H65" s="167"/>
      <c r="I65" s="167"/>
      <c r="J65" s="167"/>
      <c r="K65" s="167"/>
      <c r="L65" s="167"/>
      <c r="M65" s="167"/>
      <c r="N65" s="167"/>
      <c r="O65" s="167"/>
      <c r="P65" s="167"/>
      <c r="Q65" s="167"/>
      <c r="R65" s="167"/>
      <c r="S65" s="167"/>
      <c r="T65" s="167"/>
      <c r="U65" s="167"/>
      <c r="V65" s="167"/>
      <c r="W65" s="167"/>
      <c r="X65" s="167"/>
      <c r="Y65" s="167"/>
      <c r="Z65" s="167"/>
      <c r="AA65" s="167">
        <f t="shared" ref="AA65:AF65" si="65">IFERROR(AA59/Z59-1,"na")</f>
        <v>0.23309968379469592</v>
      </c>
      <c r="AB65" s="167">
        <f t="shared" si="65"/>
        <v>5.553837711035059E-2</v>
      </c>
      <c r="AC65" s="167">
        <f t="shared" si="65"/>
        <v>2.9240475917440278E-3</v>
      </c>
      <c r="AD65" s="167">
        <f t="shared" si="65"/>
        <v>9.8486210997960733E-2</v>
      </c>
      <c r="AE65" s="167">
        <f t="shared" si="65"/>
        <v>5.373913188337287E-2</v>
      </c>
      <c r="AF65" s="167">
        <f t="shared" si="65"/>
        <v>5.4748515065540904E-2</v>
      </c>
      <c r="AG65" s="66">
        <f>AF65-0.005</f>
        <v>4.9748515065540906E-2</v>
      </c>
      <c r="AH65" s="66">
        <f>AG65-0.005</f>
        <v>4.4748515065540909E-2</v>
      </c>
      <c r="AI65" s="66">
        <f>AH65-0.005</f>
        <v>3.9748515065540911E-2</v>
      </c>
      <c r="AJ65" s="66">
        <f>AI65-0.005</f>
        <v>3.4748515065540914E-2</v>
      </c>
      <c r="AK65" s="66">
        <f>AJ65</f>
        <v>3.4748515065540914E-2</v>
      </c>
      <c r="AL65" s="66">
        <f t="shared" si="60"/>
        <v>3.3998515065540913E-2</v>
      </c>
      <c r="AM65" s="66">
        <f t="shared" si="60"/>
        <v>3.3248515065540912E-2</v>
      </c>
      <c r="AN65" s="66">
        <f t="shared" si="60"/>
        <v>3.2498515065540912E-2</v>
      </c>
    </row>
    <row r="66" spans="1:41" ht="15" customHeight="1" outlineLevel="1">
      <c r="A66" s="96"/>
      <c r="B66"/>
      <c r="C66"/>
      <c r="D66" s="268"/>
      <c r="E66" s="218" t="s">
        <v>527</v>
      </c>
      <c r="F66" s="3"/>
      <c r="G66" s="167"/>
      <c r="H66" s="167"/>
      <c r="I66" s="167"/>
      <c r="J66" s="167"/>
      <c r="K66" s="167"/>
      <c r="L66" s="167"/>
      <c r="M66" s="240"/>
      <c r="N66" s="240"/>
      <c r="O66" s="240"/>
      <c r="P66" s="240"/>
      <c r="Q66" s="240"/>
      <c r="R66" s="240"/>
      <c r="S66" s="240"/>
      <c r="T66" s="167"/>
      <c r="U66" s="167"/>
      <c r="V66" s="167"/>
      <c r="W66" s="167"/>
      <c r="X66" s="167"/>
      <c r="Y66" s="167"/>
      <c r="Z66" s="167"/>
      <c r="AA66" s="167"/>
      <c r="AB66" s="167">
        <f t="shared" ref="AB66:AJ66" si="66">((1+AB65)*(1+AA65))^(1/2)-1</f>
        <v>0.14086986069750296</v>
      </c>
      <c r="AC66" s="167">
        <f t="shared" si="66"/>
        <v>2.8894951664130586E-2</v>
      </c>
      <c r="AD66" s="167">
        <f t="shared" si="66"/>
        <v>4.9618138637949283E-2</v>
      </c>
      <c r="AE66" s="167">
        <f t="shared" si="66"/>
        <v>7.588006132786318E-2</v>
      </c>
      <c r="AF66" s="167">
        <f t="shared" si="66"/>
        <v>5.4243702670516258E-2</v>
      </c>
      <c r="AG66" s="167">
        <f t="shared" si="66"/>
        <v>5.2245545230596768E-2</v>
      </c>
      <c r="AH66" s="167">
        <f t="shared" si="66"/>
        <v>4.7245531051329337E-2</v>
      </c>
      <c r="AI66" s="167">
        <f t="shared" si="66"/>
        <v>4.2245516736016064E-2</v>
      </c>
      <c r="AJ66" s="167">
        <f t="shared" si="66"/>
        <v>3.7245502282689857E-2</v>
      </c>
      <c r="AK66" s="167">
        <f>((1+AK65)*(1+AJ65))^(1/2)-1</f>
        <v>3.4748515065540886E-2</v>
      </c>
      <c r="AL66" s="167">
        <f>((1+AL65)*(1+AK65))^(1/2)-1</f>
        <v>3.437344708961021E-2</v>
      </c>
      <c r="AM66" s="167">
        <f>((1+AM65)*(1+AL65))^(1/2)-1</f>
        <v>3.3623447040286747E-2</v>
      </c>
      <c r="AN66" s="167">
        <f>((1+AN65)*(1+AM65))^(1/2)-1</f>
        <v>3.2873446990891564E-2</v>
      </c>
    </row>
    <row r="67" spans="1:41" ht="15" customHeight="1" outlineLevel="1">
      <c r="A67" s="96"/>
      <c r="B67"/>
      <c r="C67"/>
      <c r="D67" s="268"/>
      <c r="E67" s="218"/>
      <c r="F67" s="3"/>
      <c r="G67" s="167"/>
      <c r="H67" s="167"/>
      <c r="I67" s="167"/>
      <c r="J67" s="167"/>
      <c r="K67" s="167"/>
      <c r="L67" s="167"/>
      <c r="M67" s="240"/>
      <c r="N67" s="240"/>
      <c r="O67" s="240"/>
      <c r="P67" s="240"/>
      <c r="Q67" s="240"/>
      <c r="R67" s="240"/>
      <c r="S67" s="240"/>
      <c r="T67" s="167"/>
      <c r="U67" s="167"/>
      <c r="V67" s="167"/>
      <c r="W67" s="167"/>
      <c r="X67" s="167"/>
      <c r="Y67" s="167"/>
      <c r="Z67" s="167"/>
      <c r="AA67" s="167"/>
      <c r="AB67" s="167"/>
      <c r="AC67" s="167"/>
      <c r="AD67" s="167"/>
      <c r="AE67" s="167"/>
      <c r="AF67" s="167"/>
      <c r="AG67" s="167"/>
      <c r="AH67" s="167"/>
      <c r="AI67" s="167"/>
      <c r="AJ67" s="167"/>
      <c r="AK67" s="167"/>
      <c r="AL67" s="167"/>
      <c r="AM67" s="167"/>
      <c r="AN67" s="167"/>
    </row>
    <row r="68" spans="1:41" ht="15" customHeight="1" outlineLevel="1">
      <c r="A68" s="96"/>
      <c r="B68"/>
      <c r="C68"/>
      <c r="D68" s="266"/>
      <c r="E68" s="69" t="s">
        <v>663</v>
      </c>
      <c r="F68" s="3"/>
      <c r="G68" s="167"/>
      <c r="H68" s="203"/>
      <c r="I68" s="203"/>
      <c r="J68" s="203"/>
      <c r="K68" s="203"/>
      <c r="L68" s="203"/>
      <c r="M68" s="203"/>
      <c r="N68" s="203"/>
      <c r="O68" s="203"/>
      <c r="P68" s="203"/>
      <c r="Q68" s="203"/>
      <c r="R68" s="203"/>
      <c r="S68" s="203"/>
      <c r="T68" s="203"/>
      <c r="U68" s="203"/>
      <c r="V68" s="203"/>
      <c r="W68" s="203"/>
      <c r="X68" s="203"/>
      <c r="Y68" s="203">
        <v>0.21</v>
      </c>
      <c r="Z68" s="203">
        <v>0.32</v>
      </c>
      <c r="AA68" s="203">
        <v>0.41</v>
      </c>
      <c r="AB68" s="203">
        <v>0.46</v>
      </c>
      <c r="AC68" s="203">
        <v>0.52</v>
      </c>
      <c r="AD68" s="167"/>
      <c r="AE68" s="167"/>
      <c r="AF68" s="167"/>
      <c r="AG68" s="66"/>
      <c r="AH68" s="66"/>
      <c r="AI68" s="66"/>
      <c r="AJ68" s="66"/>
      <c r="AK68" s="66"/>
      <c r="AL68" s="66"/>
      <c r="AM68" s="66"/>
      <c r="AN68" s="66"/>
    </row>
    <row r="69" spans="1:41" ht="15" customHeight="1" outlineLevel="1">
      <c r="A69" s="96"/>
      <c r="B69"/>
      <c r="C69"/>
      <c r="D69" s="266"/>
      <c r="E69" s="69" t="s">
        <v>664</v>
      </c>
      <c r="F69" s="3"/>
      <c r="G69" s="167"/>
      <c r="H69" s="167"/>
      <c r="I69" s="167"/>
      <c r="J69" s="167"/>
      <c r="K69" s="167"/>
      <c r="L69" s="167"/>
      <c r="M69" s="167"/>
      <c r="N69" s="167"/>
      <c r="O69" s="167"/>
      <c r="P69" s="167"/>
      <c r="Q69" s="167"/>
      <c r="R69" s="167"/>
      <c r="S69" s="167"/>
      <c r="T69" s="167"/>
      <c r="U69" s="167"/>
      <c r="V69" s="167"/>
      <c r="W69" s="167"/>
      <c r="X69" s="167"/>
      <c r="Y69" s="167"/>
      <c r="Z69" s="167">
        <f>Z59/1000*Z47/Z7</f>
        <v>0.29010953977680931</v>
      </c>
      <c r="AA69" s="167">
        <f>AA59/1000*AA47/AA7</f>
        <v>0.38757094980857332</v>
      </c>
      <c r="AB69" s="167">
        <f>AB59/1000*AB47/AB7</f>
        <v>0.4417652587954492</v>
      </c>
      <c r="AC69" s="167">
        <f>AC59/1000*AC47/AC7</f>
        <v>0.49693830106438563</v>
      </c>
      <c r="AD69" s="167"/>
      <c r="AE69" s="167"/>
      <c r="AF69" s="167"/>
      <c r="AG69" s="66"/>
      <c r="AH69" s="66"/>
      <c r="AI69" s="66"/>
      <c r="AJ69" s="66"/>
      <c r="AK69" s="66"/>
      <c r="AL69" s="66"/>
      <c r="AM69" s="66"/>
      <c r="AN69" s="66"/>
    </row>
    <row r="70" spans="1:41" ht="15" customHeight="1" outlineLevel="1">
      <c r="A70" s="96"/>
      <c r="B70"/>
      <c r="C70"/>
      <c r="D70" s="264"/>
      <c r="E70" s="3"/>
      <c r="F70" s="3"/>
      <c r="G70" s="1"/>
      <c r="H70" s="1"/>
      <c r="I70" s="1"/>
      <c r="J70" s="1"/>
      <c r="K70" s="1"/>
      <c r="L70" s="214"/>
      <c r="M70" s="214"/>
      <c r="N70" s="214"/>
      <c r="O70" s="214"/>
      <c r="P70" s="214"/>
      <c r="Q70" s="214"/>
      <c r="R70" s="214"/>
      <c r="S70" s="214"/>
      <c r="T70" s="214"/>
      <c r="U70" s="214"/>
      <c r="V70" s="214"/>
      <c r="W70" s="214"/>
      <c r="X70" s="214"/>
      <c r="Y70" s="214"/>
      <c r="Z70" s="214"/>
      <c r="AA70" s="214"/>
      <c r="AB70" s="214"/>
      <c r="AC70" s="214"/>
      <c r="AD70" s="214"/>
      <c r="AE70" s="214"/>
      <c r="AF70" s="214"/>
      <c r="AG70" s="214"/>
      <c r="AH70" s="214"/>
      <c r="AI70" s="214"/>
      <c r="AJ70" s="214"/>
      <c r="AK70" s="214"/>
      <c r="AL70" s="214"/>
      <c r="AM70" s="7"/>
    </row>
    <row r="71" spans="1:41" ht="15" customHeight="1" outlineLevel="1">
      <c r="A71" s="96"/>
      <c r="B71"/>
      <c r="C71"/>
      <c r="D71" s="266"/>
      <c r="E71" s="69" t="s">
        <v>528</v>
      </c>
      <c r="F71" s="3"/>
      <c r="G71" s="167"/>
      <c r="H71" s="167"/>
      <c r="I71" s="167"/>
      <c r="J71" s="167"/>
      <c r="K71" s="167"/>
      <c r="L71" s="167"/>
      <c r="M71" s="167"/>
      <c r="N71" s="167"/>
      <c r="O71" s="167"/>
      <c r="P71" s="167"/>
      <c r="Q71" s="167"/>
      <c r="R71" s="167"/>
      <c r="S71" s="167"/>
      <c r="T71" s="167"/>
      <c r="U71" s="167"/>
      <c r="V71" s="167"/>
      <c r="W71" s="167"/>
      <c r="X71" s="167"/>
      <c r="Y71" s="167">
        <f t="shared" ref="Y71:AN71" si="67">IFERROR(Y7/X7-1,"na")</f>
        <v>0.59114764538689268</v>
      </c>
      <c r="Z71" s="167">
        <f t="shared" si="67"/>
        <v>0.42811399770225655</v>
      </c>
      <c r="AA71" s="167">
        <f t="shared" si="67"/>
        <v>0.48967686351038586</v>
      </c>
      <c r="AB71" s="167">
        <f t="shared" si="67"/>
        <v>0.50183261213426134</v>
      </c>
      <c r="AC71" s="167">
        <f t="shared" si="67"/>
        <v>0.52282170190159594</v>
      </c>
      <c r="AD71" s="167">
        <f t="shared" si="67"/>
        <v>0.48228943822629655</v>
      </c>
      <c r="AE71" s="167">
        <f t="shared" si="67"/>
        <v>0.3439014761286554</v>
      </c>
      <c r="AF71" s="167">
        <f t="shared" si="67"/>
        <v>0.31239012122891463</v>
      </c>
      <c r="AG71" s="167">
        <f t="shared" si="67"/>
        <v>0.27996483130505045</v>
      </c>
      <c r="AH71" s="167">
        <f t="shared" si="67"/>
        <v>0.24788268691899118</v>
      </c>
      <c r="AI71" s="167">
        <f t="shared" si="67"/>
        <v>0.2170369858137382</v>
      </c>
      <c r="AJ71" s="167">
        <f t="shared" si="67"/>
        <v>0.18996588044125517</v>
      </c>
      <c r="AK71" s="167">
        <f t="shared" si="67"/>
        <v>0.16749674663094316</v>
      </c>
      <c r="AL71" s="167">
        <f t="shared" si="67"/>
        <v>0.14497229305878867</v>
      </c>
      <c r="AM71" s="167">
        <f t="shared" si="67"/>
        <v>0.12576150339503123</v>
      </c>
      <c r="AN71" s="167">
        <f t="shared" si="67"/>
        <v>0.10707081136123153</v>
      </c>
    </row>
    <row r="72" spans="1:41" ht="15" customHeight="1" outlineLevel="1">
      <c r="A72" s="96"/>
      <c r="B72"/>
      <c r="C72"/>
      <c r="D72" s="264"/>
      <c r="E72" s="3"/>
      <c r="F72" s="3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214"/>
      <c r="W72" s="214"/>
      <c r="X72" s="214"/>
      <c r="Y72" s="214"/>
      <c r="Z72" s="214"/>
      <c r="AA72" s="214"/>
      <c r="AB72" s="214"/>
      <c r="AC72" s="214"/>
      <c r="AD72" s="214"/>
      <c r="AE72" s="214"/>
      <c r="AF72" s="214"/>
      <c r="AG72" s="214"/>
      <c r="AH72" s="214"/>
      <c r="AI72" s="214"/>
      <c r="AJ72" s="214"/>
      <c r="AK72" s="214"/>
      <c r="AL72" s="214"/>
      <c r="AM72" s="7"/>
    </row>
    <row r="73" spans="1:41" ht="15" customHeight="1" outlineLevel="1">
      <c r="A73" s="96"/>
      <c r="B73" s="96" t="s">
        <v>372</v>
      </c>
      <c r="C73"/>
      <c r="D73" s="3"/>
      <c r="E73" s="3" t="s">
        <v>372</v>
      </c>
      <c r="F73" s="3"/>
      <c r="G73" s="227"/>
      <c r="H73" s="203"/>
      <c r="I73" s="203"/>
      <c r="J73" s="203"/>
      <c r="K73" s="203"/>
      <c r="L73" s="203"/>
      <c r="M73" s="203"/>
      <c r="N73" s="203"/>
      <c r="O73" s="203"/>
      <c r="P73" s="203"/>
      <c r="Q73" s="203"/>
      <c r="R73" s="203"/>
      <c r="S73" s="203"/>
      <c r="T73" s="203"/>
      <c r="U73" s="203"/>
      <c r="V73" s="203"/>
      <c r="W73" s="203"/>
      <c r="X73" s="203"/>
      <c r="Y73" s="203"/>
      <c r="Z73" s="203" cm="1">
        <f t="array" ref="Z73">INDEX(QRT!$1:$1048576,MATCH(Model!$B73,QRT!$A:$A,0),MATCH(Model!Z$3,QRT!$4:$4,0)+3)</f>
        <v>1.19</v>
      </c>
      <c r="AA73" s="203" cm="1">
        <f t="array" ref="AA73">INDEX(QRT!$1:$1048576,MATCH(Model!$B73,QRT!$A:$A,0),MATCH(Model!AA$3,QRT!$4:$4,0)+3)</f>
        <v>1.19</v>
      </c>
      <c r="AB73" s="203" cm="1">
        <f t="array" ref="AB73">INDEX(QRT!$1:$1048576,MATCH(Model!$B73,QRT!$A:$A,0),MATCH(Model!AB$3,QRT!$4:$4,0)+3)</f>
        <v>1.19</v>
      </c>
      <c r="AC73" s="203" cm="1">
        <f t="array" ref="AC73">INDEX(QRT!$1:$1048576,MATCH(Model!$B73,QRT!$A:$A,0),MATCH(Model!AC$3,QRT!$4:$4,0)+3)</f>
        <v>1.25</v>
      </c>
      <c r="AD73" s="214"/>
      <c r="AE73" s="214"/>
      <c r="AF73" s="214"/>
      <c r="AG73" s="214"/>
      <c r="AH73" s="214"/>
      <c r="AI73" s="214"/>
      <c r="AJ73" s="214"/>
      <c r="AK73" s="214"/>
      <c r="AL73" s="214"/>
      <c r="AM73" s="7"/>
    </row>
    <row r="74" spans="1:41" ht="15" customHeight="1" outlineLevel="1">
      <c r="A74" s="96"/>
      <c r="B74"/>
      <c r="C74"/>
      <c r="D74" s="3"/>
      <c r="E74" s="3"/>
      <c r="F74" s="3"/>
      <c r="G74" s="197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214"/>
      <c r="W74" s="214"/>
      <c r="X74" s="214"/>
      <c r="Y74" s="214"/>
      <c r="Z74" s="214"/>
      <c r="AA74" s="214"/>
      <c r="AB74" s="214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7"/>
    </row>
    <row r="75" spans="1:41" ht="15" customHeight="1" outlineLevel="1">
      <c r="A75" s="96"/>
      <c r="B75" s="96" t="s">
        <v>374</v>
      </c>
      <c r="C75"/>
      <c r="D75" s="3"/>
      <c r="E75" s="3" t="s">
        <v>374</v>
      </c>
      <c r="F75" s="3"/>
      <c r="G75" s="253"/>
      <c r="H75" s="190"/>
      <c r="I75" s="190"/>
      <c r="J75" s="190"/>
      <c r="K75" s="190"/>
      <c r="L75" s="190"/>
      <c r="M75" s="190"/>
      <c r="N75" s="190"/>
      <c r="O75" s="190"/>
      <c r="P75" s="190"/>
      <c r="Q75" s="190"/>
      <c r="R75" s="190"/>
      <c r="S75" s="190"/>
      <c r="T75" s="190"/>
      <c r="U75" s="190"/>
      <c r="V75" s="190"/>
      <c r="W75" s="190"/>
      <c r="X75" s="190"/>
      <c r="Y75" s="190"/>
      <c r="Z75" s="190" cm="1">
        <f t="array" ref="Z75">INDEX(QRT!$1:$1048576,MATCH(Model!$B75,QRT!$A:$A,0),MATCH(Model!Z$3,QRT!$4:$4,0)+3)</f>
        <v>0.86499999999999999</v>
      </c>
      <c r="AA75" s="190" cm="1">
        <f t="array" ref="AA75">INDEX(QRT!$1:$1048576,MATCH(Model!$B75,QRT!$A:$A,0),MATCH(Model!AA$3,QRT!$4:$4,0)+3)</f>
        <v>1.27</v>
      </c>
      <c r="AB75" s="190" cm="1">
        <f t="array" ref="AB75">INDEX(QRT!$1:$1048576,MATCH(Model!$B75,QRT!$A:$A,0),MATCH(Model!AB$3,QRT!$4:$4,0)+3)</f>
        <v>1.788</v>
      </c>
      <c r="AC75" s="190" cm="1">
        <f t="array" ref="AC75">INDEX(QRT!$1:$1048576,MATCH(Model!$B75,QRT!$A:$A,0),MATCH(Model!AC$3,QRT!$4:$4,0)+3)</f>
        <v>2.4390000000000001</v>
      </c>
      <c r="AD75" s="214"/>
      <c r="AE75" s="214"/>
      <c r="AF75" s="214"/>
      <c r="AG75" s="214"/>
      <c r="AH75" s="214"/>
      <c r="AI75" s="214"/>
      <c r="AJ75" s="214"/>
      <c r="AK75" s="214"/>
      <c r="AL75" s="214"/>
      <c r="AM75" s="7"/>
    </row>
    <row r="76" spans="1:41" ht="15" customHeight="1" outlineLevel="1">
      <c r="A76" s="96"/>
      <c r="B76"/>
      <c r="C76"/>
      <c r="D76" s="3"/>
      <c r="E76" s="3"/>
      <c r="F76" s="3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214"/>
      <c r="W76" s="214"/>
      <c r="X76" s="214"/>
      <c r="Y76" s="214"/>
      <c r="Z76" s="214"/>
      <c r="AA76" s="214"/>
      <c r="AB76" s="214"/>
      <c r="AC76" s="214"/>
      <c r="AD76" s="214"/>
      <c r="AE76" s="214"/>
      <c r="AF76" s="214"/>
      <c r="AG76" s="214"/>
      <c r="AH76" s="214"/>
      <c r="AI76" s="214"/>
      <c r="AJ76" s="214"/>
      <c r="AK76" s="214"/>
      <c r="AL76" s="214"/>
      <c r="AM76" s="7"/>
    </row>
    <row r="77" spans="1:41" outlineLevel="1">
      <c r="B77" s="96" t="s">
        <v>389</v>
      </c>
      <c r="E77" s="59" t="s">
        <v>211</v>
      </c>
      <c r="F77" s="52"/>
      <c r="G77" s="52"/>
      <c r="H77" s="177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 cm="1">
        <f t="array" ref="Z77">INDEX(QRT!$1:$1048576,MATCH(Model!$B77,QRT!$A:$A,0),MATCH(Model!Z$3,QRT!$4:$4,0))+INDEX(QRT!$1:$1048576,MATCH(Model!$B77,QRT!$A:$A,0),MATCH(Model!Z$3,QRT!$4:$4,0)+1)+INDEX(QRT!$1:$1048576,MATCH(Model!$B77,QRT!$A:$A,0),MATCH(Model!Z$3,QRT!$4:$4,0)+2)+INDEX(QRT!$1:$1048576,MATCH(Model!$B77,QRT!$A:$A,0),MATCH(Model!Z$3,QRT!$4:$4,0)+3)</f>
        <v>92.651999999999987</v>
      </c>
      <c r="AA77" s="177" cm="1">
        <f t="array" ref="AA77">INDEX(QRT!$1:$1048576,MATCH(Model!$B77,QRT!$A:$A,0),MATCH(Model!AA$3,QRT!$4:$4,0))+INDEX(QRT!$1:$1048576,MATCH(Model!$B77,QRT!$A:$A,0),MATCH(Model!AA$3,QRT!$4:$4,0)+1)+INDEX(QRT!$1:$1048576,MATCH(Model!$B77,QRT!$A:$A,0),MATCH(Model!AA$3,QRT!$4:$4,0)+2)+INDEX(QRT!$1:$1048576,MATCH(Model!$B77,QRT!$A:$A,0),MATCH(Model!AA$3,QRT!$4:$4,0)+3)</f>
        <v>144.57499999999999</v>
      </c>
      <c r="AB77" s="177" cm="1">
        <f t="array" ref="AB77">INDEX(QRT!$1:$1048576,MATCH(Model!$B77,QRT!$A:$A,0),MATCH(Model!AB$3,QRT!$4:$4,0))+INDEX(QRT!$1:$1048576,MATCH(Model!$B77,QRT!$A:$A,0),MATCH(Model!AB$3,QRT!$4:$4,0)+1)+INDEX(QRT!$1:$1048576,MATCH(Model!$B77,QRT!$A:$A,0),MATCH(Model!AB$3,QRT!$4:$4,0)+2)+INDEX(QRT!$1:$1048576,MATCH(Model!$B77,QRT!$A:$A,0),MATCH(Model!AB$3,QRT!$4:$4,0)+3)</f>
        <v>218.19100000000003</v>
      </c>
      <c r="AC77" s="177" cm="1">
        <f t="array" ref="AC77">INDEX(QRT!$1:$1048576,MATCH(Model!$B77,QRT!$A:$A,0),MATCH(Model!AC$3,QRT!$4:$4,0))+INDEX(QRT!$1:$1048576,MATCH(Model!$B77,QRT!$A:$A,0),MATCH(Model!AC$3,QRT!$4:$4,0)+1)+INDEX(QRT!$1:$1048576,MATCH(Model!$B77,QRT!$A:$A,0),MATCH(Model!AC$3,QRT!$4:$4,0)+2)+INDEX(QRT!$1:$1048576,MATCH(Model!$B77,QRT!$A:$A,0),MATCH(Model!AC$3,QRT!$4:$4,0)+3)</f>
        <v>342.57799999999997</v>
      </c>
      <c r="AD77" s="151"/>
      <c r="AE77" s="151"/>
      <c r="AF77" s="151"/>
      <c r="AG77" s="151"/>
      <c r="AH77" s="151"/>
      <c r="AI77" s="151"/>
      <c r="AJ77" s="151"/>
      <c r="AK77" s="151"/>
      <c r="AL77" s="151"/>
      <c r="AM77" s="151"/>
      <c r="AN77" s="151"/>
      <c r="AO77" s="7"/>
    </row>
    <row r="78" spans="1:41" outlineLevel="1">
      <c r="B78" s="96" t="s">
        <v>390</v>
      </c>
      <c r="E78" s="59" t="s">
        <v>375</v>
      </c>
      <c r="F78" s="52"/>
      <c r="G78" s="52"/>
      <c r="H78" s="177"/>
      <c r="I78" s="177"/>
      <c r="J78" s="177"/>
      <c r="K78" s="177"/>
      <c r="L78" s="177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 cm="1">
        <f t="array" ref="Z78">INDEX(QRT!$1:$1048576,MATCH(Model!$B78,QRT!$A:$A,0),MATCH(Model!Z$3,QRT!$4:$4,0))+INDEX(QRT!$1:$1048576,MATCH(Model!$B78,QRT!$A:$A,0),MATCH(Model!Z$3,QRT!$4:$4,0)+1)+INDEX(QRT!$1:$1048576,MATCH(Model!$B78,QRT!$A:$A,0),MATCH(Model!Z$3,QRT!$4:$4,0)+2)+INDEX(QRT!$1:$1048576,MATCH(Model!$B78,QRT!$A:$A,0),MATCH(Model!Z$3,QRT!$4:$4,0)+3)</f>
        <v>48.438000000000002</v>
      </c>
      <c r="AA78" s="177" cm="1">
        <f t="array" ref="AA78">INDEX(QRT!$1:$1048576,MATCH(Model!$B78,QRT!$A:$A,0),MATCH(Model!AA$3,QRT!$4:$4,0))+INDEX(QRT!$1:$1048576,MATCH(Model!$B78,QRT!$A:$A,0),MATCH(Model!AA$3,QRT!$4:$4,0)+1)+INDEX(QRT!$1:$1048576,MATCH(Model!$B78,QRT!$A:$A,0),MATCH(Model!AA$3,QRT!$4:$4,0)+2)+INDEX(QRT!$1:$1048576,MATCH(Model!$B78,QRT!$A:$A,0),MATCH(Model!AA$3,QRT!$4:$4,0)+3)</f>
        <v>68.418000000000006</v>
      </c>
      <c r="AB78" s="177" cm="1">
        <f t="array" ref="AB78">INDEX(QRT!$1:$1048576,MATCH(Model!$B78,QRT!$A:$A,0),MATCH(Model!AB$3,QRT!$4:$4,0))+INDEX(QRT!$1:$1048576,MATCH(Model!$B78,QRT!$A:$A,0),MATCH(Model!AB$3,QRT!$4:$4,0)+1)+INDEX(QRT!$1:$1048576,MATCH(Model!$B78,QRT!$A:$A,0),MATCH(Model!AB$3,QRT!$4:$4,0)+2)+INDEX(QRT!$1:$1048576,MATCH(Model!$B78,QRT!$A:$A,0),MATCH(Model!AB$3,QRT!$4:$4,0)+3)</f>
        <v>109.274</v>
      </c>
      <c r="AC78" s="177" cm="1">
        <f t="array" ref="AC78">INDEX(QRT!$1:$1048576,MATCH(Model!$B78,QRT!$A:$A,0),MATCH(Model!AC$3,QRT!$4:$4,0))+INDEX(QRT!$1:$1048576,MATCH(Model!$B78,QRT!$A:$A,0),MATCH(Model!AC$3,QRT!$4:$4,0)+1)+INDEX(QRT!$1:$1048576,MATCH(Model!$B78,QRT!$A:$A,0),MATCH(Model!AC$3,QRT!$4:$4,0)+2)+INDEX(QRT!$1:$1048576,MATCH(Model!$B78,QRT!$A:$A,0),MATCH(Model!AC$3,QRT!$4:$4,0)+3)</f>
        <v>172.12899999999999</v>
      </c>
      <c r="AD78" s="151"/>
      <c r="AE78" s="151"/>
      <c r="AF78" s="151"/>
      <c r="AG78" s="151"/>
      <c r="AH78" s="151"/>
      <c r="AI78" s="151"/>
      <c r="AJ78" s="151"/>
      <c r="AK78" s="151"/>
      <c r="AL78" s="151"/>
      <c r="AM78" s="151"/>
      <c r="AN78" s="151"/>
      <c r="AO78" s="7"/>
    </row>
    <row r="79" spans="1:41" outlineLevel="1">
      <c r="B79" s="96" t="s">
        <v>391</v>
      </c>
      <c r="E79" s="59" t="s">
        <v>376</v>
      </c>
      <c r="F79" s="52"/>
      <c r="G79" s="52"/>
      <c r="H79" s="177"/>
      <c r="I79" s="177"/>
      <c r="J79" s="177"/>
      <c r="K79" s="177"/>
      <c r="L79" s="177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 cm="1">
        <f t="array" ref="Z79">INDEX(QRT!$1:$1048576,MATCH(Model!$B79,QRT!$A:$A,0),MATCH(Model!Z$3,QRT!$4:$4,0))+INDEX(QRT!$1:$1048576,MATCH(Model!$B79,QRT!$A:$A,0),MATCH(Model!Z$3,QRT!$4:$4,0)+1)+INDEX(QRT!$1:$1048576,MATCH(Model!$B79,QRT!$A:$A,0),MATCH(Model!Z$3,QRT!$4:$4,0)+2)+INDEX(QRT!$1:$1048576,MATCH(Model!$B79,QRT!$A:$A,0),MATCH(Model!Z$3,QRT!$4:$4,0)+3)</f>
        <v>38.850999999999999</v>
      </c>
      <c r="AA79" s="177" cm="1">
        <f t="array" ref="AA79">INDEX(QRT!$1:$1048576,MATCH(Model!$B79,QRT!$A:$A,0),MATCH(Model!AA$3,QRT!$4:$4,0))+INDEX(QRT!$1:$1048576,MATCH(Model!$B79,QRT!$A:$A,0),MATCH(Model!AA$3,QRT!$4:$4,0)+1)+INDEX(QRT!$1:$1048576,MATCH(Model!$B79,QRT!$A:$A,0),MATCH(Model!AA$3,QRT!$4:$4,0)+2)+INDEX(QRT!$1:$1048576,MATCH(Model!$B79,QRT!$A:$A,0),MATCH(Model!AA$3,QRT!$4:$4,0)+3)</f>
        <v>55.131</v>
      </c>
      <c r="AB79" s="177" cm="1">
        <f t="array" ref="AB79">INDEX(QRT!$1:$1048576,MATCH(Model!$B79,QRT!$A:$A,0),MATCH(Model!AB$3,QRT!$4:$4,0))+INDEX(QRT!$1:$1048576,MATCH(Model!$B79,QRT!$A:$A,0),MATCH(Model!AB$3,QRT!$4:$4,0)+1)+INDEX(QRT!$1:$1048576,MATCH(Model!$B79,QRT!$A:$A,0),MATCH(Model!AB$3,QRT!$4:$4,0)+2)+INDEX(QRT!$1:$1048576,MATCH(Model!$B79,QRT!$A:$A,0),MATCH(Model!AB$3,QRT!$4:$4,0)+3)</f>
        <v>76.176999999999992</v>
      </c>
      <c r="AC79" s="177" cm="1">
        <f t="array" ref="AC79">INDEX(QRT!$1:$1048576,MATCH(Model!$B79,QRT!$A:$A,0),MATCH(Model!AC$3,QRT!$4:$4,0))+INDEX(QRT!$1:$1048576,MATCH(Model!$B79,QRT!$A:$A,0),MATCH(Model!AC$3,QRT!$4:$4,0)+1)+INDEX(QRT!$1:$1048576,MATCH(Model!$B79,QRT!$A:$A,0),MATCH(Model!AC$3,QRT!$4:$4,0)+2)+INDEX(QRT!$1:$1048576,MATCH(Model!$B79,QRT!$A:$A,0),MATCH(Model!AC$3,QRT!$4:$4,0)+3)</f>
        <v>96.537000000000006</v>
      </c>
      <c r="AD79" s="151"/>
      <c r="AE79" s="151"/>
      <c r="AF79" s="151"/>
      <c r="AG79" s="151"/>
      <c r="AH79" s="151"/>
      <c r="AI79" s="151"/>
      <c r="AJ79" s="151"/>
      <c r="AK79" s="151"/>
      <c r="AL79" s="151"/>
      <c r="AM79" s="151"/>
      <c r="AN79" s="151"/>
      <c r="AO79" s="7"/>
    </row>
    <row r="80" spans="1:41" outlineLevel="1">
      <c r="B80" s="96" t="s">
        <v>392</v>
      </c>
      <c r="E80" s="59" t="s">
        <v>123</v>
      </c>
      <c r="F80" s="52"/>
      <c r="G80" s="52"/>
      <c r="H80" s="177"/>
      <c r="I80" s="177"/>
      <c r="J80" s="177"/>
      <c r="K80" s="177"/>
      <c r="L80" s="177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 cm="1">
        <f t="array" ref="Z80">INDEX(QRT!$1:$1048576,MATCH(Model!$B80,QRT!$A:$A,0),MATCH(Model!Z$3,QRT!$4:$4,0))+INDEX(QRT!$1:$1048576,MATCH(Model!$B80,QRT!$A:$A,0),MATCH(Model!Z$3,QRT!$4:$4,0)+1)+INDEX(QRT!$1:$1048576,MATCH(Model!$B80,QRT!$A:$A,0),MATCH(Model!Z$3,QRT!$4:$4,0)+2)+INDEX(QRT!$1:$1048576,MATCH(Model!$B80,QRT!$A:$A,0),MATCH(Model!Z$3,QRT!$4:$4,0)+3)</f>
        <v>12.733000000000001</v>
      </c>
      <c r="AA80" s="177" cm="1">
        <f t="array" ref="AA80">INDEX(QRT!$1:$1048576,MATCH(Model!$B80,QRT!$A:$A,0),MATCH(Model!AA$3,QRT!$4:$4,0))+INDEX(QRT!$1:$1048576,MATCH(Model!$B80,QRT!$A:$A,0),MATCH(Model!AA$3,QRT!$4:$4,0)+1)+INDEX(QRT!$1:$1048576,MATCH(Model!$B80,QRT!$A:$A,0),MATCH(Model!AA$3,QRT!$4:$4,0)+2)+INDEX(QRT!$1:$1048576,MATCH(Model!$B80,QRT!$A:$A,0),MATCH(Model!AA$3,QRT!$4:$4,0)+3)</f>
        <v>18.898</v>
      </c>
      <c r="AB80" s="177" cm="1">
        <f t="array" ref="AB80">INDEX(QRT!$1:$1048576,MATCH(Model!$B80,QRT!$A:$A,0),MATCH(Model!AB$3,QRT!$4:$4,0))+INDEX(QRT!$1:$1048576,MATCH(Model!$B80,QRT!$A:$A,0),MATCH(Model!AB$3,QRT!$4:$4,0)+1)+INDEX(QRT!$1:$1048576,MATCH(Model!$B80,QRT!$A:$A,0),MATCH(Model!AB$3,QRT!$4:$4,0)+2)+INDEX(QRT!$1:$1048576,MATCH(Model!$B80,QRT!$A:$A,0),MATCH(Model!AB$3,QRT!$4:$4,0)+3)</f>
        <v>27.417000000000002</v>
      </c>
      <c r="AC80" s="177" cm="1">
        <f t="array" ref="AC80">INDEX(QRT!$1:$1048576,MATCH(Model!$B80,QRT!$A:$A,0),MATCH(Model!AC$3,QRT!$4:$4,0))+INDEX(QRT!$1:$1048576,MATCH(Model!$B80,QRT!$A:$A,0),MATCH(Model!AC$3,QRT!$4:$4,0)+1)+INDEX(QRT!$1:$1048576,MATCH(Model!$B80,QRT!$A:$A,0),MATCH(Model!AC$3,QRT!$4:$4,0)+2)+INDEX(QRT!$1:$1048576,MATCH(Model!$B80,QRT!$A:$A,0),MATCH(Model!AC$3,QRT!$4:$4,0)+3)</f>
        <v>45.182000000000002</v>
      </c>
      <c r="AD80" s="151"/>
      <c r="AE80" s="151"/>
      <c r="AF80" s="151"/>
      <c r="AG80" s="151"/>
      <c r="AH80" s="151"/>
      <c r="AI80" s="151"/>
      <c r="AJ80" s="151"/>
      <c r="AK80" s="151"/>
      <c r="AL80" s="151"/>
      <c r="AM80" s="151"/>
      <c r="AN80" s="151"/>
      <c r="AO80" s="7"/>
    </row>
    <row r="81" spans="2:41" outlineLevel="1">
      <c r="B81" s="96"/>
      <c r="E81" s="2" t="s">
        <v>207</v>
      </c>
      <c r="F81" s="157"/>
      <c r="G81" s="157"/>
      <c r="H81" s="139"/>
      <c r="I81" s="139"/>
      <c r="J81" s="139"/>
      <c r="K81" s="139"/>
      <c r="L81" s="139"/>
      <c r="M81" s="139"/>
      <c r="N81" s="139"/>
      <c r="O81" s="139"/>
      <c r="P81" s="139"/>
      <c r="Q81" s="139"/>
      <c r="R81" s="139"/>
      <c r="S81" s="139"/>
      <c r="T81" s="139"/>
      <c r="U81" s="139"/>
      <c r="V81" s="139"/>
      <c r="W81" s="139"/>
      <c r="X81" s="139"/>
      <c r="Y81" s="139"/>
      <c r="Z81" s="139">
        <f>SUM(Z77:Z80)</f>
        <v>192.67399999999998</v>
      </c>
      <c r="AA81" s="139">
        <f>SUM(AA77:AA80)</f>
        <v>287.02200000000005</v>
      </c>
      <c r="AB81" s="139">
        <f>SUM(AB77:AB80)</f>
        <v>431.05900000000008</v>
      </c>
      <c r="AC81" s="139">
        <f>SUM(AC77:AC80)</f>
        <v>656.42600000000004</v>
      </c>
      <c r="AD81" s="139"/>
      <c r="AE81" s="139"/>
      <c r="AF81" s="139"/>
      <c r="AG81" s="139"/>
      <c r="AH81" s="139"/>
      <c r="AI81" s="139"/>
      <c r="AJ81" s="139"/>
      <c r="AK81" s="139"/>
      <c r="AL81" s="139"/>
      <c r="AM81" s="139"/>
      <c r="AN81" s="139"/>
      <c r="AO81" s="7"/>
    </row>
    <row r="82" spans="2:41" outlineLevel="1">
      <c r="B82" s="96"/>
      <c r="E82" s="73" t="s">
        <v>116</v>
      </c>
      <c r="F82" s="52"/>
      <c r="G82" s="52"/>
      <c r="H82" s="152"/>
      <c r="I82" s="152"/>
      <c r="J82" s="152"/>
      <c r="K82" s="152"/>
      <c r="L82" s="152"/>
      <c r="M82" s="151"/>
      <c r="N82" s="151"/>
      <c r="O82" s="151"/>
      <c r="P82" s="151"/>
      <c r="Q82" s="151"/>
      <c r="R82" s="68"/>
      <c r="S82" s="68"/>
      <c r="T82" s="68"/>
      <c r="U82" s="68"/>
      <c r="V82" s="68"/>
      <c r="W82" s="68"/>
      <c r="X82" s="68"/>
      <c r="Y82" s="179"/>
      <c r="Z82" s="179" t="b">
        <f>Z81=Z7</f>
        <v>1</v>
      </c>
      <c r="AA82" s="179" t="b">
        <f>AA81=AA7</f>
        <v>1</v>
      </c>
      <c r="AB82" s="179" t="b">
        <f>AB81=AB$7</f>
        <v>1</v>
      </c>
      <c r="AC82" s="179" t="b">
        <f>AC81=AC$7</f>
        <v>1</v>
      </c>
      <c r="AD82" s="151"/>
      <c r="AE82" s="151"/>
      <c r="AF82" s="151"/>
      <c r="AG82" s="151"/>
      <c r="AH82" s="151"/>
      <c r="AI82" s="151"/>
      <c r="AJ82" s="151"/>
      <c r="AK82" s="151"/>
      <c r="AL82" s="151"/>
      <c r="AM82" s="151"/>
      <c r="AN82" s="151"/>
      <c r="AO82" s="7"/>
    </row>
    <row r="83" spans="2:41" outlineLevel="1">
      <c r="B83" s="96"/>
      <c r="E83" s="73" t="s">
        <v>237</v>
      </c>
      <c r="F83" s="52"/>
      <c r="G83" s="52"/>
      <c r="H83" s="152"/>
      <c r="I83" s="152"/>
      <c r="J83" s="152"/>
      <c r="K83" s="152"/>
      <c r="L83" s="152"/>
      <c r="M83" s="151"/>
      <c r="N83" s="151"/>
      <c r="O83" s="151"/>
      <c r="P83" s="151"/>
      <c r="Q83" s="151"/>
      <c r="R83" s="68"/>
      <c r="S83" s="68"/>
      <c r="T83" s="68"/>
      <c r="U83" s="68"/>
      <c r="V83" s="68"/>
      <c r="W83" s="68"/>
      <c r="X83" s="68"/>
      <c r="Y83" s="167"/>
      <c r="Z83" s="167">
        <f t="shared" ref="Z83:AB84" si="68">IFERROR(Z77/Z$81,"na")</f>
        <v>0.48087443038500266</v>
      </c>
      <c r="AA83" s="167">
        <f t="shared" si="68"/>
        <v>0.50370703291036911</v>
      </c>
      <c r="AB83" s="167">
        <f t="shared" si="68"/>
        <v>0.50617432880417756</v>
      </c>
      <c r="AC83" s="167">
        <f>IFERROR(AC77/AC$81,"na")</f>
        <v>0.52188365482171628</v>
      </c>
      <c r="AD83" s="151"/>
      <c r="AE83" s="151"/>
      <c r="AF83" s="151"/>
      <c r="AG83" s="151"/>
      <c r="AH83" s="151"/>
      <c r="AI83" s="151"/>
      <c r="AJ83" s="151"/>
      <c r="AK83" s="151"/>
      <c r="AL83" s="151"/>
      <c r="AM83" s="151"/>
      <c r="AN83" s="151"/>
      <c r="AO83" s="7"/>
    </row>
    <row r="84" spans="2:41" outlineLevel="1">
      <c r="B84" s="96"/>
      <c r="E84" s="73" t="s">
        <v>377</v>
      </c>
      <c r="F84" s="52"/>
      <c r="G84" s="52"/>
      <c r="H84" s="152"/>
      <c r="I84" s="152"/>
      <c r="J84" s="152"/>
      <c r="K84" s="152"/>
      <c r="L84" s="152"/>
      <c r="M84" s="151"/>
      <c r="N84" s="151"/>
      <c r="O84" s="151"/>
      <c r="P84" s="151"/>
      <c r="Q84" s="151"/>
      <c r="R84" s="68"/>
      <c r="S84" s="68"/>
      <c r="T84" s="68"/>
      <c r="U84" s="68"/>
      <c r="V84" s="68"/>
      <c r="W84" s="68"/>
      <c r="X84" s="68"/>
      <c r="Y84" s="167"/>
      <c r="Z84" s="167">
        <f t="shared" si="68"/>
        <v>0.25139873568826104</v>
      </c>
      <c r="AA84" s="167">
        <f t="shared" si="68"/>
        <v>0.23837197148650624</v>
      </c>
      <c r="AB84" s="167">
        <f t="shared" si="68"/>
        <v>0.25350126084828289</v>
      </c>
      <c r="AC84" s="167">
        <f>IFERROR(AC78/AC$81,"na")</f>
        <v>0.26222148421908942</v>
      </c>
      <c r="AD84" s="151"/>
      <c r="AE84" s="151"/>
      <c r="AF84" s="151"/>
      <c r="AG84" s="151"/>
      <c r="AH84" s="151"/>
      <c r="AI84" s="151"/>
      <c r="AJ84" s="151"/>
      <c r="AK84" s="151"/>
      <c r="AL84" s="151"/>
      <c r="AM84" s="151"/>
      <c r="AN84" s="151"/>
      <c r="AO84" s="7"/>
    </row>
    <row r="85" spans="2:41" outlineLevel="1">
      <c r="B85" s="96"/>
      <c r="E85" s="73"/>
      <c r="F85" s="52"/>
      <c r="G85" s="52"/>
      <c r="H85" s="152"/>
      <c r="I85" s="152"/>
      <c r="J85" s="152"/>
      <c r="K85" s="152"/>
      <c r="L85" s="152"/>
      <c r="M85" s="151"/>
      <c r="N85" s="151"/>
      <c r="O85" s="151"/>
      <c r="P85" s="151"/>
      <c r="Q85" s="151"/>
      <c r="R85" s="68"/>
      <c r="S85" s="68"/>
      <c r="T85" s="68"/>
      <c r="U85" s="68"/>
      <c r="V85" s="68"/>
      <c r="W85" s="68"/>
      <c r="X85" s="68"/>
      <c r="Y85" s="68"/>
      <c r="Z85" s="68"/>
      <c r="AA85" s="68"/>
      <c r="AB85" s="68"/>
      <c r="AC85" s="68"/>
      <c r="AD85" s="151"/>
      <c r="AE85" s="151"/>
      <c r="AF85" s="151"/>
      <c r="AG85" s="151"/>
      <c r="AH85" s="151"/>
      <c r="AI85" s="151"/>
      <c r="AJ85" s="151"/>
      <c r="AK85" s="151"/>
      <c r="AL85" s="151"/>
      <c r="AM85" s="151"/>
      <c r="AN85" s="151"/>
      <c r="AO85" s="7"/>
    </row>
    <row r="86" spans="2:41" outlineLevel="1">
      <c r="B86" s="96" t="s">
        <v>393</v>
      </c>
      <c r="E86" s="59" t="s">
        <v>378</v>
      </c>
      <c r="F86" s="52"/>
      <c r="G86" s="52"/>
      <c r="H86" s="177"/>
      <c r="I86" s="177"/>
      <c r="J86" s="177"/>
      <c r="K86" s="177"/>
      <c r="L86" s="177"/>
      <c r="M86" s="177"/>
      <c r="N86" s="177"/>
      <c r="O86" s="177"/>
      <c r="P86" s="177"/>
      <c r="Q86" s="177"/>
      <c r="R86" s="177"/>
      <c r="S86" s="177"/>
      <c r="T86" s="177"/>
      <c r="U86" s="177"/>
      <c r="V86" s="177"/>
      <c r="W86" s="177"/>
      <c r="X86" s="177"/>
      <c r="Y86" s="177"/>
      <c r="Z86" s="177" cm="1">
        <f t="array" ref="Z86">INDEX(QRT!$1:$1048576,MATCH(Model!$B86,QRT!$A:$A,0),MATCH(Model!Z$3,QRT!$4:$4,0))+INDEX(QRT!$1:$1048576,MATCH(Model!$B86,QRT!$A:$A,0),MATCH(Model!Z$3,QRT!$4:$4,0)+1)+INDEX(QRT!$1:$1048576,MATCH(Model!$B86,QRT!$A:$A,0),MATCH(Model!Z$3,QRT!$4:$4,0)+2)+INDEX(QRT!$1:$1048576,MATCH(Model!$B86,QRT!$A:$A,0),MATCH(Model!Z$3,QRT!$4:$4,0)+3)</f>
        <v>13.231000000000002</v>
      </c>
      <c r="AA86" s="177" cm="1">
        <f t="array" ref="AA86">INDEX(QRT!$1:$1048576,MATCH(Model!$B86,QRT!$A:$A,0),MATCH(Model!AA$3,QRT!$4:$4,0))+INDEX(QRT!$1:$1048576,MATCH(Model!$B86,QRT!$A:$A,0),MATCH(Model!AA$3,QRT!$4:$4,0)+1)+INDEX(QRT!$1:$1048576,MATCH(Model!$B86,QRT!$A:$A,0),MATCH(Model!AA$3,QRT!$4:$4,0)+2)+INDEX(QRT!$1:$1048576,MATCH(Model!$B86,QRT!$A:$A,0),MATCH(Model!AA$3,QRT!$4:$4,0)+3)</f>
        <v>26.496000000000002</v>
      </c>
      <c r="AB86" s="177" cm="1">
        <f t="array" ref="AB86">INDEX(QRT!$1:$1048576,MATCH(Model!$B86,QRT!$A:$A,0),MATCH(Model!AB$3,QRT!$4:$4,0))+INDEX(QRT!$1:$1048576,MATCH(Model!$B86,QRT!$A:$A,0),MATCH(Model!AB$3,QRT!$4:$4,0)+1)+INDEX(QRT!$1:$1048576,MATCH(Model!$B86,QRT!$A:$A,0),MATCH(Model!AB$3,QRT!$4:$4,0)+2)+INDEX(QRT!$1:$1048576,MATCH(Model!$B86,QRT!$A:$A,0),MATCH(Model!AB$3,QRT!$4:$4,0)+3)</f>
        <v>45.300000000000004</v>
      </c>
      <c r="AC86" s="177" cm="1">
        <f t="array" ref="AC86">INDEX(QRT!$1:$1048576,MATCH(Model!$B86,QRT!$A:$A,0),MATCH(Model!AC$3,QRT!$4:$4,0))+INDEX(QRT!$1:$1048576,MATCH(Model!$B86,QRT!$A:$A,0),MATCH(Model!AC$3,QRT!$4:$4,0)+1)+INDEX(QRT!$1:$1048576,MATCH(Model!$B86,QRT!$A:$A,0),MATCH(Model!AC$3,QRT!$4:$4,0)+2)+INDEX(QRT!$1:$1048576,MATCH(Model!$B86,QRT!$A:$A,0),MATCH(Model!AC$3,QRT!$4:$4,0)+3)</f>
        <v>73.802000000000007</v>
      </c>
      <c r="AD86" s="151"/>
      <c r="AE86" s="151"/>
      <c r="AF86" s="151"/>
      <c r="AG86" s="151"/>
      <c r="AH86" s="151"/>
      <c r="AI86" s="151"/>
      <c r="AJ86" s="151"/>
      <c r="AK86" s="151"/>
      <c r="AL86" s="151"/>
      <c r="AM86" s="151"/>
      <c r="AN86" s="151"/>
      <c r="AO86" s="7"/>
    </row>
    <row r="87" spans="2:41" outlineLevel="1">
      <c r="B87" s="96" t="s">
        <v>394</v>
      </c>
      <c r="E87" s="59" t="s">
        <v>379</v>
      </c>
      <c r="F87" s="52"/>
      <c r="G87" s="52"/>
      <c r="H87" s="177"/>
      <c r="I87" s="177"/>
      <c r="J87" s="177"/>
      <c r="K87" s="177"/>
      <c r="L87" s="177"/>
      <c r="M87" s="177"/>
      <c r="N87" s="177"/>
      <c r="O87" s="177"/>
      <c r="P87" s="177"/>
      <c r="Q87" s="177"/>
      <c r="R87" s="177"/>
      <c r="S87" s="177"/>
      <c r="T87" s="177"/>
      <c r="U87" s="177"/>
      <c r="V87" s="177"/>
      <c r="W87" s="177"/>
      <c r="X87" s="177"/>
      <c r="Y87" s="177"/>
      <c r="Z87" s="177" cm="1">
        <f t="array" ref="Z87">INDEX(QRT!$1:$1048576,MATCH(Model!$B87,QRT!$A:$A,0),MATCH(Model!Z$3,QRT!$4:$4,0))+INDEX(QRT!$1:$1048576,MATCH(Model!$B87,QRT!$A:$A,0),MATCH(Model!Z$3,QRT!$4:$4,0)+1)+INDEX(QRT!$1:$1048576,MATCH(Model!$B87,QRT!$A:$A,0),MATCH(Model!Z$3,QRT!$4:$4,0)+2)+INDEX(QRT!$1:$1048576,MATCH(Model!$B87,QRT!$A:$A,0),MATCH(Model!Z$3,QRT!$4:$4,0)+3)</f>
        <v>179.44300000000001</v>
      </c>
      <c r="AA87" s="177" cm="1">
        <f t="array" ref="AA87">INDEX(QRT!$1:$1048576,MATCH(Model!$B87,QRT!$A:$A,0),MATCH(Model!AA$3,QRT!$4:$4,0))+INDEX(QRT!$1:$1048576,MATCH(Model!$B87,QRT!$A:$A,0),MATCH(Model!AA$3,QRT!$4:$4,0)+1)+INDEX(QRT!$1:$1048576,MATCH(Model!$B87,QRT!$A:$A,0),MATCH(Model!AA$3,QRT!$4:$4,0)+2)+INDEX(QRT!$1:$1048576,MATCH(Model!$B87,QRT!$A:$A,0),MATCH(Model!AA$3,QRT!$4:$4,0)+3)</f>
        <v>260.52600000000001</v>
      </c>
      <c r="AB87" s="177" cm="1">
        <f t="array" ref="AB87">INDEX(QRT!$1:$1048576,MATCH(Model!$B87,QRT!$A:$A,0),MATCH(Model!AB$3,QRT!$4:$4,0))+INDEX(QRT!$1:$1048576,MATCH(Model!$B87,QRT!$A:$A,0),MATCH(Model!AB$3,QRT!$4:$4,0)+1)+INDEX(QRT!$1:$1048576,MATCH(Model!$B87,QRT!$A:$A,0),MATCH(Model!AB$3,QRT!$4:$4,0)+2)+INDEX(QRT!$1:$1048576,MATCH(Model!$B87,QRT!$A:$A,0),MATCH(Model!AB$3,QRT!$4:$4,0)+3)</f>
        <v>385.75899999999996</v>
      </c>
      <c r="AC87" s="177" cm="1">
        <f t="array" ref="AC87">INDEX(QRT!$1:$1048576,MATCH(Model!$B87,QRT!$A:$A,0),MATCH(Model!AC$3,QRT!$4:$4,0))+INDEX(QRT!$1:$1048576,MATCH(Model!$B87,QRT!$A:$A,0),MATCH(Model!AC$3,QRT!$4:$4,0)+1)+INDEX(QRT!$1:$1048576,MATCH(Model!$B87,QRT!$A:$A,0),MATCH(Model!AC$3,QRT!$4:$4,0)+2)+INDEX(QRT!$1:$1048576,MATCH(Model!$B87,QRT!$A:$A,0),MATCH(Model!AC$3,QRT!$4:$4,0)+3)</f>
        <v>582.62400000000002</v>
      </c>
      <c r="AD87" s="151"/>
      <c r="AE87" s="151"/>
      <c r="AF87" s="151"/>
      <c r="AG87" s="151"/>
      <c r="AH87" s="151"/>
      <c r="AI87" s="151"/>
      <c r="AJ87" s="151"/>
      <c r="AK87" s="151"/>
      <c r="AL87" s="151"/>
      <c r="AM87" s="151"/>
      <c r="AN87" s="151"/>
      <c r="AO87" s="7"/>
    </row>
    <row r="88" spans="2:41" outlineLevel="1">
      <c r="E88" s="2" t="s">
        <v>207</v>
      </c>
      <c r="F88" s="157"/>
      <c r="G88" s="157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  <c r="Y88" s="139"/>
      <c r="Z88" s="139">
        <f>SUM(Z86:Z87)</f>
        <v>192.67400000000001</v>
      </c>
      <c r="AA88" s="139">
        <f>SUM(AA86:AA87)</f>
        <v>287.02199999999999</v>
      </c>
      <c r="AB88" s="139">
        <f>SUM(AB86:AB87)</f>
        <v>431.05899999999997</v>
      </c>
      <c r="AC88" s="139">
        <f>SUM(AC86:AC87)</f>
        <v>656.42600000000004</v>
      </c>
      <c r="AD88" s="139"/>
      <c r="AE88" s="139"/>
      <c r="AF88" s="139"/>
      <c r="AG88" s="139"/>
      <c r="AH88" s="139"/>
      <c r="AI88" s="139"/>
      <c r="AJ88" s="139"/>
      <c r="AK88" s="139"/>
      <c r="AL88" s="139"/>
      <c r="AM88" s="139"/>
      <c r="AN88" s="139"/>
      <c r="AO88" s="7"/>
    </row>
    <row r="89" spans="2:41" outlineLevel="1">
      <c r="E89" s="73" t="s">
        <v>116</v>
      </c>
      <c r="F89" s="52"/>
      <c r="G89" s="52"/>
      <c r="H89" s="152"/>
      <c r="I89" s="152"/>
      <c r="J89" s="152"/>
      <c r="K89" s="152"/>
      <c r="L89" s="152"/>
      <c r="M89" s="151"/>
      <c r="N89" s="151"/>
      <c r="O89" s="151"/>
      <c r="P89" s="151"/>
      <c r="Q89" s="151"/>
      <c r="R89" s="68"/>
      <c r="S89" s="68"/>
      <c r="T89" s="68"/>
      <c r="U89" s="68"/>
      <c r="V89" s="68"/>
      <c r="W89" s="68"/>
      <c r="X89" s="68"/>
      <c r="Y89" s="179"/>
      <c r="Z89" s="179" t="b">
        <f>Z88=Z$7</f>
        <v>1</v>
      </c>
      <c r="AA89" s="179" t="b">
        <f>AA88=AA$7</f>
        <v>1</v>
      </c>
      <c r="AB89" s="179" t="b">
        <f>AB88=AB$7</f>
        <v>1</v>
      </c>
      <c r="AC89" s="179" t="b">
        <f>AC88=AC$7</f>
        <v>1</v>
      </c>
      <c r="AD89" s="151"/>
      <c r="AE89" s="151"/>
      <c r="AF89" s="151"/>
      <c r="AG89" s="151"/>
      <c r="AH89" s="151"/>
      <c r="AI89" s="151"/>
      <c r="AJ89" s="151"/>
      <c r="AK89" s="151"/>
      <c r="AL89" s="151"/>
      <c r="AM89" s="151"/>
      <c r="AN89" s="151"/>
      <c r="AO89" s="7"/>
    </row>
    <row r="90" spans="2:41" outlineLevel="1">
      <c r="E90" s="73" t="s">
        <v>380</v>
      </c>
      <c r="F90" s="52"/>
      <c r="G90" s="52"/>
      <c r="H90" s="152"/>
      <c r="I90" s="152"/>
      <c r="J90" s="152"/>
      <c r="K90" s="152"/>
      <c r="L90" s="152"/>
      <c r="M90" s="151"/>
      <c r="N90" s="151"/>
      <c r="O90" s="151"/>
      <c r="P90" s="151"/>
      <c r="Q90" s="151"/>
      <c r="R90" s="68"/>
      <c r="S90" s="68"/>
      <c r="T90" s="68"/>
      <c r="U90" s="68"/>
      <c r="V90" s="68"/>
      <c r="W90" s="68"/>
      <c r="X90" s="68"/>
      <c r="Y90" s="167"/>
      <c r="Z90" s="167">
        <f>IFERROR(Z86/Z88,"na")</f>
        <v>6.8670396628502037E-2</v>
      </c>
      <c r="AA90" s="167">
        <f>IFERROR(AA86/AA88,"na")</f>
        <v>9.2313481196563338E-2</v>
      </c>
      <c r="AB90" s="167">
        <f>IFERROR(AB86/AB88,"na")</f>
        <v>0.10509002247952139</v>
      </c>
      <c r="AC90" s="167">
        <f>IFERROR(AC86/AC88,"na")</f>
        <v>0.11243003781081189</v>
      </c>
      <c r="AD90" s="151"/>
      <c r="AE90" s="151"/>
      <c r="AF90" s="151"/>
      <c r="AG90" s="151"/>
      <c r="AH90" s="151"/>
      <c r="AI90" s="151"/>
      <c r="AJ90" s="151"/>
      <c r="AK90" s="151"/>
      <c r="AL90" s="151"/>
      <c r="AM90" s="151"/>
      <c r="AN90" s="151"/>
      <c r="AO90" s="7"/>
    </row>
    <row r="91" spans="2:41" outlineLevel="1">
      <c r="E91" s="73"/>
      <c r="F91" s="52"/>
      <c r="G91" s="52"/>
      <c r="H91" s="152"/>
      <c r="I91" s="152"/>
      <c r="J91" s="152"/>
      <c r="K91" s="152"/>
      <c r="L91" s="152"/>
      <c r="M91" s="151"/>
      <c r="N91" s="151"/>
      <c r="O91" s="151"/>
      <c r="P91" s="151"/>
      <c r="Q91" s="151"/>
      <c r="R91" s="68"/>
      <c r="S91" s="68"/>
      <c r="T91" s="68"/>
      <c r="U91" s="68"/>
      <c r="V91" s="68"/>
      <c r="W91" s="68"/>
      <c r="X91" s="68"/>
      <c r="Y91" s="68"/>
      <c r="Z91" s="68"/>
      <c r="AA91" s="68"/>
      <c r="AB91" s="68"/>
      <c r="AC91" s="68"/>
      <c r="AD91" s="151"/>
      <c r="AE91" s="151"/>
      <c r="AF91" s="151"/>
      <c r="AG91" s="151"/>
      <c r="AH91" s="151"/>
      <c r="AI91" s="151"/>
      <c r="AJ91" s="151"/>
      <c r="AK91" s="151"/>
      <c r="AL91" s="151"/>
      <c r="AM91" s="151"/>
      <c r="AN91" s="151"/>
      <c r="AO91" s="7"/>
    </row>
    <row r="92" spans="2:41" outlineLevel="1">
      <c r="E92" s="59" t="s">
        <v>444</v>
      </c>
      <c r="F92" s="52"/>
      <c r="G92" s="52"/>
      <c r="H92" s="177"/>
      <c r="I92" s="177"/>
      <c r="J92" s="177"/>
      <c r="K92" s="177"/>
      <c r="L92" s="177"/>
      <c r="M92" s="177"/>
      <c r="N92" s="177"/>
      <c r="O92" s="177"/>
      <c r="P92" s="177"/>
      <c r="Q92" s="177"/>
      <c r="R92" s="177"/>
      <c r="S92" s="177"/>
      <c r="T92" s="177"/>
      <c r="U92" s="177"/>
      <c r="V92" s="177"/>
      <c r="W92" s="177"/>
      <c r="X92" s="177"/>
      <c r="Y92" s="177"/>
      <c r="Z92" s="177"/>
      <c r="AA92" s="177">
        <v>20</v>
      </c>
      <c r="AB92" s="177"/>
      <c r="AC92" s="177"/>
      <c r="AD92" s="151"/>
      <c r="AE92" s="151"/>
      <c r="AF92" s="151"/>
      <c r="AG92" s="151"/>
      <c r="AH92" s="151"/>
      <c r="AI92" s="151"/>
      <c r="AJ92" s="151"/>
      <c r="AK92" s="151"/>
      <c r="AL92" s="151"/>
      <c r="AM92" s="151"/>
      <c r="AN92" s="151"/>
      <c r="AO92" s="7"/>
    </row>
    <row r="93" spans="2:41" outlineLevel="1">
      <c r="E93" s="59" t="s">
        <v>445</v>
      </c>
      <c r="F93" s="52"/>
      <c r="G93" s="52"/>
      <c r="H93" s="203"/>
      <c r="I93" s="203"/>
      <c r="J93" s="203"/>
      <c r="K93" s="203"/>
      <c r="L93" s="203"/>
      <c r="M93" s="203"/>
      <c r="N93" s="203"/>
      <c r="O93" s="203"/>
      <c r="P93" s="203"/>
      <c r="Q93" s="203"/>
      <c r="R93" s="203"/>
      <c r="S93" s="203"/>
      <c r="T93" s="203"/>
      <c r="U93" s="203"/>
      <c r="V93" s="203"/>
      <c r="W93" s="203"/>
      <c r="X93" s="203"/>
      <c r="Y93" s="203"/>
      <c r="Z93" s="203"/>
      <c r="AA93" s="203">
        <v>0.1</v>
      </c>
      <c r="AB93" s="203"/>
      <c r="AC93" s="203"/>
      <c r="AD93" s="151"/>
      <c r="AE93" s="151"/>
      <c r="AF93" s="151"/>
      <c r="AG93" s="151"/>
      <c r="AH93" s="151"/>
      <c r="AI93" s="151"/>
      <c r="AJ93" s="151"/>
      <c r="AK93" s="151"/>
      <c r="AL93" s="151"/>
      <c r="AM93" s="151"/>
      <c r="AN93" s="151"/>
      <c r="AO93" s="7"/>
    </row>
    <row r="94" spans="2:41" outlineLevel="1">
      <c r="E94" s="59" t="s">
        <v>446</v>
      </c>
      <c r="F94" s="52"/>
      <c r="G94" s="52"/>
      <c r="H94" s="177"/>
      <c r="I94" s="177"/>
      <c r="J94" s="177"/>
      <c r="K94" s="177"/>
      <c r="L94" s="177"/>
      <c r="M94" s="177"/>
      <c r="N94" s="177"/>
      <c r="O94" s="177"/>
      <c r="P94" s="177"/>
      <c r="Q94" s="177"/>
      <c r="R94" s="177"/>
      <c r="S94" s="177"/>
      <c r="T94" s="177"/>
      <c r="U94" s="177"/>
      <c r="V94" s="177"/>
      <c r="W94" s="177"/>
      <c r="X94" s="177"/>
      <c r="Y94" s="177"/>
      <c r="Z94" s="177"/>
      <c r="AA94" s="177">
        <v>44</v>
      </c>
      <c r="AB94" s="177"/>
      <c r="AC94" s="177"/>
      <c r="AD94" s="151"/>
      <c r="AE94" s="151"/>
      <c r="AF94" s="151"/>
      <c r="AG94" s="151"/>
      <c r="AH94" s="151"/>
      <c r="AI94" s="151"/>
      <c r="AJ94" s="151"/>
      <c r="AK94" s="151"/>
      <c r="AL94" s="151"/>
      <c r="AM94" s="151"/>
      <c r="AN94" s="151"/>
      <c r="AO94" s="7"/>
    </row>
    <row r="95" spans="2:41" outlineLevel="1">
      <c r="E95" s="73"/>
      <c r="F95" s="52"/>
      <c r="G95" s="52"/>
      <c r="H95" s="152"/>
      <c r="I95" s="152"/>
      <c r="J95" s="152"/>
      <c r="K95" s="152"/>
      <c r="L95" s="152"/>
      <c r="M95" s="151"/>
      <c r="N95" s="151"/>
      <c r="O95" s="151"/>
      <c r="P95" s="151"/>
      <c r="Q95" s="151"/>
      <c r="R95" s="68"/>
      <c r="S95" s="68"/>
      <c r="T95" s="68"/>
      <c r="U95" s="68"/>
      <c r="V95" s="68"/>
      <c r="W95" s="68"/>
      <c r="X95" s="68"/>
      <c r="Y95" s="68"/>
      <c r="Z95" s="68"/>
      <c r="AA95" s="68"/>
      <c r="AB95" s="68"/>
      <c r="AC95" s="68"/>
      <c r="AD95" s="151"/>
      <c r="AE95" s="151"/>
      <c r="AF95" s="151"/>
      <c r="AG95" s="151"/>
      <c r="AH95" s="151"/>
      <c r="AI95" s="151"/>
      <c r="AJ95" s="151"/>
      <c r="AK95" s="151"/>
      <c r="AL95" s="151"/>
      <c r="AM95" s="151"/>
      <c r="AN95" s="151"/>
      <c r="AO95" s="7"/>
    </row>
    <row r="96" spans="2:41" outlineLevel="1">
      <c r="E96" s="59" t="s">
        <v>447</v>
      </c>
      <c r="F96" s="52"/>
      <c r="G96" s="52"/>
      <c r="H96" s="152"/>
      <c r="I96" s="152"/>
      <c r="J96" s="152"/>
      <c r="K96" s="152"/>
      <c r="L96" s="152"/>
      <c r="M96" s="151"/>
      <c r="N96" s="151"/>
      <c r="O96" s="151"/>
      <c r="P96" s="151"/>
      <c r="Q96" s="151"/>
      <c r="R96" s="68"/>
      <c r="S96" s="68"/>
      <c r="T96" s="68"/>
      <c r="U96" s="68"/>
      <c r="V96" s="68"/>
      <c r="W96" s="68"/>
      <c r="X96" s="68"/>
      <c r="Y96" s="68"/>
      <c r="Z96" s="68"/>
      <c r="AA96" s="68"/>
      <c r="AB96" s="68"/>
      <c r="AC96" s="68"/>
      <c r="AD96" s="151"/>
      <c r="AE96" s="151"/>
      <c r="AF96" s="151"/>
      <c r="AG96" s="151"/>
      <c r="AH96" s="151"/>
      <c r="AI96" s="151"/>
      <c r="AJ96" s="151"/>
      <c r="AK96" s="151"/>
      <c r="AL96" s="151"/>
      <c r="AM96" s="151"/>
      <c r="AN96" s="151"/>
      <c r="AO96" s="7"/>
    </row>
    <row r="97" spans="1:43" outlineLevel="1">
      <c r="E97" s="216" t="s">
        <v>448</v>
      </c>
      <c r="F97" s="52"/>
      <c r="G97" s="52"/>
      <c r="H97" s="203"/>
      <c r="I97" s="203"/>
      <c r="J97" s="203"/>
      <c r="K97" s="203"/>
      <c r="L97" s="203"/>
      <c r="M97" s="203"/>
      <c r="N97" s="203"/>
      <c r="O97" s="203"/>
      <c r="P97" s="203"/>
      <c r="Q97" s="203"/>
      <c r="R97" s="203"/>
      <c r="S97" s="203"/>
      <c r="T97" s="203"/>
      <c r="U97" s="203"/>
      <c r="V97" s="203"/>
      <c r="W97" s="203"/>
      <c r="X97" s="203"/>
      <c r="Y97" s="203"/>
      <c r="Z97" s="203"/>
      <c r="AA97" s="203">
        <v>0.1</v>
      </c>
      <c r="AB97" s="203"/>
      <c r="AC97" s="203"/>
      <c r="AD97" s="151"/>
      <c r="AE97" s="151"/>
      <c r="AF97" s="151"/>
      <c r="AG97" s="151"/>
      <c r="AH97" s="151"/>
      <c r="AI97" s="151"/>
      <c r="AJ97" s="151"/>
      <c r="AK97" s="151"/>
      <c r="AL97" s="151"/>
      <c r="AM97" s="151"/>
      <c r="AN97" s="151"/>
      <c r="AO97" s="7"/>
    </row>
    <row r="98" spans="1:43" outlineLevel="1">
      <c r="E98" s="216" t="s">
        <v>449</v>
      </c>
      <c r="F98" s="52"/>
      <c r="G98" s="52"/>
      <c r="H98" s="203"/>
      <c r="I98" s="203"/>
      <c r="J98" s="203"/>
      <c r="K98" s="203"/>
      <c r="L98" s="203"/>
      <c r="M98" s="203"/>
      <c r="N98" s="203"/>
      <c r="O98" s="203"/>
      <c r="P98" s="203"/>
      <c r="Q98" s="203"/>
      <c r="R98" s="203"/>
      <c r="S98" s="203"/>
      <c r="T98" s="203"/>
      <c r="U98" s="203"/>
      <c r="V98" s="203"/>
      <c r="W98" s="203"/>
      <c r="X98" s="203"/>
      <c r="Y98" s="203"/>
      <c r="Z98" s="203"/>
      <c r="AA98" s="203">
        <v>0.17</v>
      </c>
      <c r="AB98" s="203"/>
      <c r="AC98" s="203"/>
      <c r="AD98" s="151"/>
      <c r="AE98" s="151"/>
      <c r="AF98" s="151"/>
      <c r="AG98" s="151"/>
      <c r="AH98" s="151"/>
      <c r="AI98" s="151"/>
      <c r="AJ98" s="151"/>
      <c r="AK98" s="151"/>
      <c r="AL98" s="151"/>
      <c r="AM98" s="151"/>
      <c r="AN98" s="151"/>
      <c r="AO98" s="7"/>
    </row>
    <row r="99" spans="1:43" outlineLevel="1">
      <c r="E99" s="216" t="s">
        <v>450</v>
      </c>
      <c r="F99" s="52"/>
      <c r="G99" s="52"/>
      <c r="H99" s="203"/>
      <c r="I99" s="203"/>
      <c r="J99" s="203"/>
      <c r="K99" s="203"/>
      <c r="L99" s="203"/>
      <c r="M99" s="203"/>
      <c r="N99" s="203"/>
      <c r="O99" s="203"/>
      <c r="P99" s="203"/>
      <c r="Q99" s="203"/>
      <c r="R99" s="203"/>
      <c r="S99" s="203"/>
      <c r="T99" s="203"/>
      <c r="U99" s="203"/>
      <c r="V99" s="203"/>
      <c r="W99" s="203"/>
      <c r="X99" s="203"/>
      <c r="Y99" s="203"/>
      <c r="Z99" s="203"/>
      <c r="AA99" s="203">
        <v>0.18</v>
      </c>
      <c r="AB99" s="203"/>
      <c r="AC99" s="203"/>
      <c r="AD99" s="151"/>
      <c r="AE99" s="151"/>
      <c r="AF99" s="151"/>
      <c r="AG99" s="151"/>
      <c r="AH99" s="151"/>
      <c r="AI99" s="151"/>
      <c r="AJ99" s="151"/>
      <c r="AK99" s="151"/>
      <c r="AL99" s="151"/>
      <c r="AM99" s="151"/>
      <c r="AN99" s="151"/>
      <c r="AO99" s="7"/>
    </row>
    <row r="100" spans="1:43">
      <c r="E100" s="73"/>
      <c r="F100" s="52"/>
      <c r="G100" s="52"/>
      <c r="H100" s="152"/>
      <c r="I100" s="152"/>
      <c r="J100" s="152"/>
      <c r="K100" s="152"/>
      <c r="L100" s="152"/>
      <c r="M100" s="151"/>
      <c r="N100" s="151"/>
      <c r="O100" s="151"/>
      <c r="P100" s="151"/>
      <c r="Q100" s="151"/>
      <c r="R100" s="68"/>
      <c r="S100" s="68"/>
      <c r="T100" s="68"/>
      <c r="U100" s="68"/>
      <c r="V100" s="68"/>
      <c r="W100" s="68"/>
      <c r="X100" s="68"/>
      <c r="Y100" s="68"/>
      <c r="Z100" s="68"/>
      <c r="AA100" s="68"/>
      <c r="AB100" s="68"/>
      <c r="AC100" s="68"/>
      <c r="AD100" s="151"/>
      <c r="AE100" s="151"/>
      <c r="AF100" s="151"/>
      <c r="AG100" s="151"/>
      <c r="AH100" s="151"/>
      <c r="AI100" s="151"/>
      <c r="AJ100" s="151"/>
      <c r="AK100" s="151"/>
      <c r="AL100" s="151"/>
      <c r="AM100" s="151"/>
      <c r="AN100" s="151"/>
      <c r="AO100" s="7"/>
    </row>
    <row r="101" spans="1:43">
      <c r="C101" s="120" t="s">
        <v>167</v>
      </c>
      <c r="D101" s="41" t="s">
        <v>167</v>
      </c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42"/>
      <c r="AN101" s="42"/>
    </row>
    <row r="102" spans="1:43">
      <c r="D102" s="90"/>
      <c r="E102" s="91" t="s">
        <v>105</v>
      </c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  <c r="AM102" s="90"/>
      <c r="AN102" s="90"/>
    </row>
    <row r="103" spans="1:43" ht="5.0999999999999996" customHeight="1">
      <c r="C103" s="121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52"/>
      <c r="AN103" s="52"/>
      <c r="AO103" s="7"/>
      <c r="AP103" s="1"/>
    </row>
    <row r="104" spans="1:43" outlineLevel="1">
      <c r="A104" s="96" t="s">
        <v>168</v>
      </c>
      <c r="B104" s="96"/>
      <c r="E104" s="56" t="s">
        <v>207</v>
      </c>
      <c r="H104" s="67"/>
      <c r="I104" s="67"/>
      <c r="J104" s="67"/>
      <c r="K104" s="67"/>
      <c r="L104" s="67"/>
      <c r="M104" s="67"/>
      <c r="N104" s="67"/>
      <c r="O104" s="67"/>
      <c r="P104" s="67"/>
      <c r="Q104" s="67"/>
      <c r="R104" s="67"/>
      <c r="S104" s="67"/>
      <c r="T104" s="67"/>
      <c r="U104" s="67"/>
      <c r="V104" s="67"/>
      <c r="W104" s="67"/>
      <c r="X104" s="67">
        <f t="shared" ref="X104:AN104" si="69">X7</f>
        <v>84.790999999999997</v>
      </c>
      <c r="Y104" s="67">
        <f t="shared" si="69"/>
        <v>134.91500000000002</v>
      </c>
      <c r="Z104" s="67">
        <f t="shared" si="69"/>
        <v>192.67399999999998</v>
      </c>
      <c r="AA104" s="67">
        <f t="shared" si="69"/>
        <v>287.02200000000005</v>
      </c>
      <c r="AB104" s="67">
        <f t="shared" si="69"/>
        <v>431.05900000000003</v>
      </c>
      <c r="AC104" s="67">
        <f t="shared" si="69"/>
        <v>656.42600000000004</v>
      </c>
      <c r="AD104" s="67">
        <f t="shared" si="69"/>
        <v>973.01332677713503</v>
      </c>
      <c r="AE104" s="67">
        <f t="shared" si="69"/>
        <v>1307.6340461486454</v>
      </c>
      <c r="AF104" s="67">
        <f t="shared" si="69"/>
        <v>1716.126004348077</v>
      </c>
      <c r="AG104" s="67">
        <f t="shared" si="69"/>
        <v>2196.5809316535965</v>
      </c>
      <c r="AH104" s="67">
        <f t="shared" si="69"/>
        <v>2741.0753150269111</v>
      </c>
      <c r="AI104" s="67">
        <f t="shared" si="69"/>
        <v>3335.9900392887948</v>
      </c>
      <c r="AJ104" s="67">
        <f t="shared" si="69"/>
        <v>3969.7143242455481</v>
      </c>
      <c r="AK104" s="67">
        <f t="shared" si="69"/>
        <v>4634.6285586109307</v>
      </c>
      <c r="AL104" s="67">
        <f t="shared" si="69"/>
        <v>5306.5212882285059</v>
      </c>
      <c r="AM104" s="67">
        <f t="shared" si="69"/>
        <v>5973.8773832338611</v>
      </c>
      <c r="AN104" s="67">
        <f t="shared" si="69"/>
        <v>6613.5052816292218</v>
      </c>
      <c r="AO104" s="7"/>
      <c r="AP104" s="64"/>
      <c r="AQ104" s="64"/>
    </row>
    <row r="105" spans="1:43" outlineLevel="1">
      <c r="E105" s="59" t="s">
        <v>169</v>
      </c>
      <c r="H105" s="67"/>
      <c r="I105" s="67"/>
      <c r="J105" s="67"/>
      <c r="K105" s="67"/>
      <c r="L105" s="67"/>
      <c r="M105" s="67"/>
      <c r="N105" s="67"/>
      <c r="O105" s="67"/>
      <c r="P105" s="67"/>
      <c r="Q105" s="67"/>
      <c r="R105" s="67"/>
      <c r="S105" s="67"/>
      <c r="T105" s="67"/>
      <c r="U105" s="67"/>
      <c r="V105" s="67"/>
      <c r="W105" s="67"/>
      <c r="X105" s="67">
        <f t="shared" ref="X105:AN105" si="70">-X8</f>
        <v>-17.996244565217388</v>
      </c>
      <c r="Y105" s="67">
        <f t="shared" si="70"/>
        <v>-19.978770652173914</v>
      </c>
      <c r="Z105" s="67">
        <f t="shared" si="70"/>
        <v>-29.912799999999997</v>
      </c>
      <c r="AA105" s="67">
        <f t="shared" si="70"/>
        <v>-41.872900000000008</v>
      </c>
      <c r="AB105" s="67">
        <f t="shared" si="70"/>
        <v>-63.465100000000007</v>
      </c>
      <c r="AC105" s="67">
        <f t="shared" si="70"/>
        <v>-96.54334999999999</v>
      </c>
      <c r="AD105" s="67">
        <f t="shared" si="70"/>
        <v>-148.63145533491206</v>
      </c>
      <c r="AE105" s="67">
        <f t="shared" si="70"/>
        <v>-202.01584848622488</v>
      </c>
      <c r="AF105" s="67">
        <f t="shared" si="70"/>
        <v>-268.55119422887583</v>
      </c>
      <c r="AG105" s="67">
        <f t="shared" si="70"/>
        <v>-347.25061350857868</v>
      </c>
      <c r="AH105" s="67">
        <f t="shared" si="70"/>
        <v>-437.71374912339661</v>
      </c>
      <c r="AI105" s="67">
        <f t="shared" si="70"/>
        <v>-538.05140594523164</v>
      </c>
      <c r="AJ105" s="67">
        <f t="shared" si="70"/>
        <v>-646.61435791706572</v>
      </c>
      <c r="AK105" s="67">
        <f t="shared" si="70"/>
        <v>-762.33556488680824</v>
      </c>
      <c r="AL105" s="67">
        <f t="shared" si="70"/>
        <v>-881.34353386988187</v>
      </c>
      <c r="AM105" s="67">
        <f t="shared" si="70"/>
        <v>-1001.7408255100218</v>
      </c>
      <c r="AN105" s="67">
        <f t="shared" si="70"/>
        <v>-1119.5796369216569</v>
      </c>
      <c r="AO105" s="7"/>
      <c r="AP105" s="64"/>
      <c r="AQ105" s="64"/>
    </row>
    <row r="106" spans="1:43" s="3" customFormat="1" outlineLevel="1">
      <c r="A106" s="96" t="s">
        <v>148</v>
      </c>
      <c r="B106" s="96"/>
      <c r="C106" s="122"/>
      <c r="E106" s="2" t="s">
        <v>148</v>
      </c>
      <c r="F106" s="2"/>
      <c r="G106" s="2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>
        <f t="shared" ref="X106:AC106" si="71">SUM(X104:X105)</f>
        <v>66.794755434782616</v>
      </c>
      <c r="Y106" s="8">
        <f t="shared" si="71"/>
        <v>114.9362293478261</v>
      </c>
      <c r="Z106" s="8">
        <f t="shared" si="71"/>
        <v>162.76119999999997</v>
      </c>
      <c r="AA106" s="8">
        <f t="shared" si="71"/>
        <v>245.14910000000003</v>
      </c>
      <c r="AB106" s="8">
        <f t="shared" si="71"/>
        <v>367.59390000000002</v>
      </c>
      <c r="AC106" s="8">
        <f t="shared" si="71"/>
        <v>559.88265000000001</v>
      </c>
      <c r="AD106" s="8">
        <f t="shared" ref="AD106:AN106" si="72">SUM(AD104:AD105)</f>
        <v>824.38187144222297</v>
      </c>
      <c r="AE106" s="8">
        <f t="shared" si="72"/>
        <v>1105.6181976624205</v>
      </c>
      <c r="AF106" s="8">
        <f t="shared" si="72"/>
        <v>1447.5748101192012</v>
      </c>
      <c r="AG106" s="8">
        <f t="shared" si="72"/>
        <v>1849.3303181450178</v>
      </c>
      <c r="AH106" s="8">
        <f t="shared" si="72"/>
        <v>2303.3615659035145</v>
      </c>
      <c r="AI106" s="8">
        <f t="shared" si="72"/>
        <v>2797.9386333435632</v>
      </c>
      <c r="AJ106" s="8">
        <f t="shared" si="72"/>
        <v>3323.0999663284824</v>
      </c>
      <c r="AK106" s="8">
        <f t="shared" si="72"/>
        <v>3872.2929937241224</v>
      </c>
      <c r="AL106" s="8">
        <f t="shared" si="72"/>
        <v>4425.177754358624</v>
      </c>
      <c r="AM106" s="8">
        <f t="shared" si="72"/>
        <v>4972.1365577238394</v>
      </c>
      <c r="AN106" s="8">
        <f t="shared" si="72"/>
        <v>5493.925644707565</v>
      </c>
      <c r="AO106" s="53"/>
      <c r="AP106" s="64"/>
      <c r="AQ106" s="64"/>
    </row>
    <row r="107" spans="1:43" outlineLevel="1">
      <c r="E107" s="59" t="str">
        <f>E10</f>
        <v>S&amp;M</v>
      </c>
      <c r="H107" s="67"/>
      <c r="I107" s="67"/>
      <c r="J107" s="67"/>
      <c r="K107" s="67"/>
      <c r="L107" s="67"/>
      <c r="M107" s="67"/>
      <c r="N107" s="67"/>
      <c r="O107" s="67"/>
      <c r="P107" s="67"/>
      <c r="Q107" s="67"/>
      <c r="R107" s="67"/>
      <c r="S107" s="67"/>
      <c r="T107" s="67"/>
      <c r="U107" s="67"/>
      <c r="V107" s="67"/>
      <c r="W107" s="67"/>
      <c r="X107" s="67">
        <f t="shared" ref="X107:AN107" si="73">-X10</f>
        <v>-38.17867934782609</v>
      </c>
      <c r="Y107" s="67">
        <f t="shared" si="73"/>
        <v>-61.418318478260872</v>
      </c>
      <c r="Z107" s="67">
        <f t="shared" si="73"/>
        <v>-86.579599999999999</v>
      </c>
      <c r="AA107" s="67">
        <f t="shared" si="73"/>
        <v>-147.3443</v>
      </c>
      <c r="AB107" s="67">
        <f t="shared" si="73"/>
        <v>-198.8657</v>
      </c>
      <c r="AC107" s="67">
        <f t="shared" si="73"/>
        <v>-296.50995</v>
      </c>
      <c r="AD107" s="67">
        <f t="shared" si="73"/>
        <v>-418.8179509981959</v>
      </c>
      <c r="AE107" s="67">
        <f t="shared" si="73"/>
        <v>-541.65621395025846</v>
      </c>
      <c r="AF107" s="67">
        <f t="shared" si="73"/>
        <v>-688.0798989680759</v>
      </c>
      <c r="AG107" s="67">
        <f t="shared" si="73"/>
        <v>-845.57277690061187</v>
      </c>
      <c r="AH107" s="67">
        <f t="shared" si="73"/>
        <v>-1005.8362731538037</v>
      </c>
      <c r="AI107" s="67">
        <f t="shared" si="73"/>
        <v>-1157.4201453154533</v>
      </c>
      <c r="AJ107" s="67">
        <f t="shared" si="73"/>
        <v>-1297.8961957758379</v>
      </c>
      <c r="AK107" s="67">
        <f t="shared" si="73"/>
        <v>-1422.5970148607496</v>
      </c>
      <c r="AL107" s="67">
        <f t="shared" si="73"/>
        <v>-1549.2363468802725</v>
      </c>
      <c r="AM107" s="67">
        <f t="shared" si="73"/>
        <v>-1684.3318651458233</v>
      </c>
      <c r="AN107" s="67">
        <f t="shared" si="73"/>
        <v>-1798.5395917322708</v>
      </c>
      <c r="AO107" s="7"/>
    </row>
    <row r="108" spans="1:43" outlineLevel="1">
      <c r="E108" s="59" t="str">
        <f>E11</f>
        <v>R&amp;D</v>
      </c>
      <c r="H108" s="67"/>
      <c r="I108" s="67"/>
      <c r="J108" s="67"/>
      <c r="K108" s="67"/>
      <c r="L108" s="67"/>
      <c r="M108" s="67"/>
      <c r="N108" s="67"/>
      <c r="O108" s="67"/>
      <c r="P108" s="67"/>
      <c r="Q108" s="67"/>
      <c r="R108" s="67"/>
      <c r="S108" s="67"/>
      <c r="T108" s="67"/>
      <c r="U108" s="67"/>
      <c r="V108" s="67"/>
      <c r="W108" s="67"/>
      <c r="X108" s="67">
        <f t="shared" ref="X108:AN108" si="74">-X11</f>
        <v>-23.321679347826088</v>
      </c>
      <c r="Y108" s="67">
        <f t="shared" si="74"/>
        <v>-33.16931847826087</v>
      </c>
      <c r="Z108" s="67">
        <f t="shared" si="74"/>
        <v>-53.708600000000004</v>
      </c>
      <c r="AA108" s="67">
        <f t="shared" si="74"/>
        <v>-89.536300000000011</v>
      </c>
      <c r="AB108" s="67">
        <f t="shared" si="74"/>
        <v>-119.7337</v>
      </c>
      <c r="AC108" s="67">
        <f t="shared" si="74"/>
        <v>-187.11994999999999</v>
      </c>
      <c r="AD108" s="67">
        <f t="shared" si="74"/>
        <v>-294.78150172673782</v>
      </c>
      <c r="AE108" s="67">
        <f t="shared" si="74"/>
        <v>-368.80978773973368</v>
      </c>
      <c r="AF108" s="67">
        <f t="shared" si="74"/>
        <v>-458.62171164031906</v>
      </c>
      <c r="AG108" s="67">
        <f t="shared" si="74"/>
        <v>-560.66069059269125</v>
      </c>
      <c r="AH108" s="67">
        <f t="shared" si="74"/>
        <v>-666.74586524634174</v>
      </c>
      <c r="AI108" s="67">
        <f t="shared" si="74"/>
        <v>-771.42249767171506</v>
      </c>
      <c r="AJ108" s="67">
        <f t="shared" si="74"/>
        <v>-862.39045109467691</v>
      </c>
      <c r="AK108" s="67">
        <f t="shared" si="74"/>
        <v>-941.95324615807374</v>
      </c>
      <c r="AL108" s="67">
        <f t="shared" si="74"/>
        <v>-1014.8321127490372</v>
      </c>
      <c r="AM108" s="67">
        <f t="shared" si="74"/>
        <v>-1082.7201511095734</v>
      </c>
      <c r="AN108" s="67">
        <f t="shared" si="74"/>
        <v>-1145.7398339129968</v>
      </c>
      <c r="AO108" s="7"/>
    </row>
    <row r="109" spans="1:43" outlineLevel="1">
      <c r="E109" s="59" t="str">
        <f>E12</f>
        <v>G&amp;A</v>
      </c>
      <c r="H109" s="67"/>
      <c r="I109" s="67"/>
      <c r="J109" s="67"/>
      <c r="K109" s="67"/>
      <c r="L109" s="67"/>
      <c r="M109" s="67"/>
      <c r="N109" s="67"/>
      <c r="O109" s="67"/>
      <c r="P109" s="67"/>
      <c r="Q109" s="67"/>
      <c r="R109" s="67"/>
      <c r="S109" s="67"/>
      <c r="T109" s="67"/>
      <c r="U109" s="67"/>
      <c r="V109" s="67"/>
      <c r="W109" s="67"/>
      <c r="X109" s="67">
        <f t="shared" ref="X109:AN109" si="75">-X12</f>
        <v>-12.366396739130435</v>
      </c>
      <c r="Y109" s="67">
        <f t="shared" si="75"/>
        <v>-17.904592391304348</v>
      </c>
      <c r="Z109" s="67">
        <f t="shared" si="75"/>
        <v>-58.106999999999999</v>
      </c>
      <c r="AA109" s="67">
        <f t="shared" si="75"/>
        <v>-75.914500000000004</v>
      </c>
      <c r="AB109" s="67">
        <f t="shared" si="75"/>
        <v>-82.772500000000008</v>
      </c>
      <c r="AC109" s="67">
        <f t="shared" si="75"/>
        <v>-108.06275000000001</v>
      </c>
      <c r="AD109" s="67">
        <f t="shared" si="75"/>
        <v>-164.76263584329837</v>
      </c>
      <c r="AE109" s="67">
        <f t="shared" si="75"/>
        <v>-202.17731955232532</v>
      </c>
      <c r="AF109" s="67">
        <f t="shared" si="75"/>
        <v>-255.05274588538072</v>
      </c>
      <c r="AG109" s="67">
        <f t="shared" si="75"/>
        <v>-313.27905927114961</v>
      </c>
      <c r="AH109" s="67">
        <f t="shared" si="75"/>
        <v>-379.97121297862844</v>
      </c>
      <c r="AI109" s="67">
        <f t="shared" si="75"/>
        <v>-455.76703966092231</v>
      </c>
      <c r="AJ109" s="67">
        <f t="shared" si="75"/>
        <v>-538.3775123019683</v>
      </c>
      <c r="AK109" s="67">
        <f t="shared" si="75"/>
        <v>-623.9193655131977</v>
      </c>
      <c r="AL109" s="67">
        <f t="shared" si="75"/>
        <v>-714.37038661543045</v>
      </c>
      <c r="AM109" s="67">
        <f t="shared" si="75"/>
        <v>-804.21068041707679</v>
      </c>
      <c r="AN109" s="67">
        <f t="shared" si="75"/>
        <v>-890.31817047470133</v>
      </c>
      <c r="AO109" s="7"/>
    </row>
    <row r="110" spans="1:43" s="3" customFormat="1" outlineLevel="1">
      <c r="A110" s="96" t="s">
        <v>103</v>
      </c>
      <c r="B110" s="96"/>
      <c r="C110" s="122"/>
      <c r="E110" s="2" t="s">
        <v>103</v>
      </c>
      <c r="F110" s="2"/>
      <c r="G110" s="2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>
        <f t="shared" ref="X110:AC110" si="76">SUM(X106:X109)</f>
        <v>-7.0719999999999974</v>
      </c>
      <c r="Y110" s="8">
        <f t="shared" si="76"/>
        <v>2.4440000000000097</v>
      </c>
      <c r="Z110" s="8">
        <f t="shared" si="76"/>
        <v>-35.634000000000029</v>
      </c>
      <c r="AA110" s="8">
        <f t="shared" si="76"/>
        <v>-67.645999999999987</v>
      </c>
      <c r="AB110" s="8">
        <f t="shared" si="76"/>
        <v>-33.777999999999992</v>
      </c>
      <c r="AC110" s="8">
        <f t="shared" si="76"/>
        <v>-31.809999999999988</v>
      </c>
      <c r="AD110" s="8">
        <f t="shared" ref="AD110:AN110" si="77">SUM(AD106:AD109)</f>
        <v>-53.980217126009109</v>
      </c>
      <c r="AE110" s="8">
        <f t="shared" si="77"/>
        <v>-7.0251235798969844</v>
      </c>
      <c r="AF110" s="8">
        <f t="shared" si="77"/>
        <v>45.8204536254255</v>
      </c>
      <c r="AG110" s="8">
        <f t="shared" si="77"/>
        <v>129.8177913805651</v>
      </c>
      <c r="AH110" s="8">
        <f t="shared" si="77"/>
        <v>250.80821452474066</v>
      </c>
      <c r="AI110" s="8">
        <f t="shared" si="77"/>
        <v>413.32895069547254</v>
      </c>
      <c r="AJ110" s="8">
        <f t="shared" si="77"/>
        <v>624.43580715599944</v>
      </c>
      <c r="AK110" s="8">
        <f t="shared" si="77"/>
        <v>883.8233671921015</v>
      </c>
      <c r="AL110" s="8">
        <f t="shared" si="77"/>
        <v>1146.738908113884</v>
      </c>
      <c r="AM110" s="8">
        <f t="shared" si="77"/>
        <v>1400.873861051366</v>
      </c>
      <c r="AN110" s="8">
        <f t="shared" si="77"/>
        <v>1659.3280485875962</v>
      </c>
      <c r="AO110" s="53"/>
      <c r="AP110" s="64"/>
      <c r="AQ110" s="64"/>
    </row>
    <row r="111" spans="1:43" outlineLevel="1">
      <c r="A111" s="96" t="s">
        <v>7</v>
      </c>
      <c r="B111" s="96"/>
      <c r="E111" s="59" t="s">
        <v>7</v>
      </c>
      <c r="H111" s="67"/>
      <c r="I111" s="67"/>
      <c r="J111" s="67"/>
      <c r="K111" s="67"/>
      <c r="L111" s="67"/>
      <c r="M111" s="67"/>
      <c r="N111" s="67"/>
      <c r="O111" s="67"/>
      <c r="P111" s="67"/>
      <c r="Q111" s="67"/>
      <c r="R111" s="67"/>
      <c r="S111" s="67"/>
      <c r="T111" s="67"/>
      <c r="U111" s="67"/>
      <c r="V111" s="67"/>
      <c r="W111" s="67"/>
      <c r="X111" s="67">
        <f t="shared" ref="X111:AN111" si="78">-X13</f>
        <v>-9.9570000000000007</v>
      </c>
      <c r="Y111" s="67">
        <f t="shared" si="78"/>
        <v>-12.173999999999996</v>
      </c>
      <c r="Z111" s="67">
        <f t="shared" si="78"/>
        <v>-25.965</v>
      </c>
      <c r="AA111" s="67">
        <f t="shared" si="78"/>
        <v>-40.299999999999997</v>
      </c>
      <c r="AB111" s="67">
        <f t="shared" si="78"/>
        <v>-66.711000000000013</v>
      </c>
      <c r="AC111" s="67">
        <f>-AC13</f>
        <v>-95.873999999999995</v>
      </c>
      <c r="AD111" s="67">
        <f t="shared" si="78"/>
        <v>-147.7938428636198</v>
      </c>
      <c r="AE111" s="67">
        <f t="shared" si="78"/>
        <v>-192.2561410935362</v>
      </c>
      <c r="AF111" s="67">
        <f t="shared" si="78"/>
        <v>-229.46466824503801</v>
      </c>
      <c r="AG111" s="67">
        <f t="shared" si="78"/>
        <v>-243.80547501739136</v>
      </c>
      <c r="AH111" s="67">
        <f t="shared" si="78"/>
        <v>-286.16636623313138</v>
      </c>
      <c r="AI111" s="67">
        <f t="shared" si="78"/>
        <v>-338.70979805767752</v>
      </c>
      <c r="AJ111" s="67">
        <f t="shared" si="78"/>
        <v>-391.63230698358745</v>
      </c>
      <c r="AK111" s="67">
        <f t="shared" si="78"/>
        <v>-444.35840539740684</v>
      </c>
      <c r="AL111" s="67">
        <f t="shared" si="78"/>
        <v>-494.49560717112274</v>
      </c>
      <c r="AM111" s="67">
        <f>-AM13</f>
        <v>-542.21630089297423</v>
      </c>
      <c r="AN111" s="67">
        <f t="shared" si="78"/>
        <v>-584.80968956639049</v>
      </c>
      <c r="AO111" s="7"/>
    </row>
    <row r="112" spans="1:43" outlineLevel="1">
      <c r="E112" s="59" t="s">
        <v>123</v>
      </c>
      <c r="H112" s="140"/>
      <c r="I112" s="140"/>
      <c r="J112" s="140"/>
      <c r="K112" s="140"/>
      <c r="L112" s="140"/>
      <c r="M112" s="140"/>
      <c r="N112" s="140"/>
      <c r="O112" s="140"/>
      <c r="P112" s="140"/>
      <c r="Q112" s="140"/>
      <c r="R112" s="140"/>
      <c r="S112" s="140"/>
      <c r="T112" s="140"/>
      <c r="U112" s="140"/>
      <c r="V112" s="140"/>
      <c r="W112" s="140"/>
      <c r="X112" s="67">
        <f t="shared" ref="X112:AN112" si="79">X15</f>
        <v>-0.20799999999999999</v>
      </c>
      <c r="Y112" s="67">
        <f t="shared" si="79"/>
        <v>0.115</v>
      </c>
      <c r="Z112" s="67">
        <f t="shared" si="79"/>
        <v>-25.390999999999998</v>
      </c>
      <c r="AA112" s="67">
        <f t="shared" si="79"/>
        <v>-1.4419999999999999</v>
      </c>
      <c r="AB112" s="67">
        <f t="shared" si="79"/>
        <v>-6.1079999999999997</v>
      </c>
      <c r="AC112" s="67">
        <f t="shared" si="79"/>
        <v>-73.027999999999992</v>
      </c>
      <c r="AD112" s="67">
        <f t="shared" si="79"/>
        <v>-3.9359999999999999</v>
      </c>
      <c r="AE112" s="67">
        <f t="shared" si="79"/>
        <v>0</v>
      </c>
      <c r="AF112" s="67">
        <f t="shared" si="79"/>
        <v>0</v>
      </c>
      <c r="AG112" s="67">
        <f t="shared" si="79"/>
        <v>0</v>
      </c>
      <c r="AH112" s="67">
        <f t="shared" si="79"/>
        <v>0</v>
      </c>
      <c r="AI112" s="67">
        <f t="shared" si="79"/>
        <v>0</v>
      </c>
      <c r="AJ112" s="67">
        <f t="shared" si="79"/>
        <v>0</v>
      </c>
      <c r="AK112" s="67">
        <f t="shared" si="79"/>
        <v>0</v>
      </c>
      <c r="AL112" s="67">
        <f t="shared" si="79"/>
        <v>0</v>
      </c>
      <c r="AM112" s="67">
        <f t="shared" si="79"/>
        <v>0</v>
      </c>
      <c r="AN112" s="67">
        <f t="shared" si="79"/>
        <v>0</v>
      </c>
      <c r="AO112" s="7"/>
    </row>
    <row r="113" spans="1:43" s="3" customFormat="1" outlineLevel="1">
      <c r="A113" s="96" t="s">
        <v>4</v>
      </c>
      <c r="B113" s="96"/>
      <c r="C113" s="122"/>
      <c r="E113" s="2" t="s">
        <v>4</v>
      </c>
      <c r="F113" s="2"/>
      <c r="G113" s="2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>
        <f>SUM(X110:X112)</f>
        <v>-17.236999999999995</v>
      </c>
      <c r="Y113" s="8">
        <f>SUM(Y110:Y112)</f>
        <v>-9.614999999999986</v>
      </c>
      <c r="Z113" s="8">
        <f>SUM(Z110:Z112)</f>
        <v>-86.990000000000038</v>
      </c>
      <c r="AA113" s="8">
        <f>SUM(AA110:AA112)</f>
        <v>-109.38799999999998</v>
      </c>
      <c r="AB113" s="8">
        <f>SUM(AB110:AB112)</f>
        <v>-106.59700000000001</v>
      </c>
      <c r="AC113" s="8">
        <f t="shared" ref="AC113:AN113" si="80">SUM(AC110:AC112)</f>
        <v>-200.71199999999999</v>
      </c>
      <c r="AD113" s="8">
        <f t="shared" si="80"/>
        <v>-205.71005998962892</v>
      </c>
      <c r="AE113" s="8">
        <f t="shared" si="80"/>
        <v>-199.28126467343318</v>
      </c>
      <c r="AF113" s="8">
        <f t="shared" si="80"/>
        <v>-183.64421461961251</v>
      </c>
      <c r="AG113" s="8">
        <f t="shared" si="80"/>
        <v>-113.98768363682626</v>
      </c>
      <c r="AH113" s="8">
        <f t="shared" si="80"/>
        <v>-35.358151708390722</v>
      </c>
      <c r="AI113" s="8">
        <f t="shared" si="80"/>
        <v>74.619152637795025</v>
      </c>
      <c r="AJ113" s="8">
        <f t="shared" si="80"/>
        <v>232.80350017241199</v>
      </c>
      <c r="AK113" s="8">
        <f t="shared" si="80"/>
        <v>439.46496179469466</v>
      </c>
      <c r="AL113" s="8">
        <f t="shared" si="80"/>
        <v>652.24330094276127</v>
      </c>
      <c r="AM113" s="8">
        <f t="shared" si="80"/>
        <v>858.65756015839179</v>
      </c>
      <c r="AN113" s="8">
        <f t="shared" si="80"/>
        <v>1074.5183590212057</v>
      </c>
      <c r="AO113" s="53"/>
      <c r="AP113" s="64"/>
      <c r="AQ113" s="64"/>
    </row>
    <row r="114" spans="1:43" outlineLevel="1">
      <c r="E114" s="59" t="s">
        <v>106</v>
      </c>
      <c r="H114" s="67"/>
      <c r="I114" s="67"/>
      <c r="J114" s="67"/>
      <c r="K114" s="67"/>
      <c r="L114" s="67"/>
      <c r="M114" s="67"/>
      <c r="N114" s="67"/>
      <c r="O114" s="67"/>
      <c r="P114" s="67"/>
      <c r="Q114" s="67"/>
      <c r="R114" s="67"/>
      <c r="S114" s="67"/>
      <c r="T114" s="67"/>
      <c r="U114" s="67"/>
      <c r="V114" s="67"/>
      <c r="W114" s="67"/>
      <c r="X114" s="67">
        <f t="shared" ref="X114:AC114" si="81">X242</f>
        <v>0.626</v>
      </c>
      <c r="Y114" s="67">
        <f t="shared" si="81"/>
        <v>0.76200000000000001</v>
      </c>
      <c r="Z114" s="67">
        <f t="shared" si="81"/>
        <v>1.895</v>
      </c>
      <c r="AA114" s="67">
        <f t="shared" si="81"/>
        <v>5.7869999999999999</v>
      </c>
      <c r="AB114" s="67">
        <f t="shared" si="81"/>
        <v>6.5880000000000001</v>
      </c>
      <c r="AC114" s="67">
        <f t="shared" si="81"/>
        <v>1.9700000000000002</v>
      </c>
      <c r="AD114" s="67">
        <f t="shared" ref="AD114:AN114" si="82">AD242</f>
        <v>5.8945265675783798</v>
      </c>
      <c r="AE114" s="67">
        <f t="shared" ca="1" si="82"/>
        <v>6.1766802102833189</v>
      </c>
      <c r="AF114" s="67">
        <f t="shared" ca="1" si="82"/>
        <v>5.919098028318392</v>
      </c>
      <c r="AG114" s="67">
        <f t="shared" ca="1" si="82"/>
        <v>5.8137675593818887</v>
      </c>
      <c r="AH114" s="67">
        <f t="shared" ca="1" si="82"/>
        <v>6.0449782280912956</v>
      </c>
      <c r="AI114" s="67">
        <f t="shared" ca="1" si="82"/>
        <v>6.1597131329368811</v>
      </c>
      <c r="AJ114" s="67">
        <f t="shared" ca="1" si="82"/>
        <v>6.6828767515032457</v>
      </c>
      <c r="AK114" s="67">
        <f t="shared" ca="1" si="82"/>
        <v>7.7264702106578618</v>
      </c>
      <c r="AL114" s="67">
        <f t="shared" ca="1" si="82"/>
        <v>9.4239412002582679</v>
      </c>
      <c r="AM114" s="67">
        <f t="shared" ca="1" si="82"/>
        <v>11.734861334496037</v>
      </c>
      <c r="AN114" s="67">
        <f t="shared" ca="1" si="82"/>
        <v>14.624459882749765</v>
      </c>
      <c r="AO114" s="7"/>
    </row>
    <row r="115" spans="1:43" outlineLevel="1">
      <c r="E115" s="59" t="s">
        <v>107</v>
      </c>
      <c r="H115" s="67"/>
      <c r="I115" s="67"/>
      <c r="J115" s="67"/>
      <c r="K115" s="67"/>
      <c r="L115" s="67"/>
      <c r="M115" s="67"/>
      <c r="N115" s="67"/>
      <c r="O115" s="67"/>
      <c r="P115" s="67"/>
      <c r="Q115" s="67"/>
      <c r="R115" s="67"/>
      <c r="S115" s="67"/>
      <c r="T115" s="67"/>
      <c r="U115" s="67"/>
      <c r="V115" s="67"/>
      <c r="W115" s="67"/>
      <c r="X115" s="67">
        <f t="shared" ref="X115:AC115" si="83">X243</f>
        <v>-0.65400000000000003</v>
      </c>
      <c r="Y115" s="67">
        <f t="shared" si="83"/>
        <v>-0.86199999999999999</v>
      </c>
      <c r="Z115" s="67">
        <f t="shared" si="83"/>
        <v>-0.99199999999999999</v>
      </c>
      <c r="AA115" s="67">
        <f t="shared" si="83"/>
        <v>-1.1119999999999999</v>
      </c>
      <c r="AB115" s="67">
        <f t="shared" si="83"/>
        <v>-3.335</v>
      </c>
      <c r="AC115" s="67">
        <f t="shared" si="83"/>
        <v>-3.0600000000000023</v>
      </c>
      <c r="AD115" s="67">
        <f t="shared" ref="AD115:AN115" si="84">AD243</f>
        <v>-5.0187998457671394</v>
      </c>
      <c r="AE115" s="67">
        <f t="shared" si="84"/>
        <v>-9.883066047202254</v>
      </c>
      <c r="AF115" s="67">
        <f t="shared" si="84"/>
        <v>-10.417524277404302</v>
      </c>
      <c r="AG115" s="67">
        <f t="shared" si="84"/>
        <v>-12.16264645631767</v>
      </c>
      <c r="AH115" s="67">
        <f t="shared" si="84"/>
        <v>-87.699298186325947</v>
      </c>
      <c r="AI115" s="67">
        <f t="shared" si="84"/>
        <v>-89.572930338872411</v>
      </c>
      <c r="AJ115" s="67">
        <f t="shared" si="84"/>
        <v>-93.416814350915146</v>
      </c>
      <c r="AK115" s="67">
        <f t="shared" si="84"/>
        <v>-95.474463295456715</v>
      </c>
      <c r="AL115" s="67">
        <f t="shared" si="84"/>
        <v>-99.404601254954031</v>
      </c>
      <c r="AM115" s="67">
        <f t="shared" si="84"/>
        <v>-101.29196817812074</v>
      </c>
      <c r="AN115" s="67">
        <f t="shared" si="84"/>
        <v>-104.93612866652494</v>
      </c>
      <c r="AO115" s="7"/>
    </row>
    <row r="116" spans="1:43" outlineLevel="1">
      <c r="E116" s="59" t="s">
        <v>222</v>
      </c>
      <c r="H116" s="67"/>
      <c r="I116" s="67"/>
      <c r="J116" s="67"/>
      <c r="K116" s="67"/>
      <c r="L116" s="67"/>
      <c r="M116" s="67"/>
      <c r="N116" s="67"/>
      <c r="O116" s="67"/>
      <c r="P116" s="67"/>
      <c r="Q116" s="67"/>
      <c r="R116" s="67"/>
      <c r="S116" s="67"/>
      <c r="T116" s="67"/>
      <c r="U116" s="67"/>
      <c r="V116" s="67"/>
      <c r="W116" s="67"/>
      <c r="X116" s="67">
        <f t="shared" ref="X116:AC116" si="85">X244</f>
        <v>0</v>
      </c>
      <c r="Y116" s="67">
        <f t="shared" si="85"/>
        <v>0</v>
      </c>
      <c r="Z116" s="67">
        <f t="shared" si="85"/>
        <v>0</v>
      </c>
      <c r="AA116" s="67">
        <f t="shared" si="85"/>
        <v>0</v>
      </c>
      <c r="AB116" s="67">
        <f t="shared" si="85"/>
        <v>-21.628999999999998</v>
      </c>
      <c r="AC116" s="67">
        <f t="shared" si="85"/>
        <v>-46.173999999999999</v>
      </c>
      <c r="AD116" s="67">
        <f t="shared" ref="AD116:AN116" si="86">AD244</f>
        <v>-29.270199126013786</v>
      </c>
      <c r="AE116" s="67">
        <f t="shared" si="86"/>
        <v>-56.004040934146111</v>
      </c>
      <c r="AF116" s="67">
        <f t="shared" si="86"/>
        <v>-59.032637571957707</v>
      </c>
      <c r="AG116" s="67">
        <f t="shared" si="86"/>
        <v>-68.921663252466786</v>
      </c>
      <c r="AH116" s="67">
        <f t="shared" si="86"/>
        <v>0</v>
      </c>
      <c r="AI116" s="67">
        <f t="shared" si="86"/>
        <v>0</v>
      </c>
      <c r="AJ116" s="67">
        <f t="shared" si="86"/>
        <v>0</v>
      </c>
      <c r="AK116" s="67">
        <f t="shared" si="86"/>
        <v>0</v>
      </c>
      <c r="AL116" s="67">
        <f t="shared" si="86"/>
        <v>0</v>
      </c>
      <c r="AM116" s="67">
        <f t="shared" si="86"/>
        <v>0</v>
      </c>
      <c r="AN116" s="67">
        <f t="shared" si="86"/>
        <v>0</v>
      </c>
      <c r="AO116" s="7"/>
    </row>
    <row r="117" spans="1:43" s="3" customFormat="1" outlineLevel="1">
      <c r="A117" s="96" t="s">
        <v>108</v>
      </c>
      <c r="B117" s="96"/>
      <c r="C117" s="122"/>
      <c r="E117" s="2" t="s">
        <v>108</v>
      </c>
      <c r="F117" s="2"/>
      <c r="G117" s="2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>
        <f t="shared" ref="X117:AC117" si="87">SUM(X113:X116)</f>
        <v>-17.264999999999993</v>
      </c>
      <c r="Y117" s="8">
        <f t="shared" si="87"/>
        <v>-9.7149999999999856</v>
      </c>
      <c r="Z117" s="8">
        <f t="shared" si="87"/>
        <v>-86.087000000000046</v>
      </c>
      <c r="AA117" s="8">
        <f t="shared" si="87"/>
        <v>-104.71299999999997</v>
      </c>
      <c r="AB117" s="8">
        <f t="shared" si="87"/>
        <v>-124.97300000000001</v>
      </c>
      <c r="AC117" s="8">
        <f t="shared" si="87"/>
        <v>-247.976</v>
      </c>
      <c r="AD117" s="8">
        <f t="shared" ref="AD117:AM117" si="88">SUM(AD113:AD116)</f>
        <v>-234.10453239383148</v>
      </c>
      <c r="AE117" s="8">
        <f t="shared" ca="1" si="88"/>
        <v>-258.99169144449826</v>
      </c>
      <c r="AF117" s="8">
        <f t="shared" ca="1" si="88"/>
        <v>-247.17527844065614</v>
      </c>
      <c r="AG117" s="8">
        <f t="shared" ca="1" si="88"/>
        <v>-189.25822578622882</v>
      </c>
      <c r="AH117" s="8">
        <f t="shared" ca="1" si="88"/>
        <v>-117.01247166662537</v>
      </c>
      <c r="AI117" s="8">
        <f t="shared" ca="1" si="88"/>
        <v>-8.7940645681404987</v>
      </c>
      <c r="AJ117" s="8">
        <f t="shared" ca="1" si="88"/>
        <v>146.0695625730001</v>
      </c>
      <c r="AK117" s="8">
        <f t="shared" ca="1" si="88"/>
        <v>351.71696870989581</v>
      </c>
      <c r="AL117" s="8">
        <f t="shared" ca="1" si="88"/>
        <v>562.26264088806545</v>
      </c>
      <c r="AM117" s="8">
        <f t="shared" ca="1" si="88"/>
        <v>769.10045331476704</v>
      </c>
      <c r="AN117" s="8">
        <f ca="1">SUM(AN113:AN116)</f>
        <v>984.20669023743051</v>
      </c>
      <c r="AO117" s="53"/>
      <c r="AP117" s="64"/>
      <c r="AQ117" s="64"/>
    </row>
    <row r="118" spans="1:43" outlineLevel="1">
      <c r="E118" s="59" t="s">
        <v>109</v>
      </c>
      <c r="H118" s="68"/>
      <c r="I118" s="68"/>
      <c r="J118" s="68"/>
      <c r="K118" s="68"/>
      <c r="L118" s="68"/>
      <c r="M118" s="68"/>
      <c r="N118" s="68"/>
      <c r="O118" s="68"/>
      <c r="P118" s="68"/>
      <c r="Q118" s="68"/>
      <c r="R118" s="68"/>
      <c r="S118" s="68"/>
      <c r="T118" s="68"/>
      <c r="U118" s="68"/>
      <c r="V118" s="68"/>
      <c r="W118" s="68"/>
      <c r="X118" s="67">
        <f t="shared" ref="X118:AF118" si="89">-X19</f>
        <v>-0.59899999999999998</v>
      </c>
      <c r="Y118" s="67">
        <f t="shared" si="89"/>
        <v>-1.1679999999999997</v>
      </c>
      <c r="Z118" s="67">
        <f t="shared" si="89"/>
        <v>-0.69199999999999995</v>
      </c>
      <c r="AA118" s="67">
        <f t="shared" si="89"/>
        <v>-0.74500000000000011</v>
      </c>
      <c r="AB118" s="67">
        <f t="shared" si="89"/>
        <v>-0.54200000000000026</v>
      </c>
      <c r="AC118" s="67">
        <f t="shared" si="89"/>
        <v>-3.5950000000000015</v>
      </c>
      <c r="AD118" s="67">
        <f t="shared" si="89"/>
        <v>-2.0369999999999999</v>
      </c>
      <c r="AE118" s="67">
        <f t="shared" ca="1" si="89"/>
        <v>0</v>
      </c>
      <c r="AF118" s="67">
        <f t="shared" ca="1" si="89"/>
        <v>0</v>
      </c>
      <c r="AG118" s="58">
        <f t="shared" ref="AG118:AN118" ca="1" si="90">-AG117*AG120</f>
        <v>14.966525060039439</v>
      </c>
      <c r="AH118" s="58">
        <f t="shared" ca="1" si="90"/>
        <v>12.178648507998377</v>
      </c>
      <c r="AI118" s="58">
        <f t="shared" ca="1" si="90"/>
        <v>1.1351371372472325</v>
      </c>
      <c r="AJ118" s="58">
        <f t="shared" ca="1" si="90"/>
        <v>-22.506386288405032</v>
      </c>
      <c r="AK118" s="58">
        <f t="shared" ca="1" si="90"/>
        <v>-62.985446071954506</v>
      </c>
      <c r="AL118" s="58">
        <f t="shared" ca="1" si="90"/>
        <v>-114.7465138965692</v>
      </c>
      <c r="AM118" s="58">
        <f t="shared" ca="1" si="90"/>
        <v>-176.18546912062411</v>
      </c>
      <c r="AN118" s="58">
        <f t="shared" ca="1" si="90"/>
        <v>-236.20960565698331</v>
      </c>
      <c r="AO118" s="7"/>
    </row>
    <row r="119" spans="1:43" s="59" customFormat="1" outlineLevel="1">
      <c r="A119" s="97"/>
      <c r="B119" s="97"/>
      <c r="C119" s="123"/>
      <c r="E119" s="59" t="s">
        <v>111</v>
      </c>
      <c r="H119" s="68"/>
      <c r="I119" s="68"/>
      <c r="J119" s="68"/>
      <c r="K119" s="68"/>
      <c r="L119" s="68"/>
      <c r="M119" s="68"/>
      <c r="N119" s="68"/>
      <c r="O119" s="68"/>
      <c r="P119" s="68"/>
      <c r="Q119" s="68"/>
      <c r="R119" s="68"/>
      <c r="S119" s="68"/>
      <c r="T119" s="68"/>
      <c r="U119" s="68"/>
      <c r="V119" s="68"/>
      <c r="W119" s="68"/>
      <c r="X119" s="67">
        <f t="shared" ref="X119:AF119" si="91">-X20</f>
        <v>0.53</v>
      </c>
      <c r="Y119" s="67">
        <f t="shared" si="91"/>
        <v>0.13500000000000001</v>
      </c>
      <c r="Z119" s="67">
        <f t="shared" si="91"/>
        <v>-0.38500000000000001</v>
      </c>
      <c r="AA119" s="67">
        <f t="shared" si="91"/>
        <v>-0.37</v>
      </c>
      <c r="AB119" s="67">
        <f t="shared" si="91"/>
        <v>6.1449999999999996</v>
      </c>
      <c r="AC119" s="67">
        <f t="shared" si="91"/>
        <v>-8.7379999999999995</v>
      </c>
      <c r="AD119" s="67">
        <f t="shared" ca="1" si="91"/>
        <v>17.710577747928077</v>
      </c>
      <c r="AE119" s="67">
        <f t="shared" ca="1" si="91"/>
        <v>38.846499057453187</v>
      </c>
      <c r="AF119" s="67">
        <f t="shared" ca="1" si="91"/>
        <v>45.954847926302918</v>
      </c>
      <c r="AG119" s="58">
        <f t="shared" ref="AG119:AN119" ca="1" si="92">-AG117*AG121</f>
        <v>30.455449128655477</v>
      </c>
      <c r="AH119" s="58">
        <f t="shared" ca="1" si="92"/>
        <v>15.904344691991712</v>
      </c>
      <c r="AI119" s="58">
        <f t="shared" ca="1" si="92"/>
        <v>0.97543835910648713</v>
      </c>
      <c r="AJ119" s="58">
        <f t="shared" ca="1" si="92"/>
        <v>-12.550308729114988</v>
      </c>
      <c r="AK119" s="58">
        <f t="shared" ca="1" si="92"/>
        <v>-21.426626418420483</v>
      </c>
      <c r="AL119" s="58">
        <f t="shared" ca="1" si="92"/>
        <v>-20.196519916566515</v>
      </c>
      <c r="AM119" s="58">
        <f t="shared" ca="1" si="92"/>
        <v>-8.398639674919993</v>
      </c>
      <c r="AN119" s="58">
        <f t="shared" ca="1" si="92"/>
        <v>0</v>
      </c>
      <c r="AO119" s="72"/>
    </row>
    <row r="120" spans="1:43" outlineLevel="1">
      <c r="A120" s="96" t="s">
        <v>110</v>
      </c>
      <c r="B120" s="96"/>
      <c r="E120" s="69" t="s">
        <v>110</v>
      </c>
      <c r="H120" s="70"/>
      <c r="I120" s="70"/>
      <c r="J120" s="70"/>
      <c r="K120" s="70"/>
      <c r="L120" s="70"/>
      <c r="M120" s="70"/>
      <c r="N120" s="70"/>
      <c r="O120" s="70"/>
      <c r="P120" s="70"/>
      <c r="Q120" s="70"/>
      <c r="R120" s="70"/>
      <c r="S120" s="70"/>
      <c r="T120" s="70"/>
      <c r="U120" s="70"/>
      <c r="V120" s="70"/>
      <c r="W120" s="70"/>
      <c r="X120" s="70">
        <f>-X118/X$117</f>
        <v>-3.4694468578048088E-2</v>
      </c>
      <c r="Y120" s="70">
        <f t="shared" ref="Y120:AB121" si="93">-Y118/Y$117</f>
        <v>-0.12022645393721065</v>
      </c>
      <c r="Z120" s="70">
        <f t="shared" si="93"/>
        <v>-8.0383797785960661E-3</v>
      </c>
      <c r="AA120" s="70">
        <f t="shared" si="93"/>
        <v>-7.1146849006331623E-3</v>
      </c>
      <c r="AB120" s="70">
        <f t="shared" si="93"/>
        <v>-4.336936778344124E-3</v>
      </c>
      <c r="AC120" s="70">
        <f t="shared" ref="AC120:AF121" si="94">-AC118/AC$117</f>
        <v>-1.4497370713294841E-2</v>
      </c>
      <c r="AD120" s="70">
        <f t="shared" si="94"/>
        <v>-8.701241189868026E-3</v>
      </c>
      <c r="AE120" s="70">
        <f t="shared" ca="1" si="94"/>
        <v>0</v>
      </c>
      <c r="AF120" s="70">
        <f t="shared" ca="1" si="94"/>
        <v>0</v>
      </c>
      <c r="AG120" s="71">
        <f ca="1">DCF!$C$31-AG121</f>
        <v>7.9079918444043995E-2</v>
      </c>
      <c r="AH120" s="71">
        <f ca="1">DCF!$C$31-AH121</f>
        <v>0.10407991844404399</v>
      </c>
      <c r="AI120" s="71">
        <f ca="1">DCF!$C$31-AI121</f>
        <v>0.12907991844404398</v>
      </c>
      <c r="AJ120" s="71">
        <f ca="1">DCF!$C$31-AJ121</f>
        <v>0.15407991844404398</v>
      </c>
      <c r="AK120" s="71">
        <f ca="1">DCF!$C$31-AK121</f>
        <v>0.17907991844404397</v>
      </c>
      <c r="AL120" s="71">
        <f ca="1">DCF!$C$31-AL121</f>
        <v>0.204079918444044</v>
      </c>
      <c r="AM120" s="71">
        <f ca="1">DCF!$C$31-AM121</f>
        <v>0.22907991844404399</v>
      </c>
      <c r="AN120" s="71">
        <f ca="1">DCF!$C$31-AN121</f>
        <v>0.24</v>
      </c>
      <c r="AO120" s="7"/>
    </row>
    <row r="121" spans="1:43" s="59" customFormat="1" outlineLevel="1">
      <c r="A121" s="96" t="s">
        <v>112</v>
      </c>
      <c r="B121" s="96"/>
      <c r="C121" s="123"/>
      <c r="E121" s="69" t="s">
        <v>112</v>
      </c>
      <c r="H121" s="70"/>
      <c r="I121" s="70"/>
      <c r="J121" s="70"/>
      <c r="K121" s="70"/>
      <c r="L121" s="70"/>
      <c r="M121" s="70"/>
      <c r="N121" s="70"/>
      <c r="O121" s="70"/>
      <c r="P121" s="70"/>
      <c r="Q121" s="70"/>
      <c r="R121" s="70"/>
      <c r="S121" s="70"/>
      <c r="T121" s="70"/>
      <c r="U121" s="70"/>
      <c r="V121" s="70"/>
      <c r="W121" s="70"/>
      <c r="X121" s="70">
        <f>-X119/X$117</f>
        <v>3.0697943816970764E-2</v>
      </c>
      <c r="Y121" s="70">
        <f t="shared" si="93"/>
        <v>1.3896037056098837E-2</v>
      </c>
      <c r="Z121" s="70">
        <f t="shared" si="93"/>
        <v>-4.4722199635252686E-3</v>
      </c>
      <c r="AA121" s="70">
        <f t="shared" si="93"/>
        <v>-3.5334676687708319E-3</v>
      </c>
      <c r="AB121" s="70">
        <f t="shared" si="93"/>
        <v>4.917062085410448E-2</v>
      </c>
      <c r="AC121" s="70">
        <f t="shared" si="94"/>
        <v>-3.5237281027196178E-2</v>
      </c>
      <c r="AD121" s="70">
        <f t="shared" ca="1" si="94"/>
        <v>7.5652434264424098E-2</v>
      </c>
      <c r="AE121" s="70">
        <f t="shared" ca="1" si="94"/>
        <v>0.14999129447277257</v>
      </c>
      <c r="AF121" s="70">
        <f t="shared" ca="1" si="94"/>
        <v>0.18592008155595599</v>
      </c>
      <c r="AG121" s="71">
        <f ca="1">MAX(AF121-0.025,0)</f>
        <v>0.160920081555956</v>
      </c>
      <c r="AH121" s="71">
        <f t="shared" ref="AH121:AN121" ca="1" si="95">MAX(AG121-0.025,0)</f>
        <v>0.135920081555956</v>
      </c>
      <c r="AI121" s="71">
        <f t="shared" ca="1" si="95"/>
        <v>0.11092008155595601</v>
      </c>
      <c r="AJ121" s="71">
        <f t="shared" ca="1" si="95"/>
        <v>8.5920081555956013E-2</v>
      </c>
      <c r="AK121" s="71">
        <f t="shared" ca="1" si="95"/>
        <v>6.0920081555956011E-2</v>
      </c>
      <c r="AL121" s="71">
        <f t="shared" ca="1" si="95"/>
        <v>3.592008155595601E-2</v>
      </c>
      <c r="AM121" s="71">
        <f t="shared" ca="1" si="95"/>
        <v>1.0920081555956009E-2</v>
      </c>
      <c r="AN121" s="71">
        <f t="shared" ca="1" si="95"/>
        <v>0</v>
      </c>
      <c r="AO121" s="72"/>
    </row>
    <row r="122" spans="1:43" s="3" customFormat="1" outlineLevel="1">
      <c r="A122" s="96" t="s">
        <v>113</v>
      </c>
      <c r="B122" s="96"/>
      <c r="C122" s="122"/>
      <c r="E122" s="2" t="s">
        <v>113</v>
      </c>
      <c r="F122" s="2"/>
      <c r="G122" s="2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>
        <f>+X117+X118+X119</f>
        <v>-17.333999999999993</v>
      </c>
      <c r="Y122" s="8">
        <f t="shared" ref="Y122:AN122" si="96">+Y117+Y118+Y119</f>
        <v>-10.747999999999985</v>
      </c>
      <c r="Z122" s="8">
        <f t="shared" si="96"/>
        <v>-87.164000000000044</v>
      </c>
      <c r="AA122" s="8">
        <f t="shared" si="96"/>
        <v>-105.82799999999997</v>
      </c>
      <c r="AB122" s="8">
        <f t="shared" si="96"/>
        <v>-119.37000000000002</v>
      </c>
      <c r="AC122" s="8">
        <f>+AC117+AC118+AC119</f>
        <v>-260.30899999999997</v>
      </c>
      <c r="AD122" s="8">
        <f t="shared" ca="1" si="96"/>
        <v>-218.4309546459034</v>
      </c>
      <c r="AE122" s="8">
        <f t="shared" ca="1" si="96"/>
        <v>-220.14519238704509</v>
      </c>
      <c r="AF122" s="8">
        <f t="shared" ca="1" si="96"/>
        <v>-201.22043051435321</v>
      </c>
      <c r="AG122" s="8">
        <f t="shared" ca="1" si="96"/>
        <v>-143.8362515975339</v>
      </c>
      <c r="AH122" s="8">
        <f t="shared" ca="1" si="96"/>
        <v>-88.929478466635288</v>
      </c>
      <c r="AI122" s="8">
        <f t="shared" ca="1" si="96"/>
        <v>-6.683489071786779</v>
      </c>
      <c r="AJ122" s="8">
        <f t="shared" ca="1" si="96"/>
        <v>111.01286755548009</v>
      </c>
      <c r="AK122" s="8">
        <f t="shared" ca="1" si="96"/>
        <v>267.3048962195208</v>
      </c>
      <c r="AL122" s="8">
        <f t="shared" ca="1" si="96"/>
        <v>427.31960707492976</v>
      </c>
      <c r="AM122" s="8">
        <f t="shared" ca="1" si="96"/>
        <v>584.51634451922291</v>
      </c>
      <c r="AN122" s="8">
        <f t="shared" ca="1" si="96"/>
        <v>747.99708458044722</v>
      </c>
      <c r="AO122" s="53"/>
      <c r="AP122" s="64"/>
      <c r="AQ122" s="64"/>
    </row>
    <row r="123" spans="1:43" outlineLevel="1">
      <c r="B123" s="96" t="s">
        <v>398</v>
      </c>
      <c r="E123" s="59" t="s">
        <v>114</v>
      </c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>
        <v>0</v>
      </c>
      <c r="Y123" s="177" cm="1">
        <f t="array" ref="Y123">INDEX(QRT!$1:$1048576,MATCH(Model!$B123,QRT!$A:$A,0),MATCH(Model!Y$3,QRT!$4:$4,0))+INDEX(QRT!$1:$1048576,MATCH(Model!$B123,QRT!$A:$A,0),MATCH(Model!Y$3,QRT!$4:$4,0)+1)+INDEX(QRT!$1:$1048576,MATCH(Model!$B123,QRT!$A:$A,0),MATCH(Model!Y$3,QRT!$4:$4,0)+2)+INDEX(QRT!$1:$1048576,MATCH(Model!$B123,QRT!$A:$A,0),MATCH(Model!Y$3,QRT!$4:$4,0)+3)</f>
        <v>0</v>
      </c>
      <c r="Z123" s="177" cm="1">
        <f t="array" ref="Z123">INDEX(QRT!$1:$1048576,MATCH(Model!$B123,QRT!$A:$A,0),MATCH(Model!Z$3,QRT!$4:$4,0))+INDEX(QRT!$1:$1048576,MATCH(Model!$B123,QRT!$A:$A,0),MATCH(Model!Z$3,QRT!$4:$4,0)+1)+INDEX(QRT!$1:$1048576,MATCH(Model!$B123,QRT!$A:$A,0),MATCH(Model!Z$3,QRT!$4:$4,0)+2)+INDEX(QRT!$1:$1048576,MATCH(Model!$B123,QRT!$A:$A,0),MATCH(Model!Z$3,QRT!$4:$4,0)+3)</f>
        <v>0</v>
      </c>
      <c r="AA123" s="177" cm="1">
        <f t="array" ref="AA123">INDEX(QRT!$1:$1048576,MATCH(Model!$B123,QRT!$A:$A,0),MATCH(Model!AA$3,QRT!$4:$4,0))+INDEX(QRT!$1:$1048576,MATCH(Model!$B123,QRT!$A:$A,0),MATCH(Model!AA$3,QRT!$4:$4,0)+1)+INDEX(QRT!$1:$1048576,MATCH(Model!$B123,QRT!$A:$A,0),MATCH(Model!AA$3,QRT!$4:$4,0)+2)+INDEX(QRT!$1:$1048576,MATCH(Model!$B123,QRT!$A:$A,0),MATCH(Model!AA$3,QRT!$4:$4,0)+3)</f>
        <v>0</v>
      </c>
      <c r="AB123" s="177" cm="1">
        <f t="array" ref="AB123">INDEX(QRT!$1:$1048576,MATCH(Model!$B123,QRT!$A:$A,0),MATCH(Model!AB$3,QRT!$4:$4,0))+INDEX(QRT!$1:$1048576,MATCH(Model!$B123,QRT!$A:$A,0),MATCH(Model!AB$3,QRT!$4:$4,0)+1)+INDEX(QRT!$1:$1048576,MATCH(Model!$B123,QRT!$A:$A,0),MATCH(Model!AB$3,QRT!$4:$4,0)+2)+INDEX(QRT!$1:$1048576,MATCH(Model!$B123,QRT!$A:$A,0),MATCH(Model!AB$3,QRT!$4:$4,0)+3)</f>
        <v>0</v>
      </c>
      <c r="AC123" s="177" cm="1">
        <f t="array" ref="AC123">INDEX(QRT!$1:$1048576,MATCH(Model!$B123,QRT!$A:$A,0),MATCH(Model!AC$3,QRT!$4:$4,0))+INDEX(QRT!$1:$1048576,MATCH(Model!$B123,QRT!$A:$A,0),MATCH(Model!AC$3,QRT!$4:$4,0)+1)+INDEX(QRT!$1:$1048576,MATCH(Model!$B123,QRT!$A:$A,0),MATCH(Model!AC$3,QRT!$4:$4,0)+2)+INDEX(QRT!$1:$1048576,MATCH(Model!$B123,QRT!$A:$A,0),MATCH(Model!AC$3,QRT!$4:$4,0)+3)</f>
        <v>0</v>
      </c>
      <c r="AD123" s="164" cm="1">
        <f t="array" ref="AD123">INDEX(QRT!$1:$1048576,MATCH(Model!$B123,QRT!$A:$A,0),MATCH(Model!AD$3,QRT!$4:$4,0))+INDEX(QRT!$1:$1048576,MATCH(Model!$B123,QRT!$A:$A,0),MATCH(Model!AD$3,QRT!$4:$4,0)+1)+INDEX(QRT!$1:$1048576,MATCH(Model!$B123,QRT!$A:$A,0),MATCH(Model!AD$3,QRT!$4:$4,0)+2)+INDEX(QRT!$1:$1048576,MATCH(Model!$B123,QRT!$A:$A,0),MATCH(Model!AD$3,QRT!$4:$4,0)+3)</f>
        <v>0</v>
      </c>
      <c r="AE123" s="164" cm="1">
        <f t="array" ref="AE123">INDEX(QRT!$1:$1048576,MATCH(Model!$B123,QRT!$A:$A,0),MATCH(Model!AE$3,QRT!$4:$4,0))+INDEX(QRT!$1:$1048576,MATCH(Model!$B123,QRT!$A:$A,0),MATCH(Model!AE$3,QRT!$4:$4,0)+1)+INDEX(QRT!$1:$1048576,MATCH(Model!$B123,QRT!$A:$A,0),MATCH(Model!AE$3,QRT!$4:$4,0)+2)+INDEX(QRT!$1:$1048576,MATCH(Model!$B123,QRT!$A:$A,0),MATCH(Model!AE$3,QRT!$4:$4,0)+3)</f>
        <v>0</v>
      </c>
      <c r="AF123" s="164" cm="1">
        <f t="array" ref="AF123">INDEX(QRT!$1:$1048576,MATCH(Model!$B123,QRT!$A:$A,0),MATCH(Model!AF$3,QRT!$4:$4,0))+INDEX(QRT!$1:$1048576,MATCH(Model!$B123,QRT!$A:$A,0),MATCH(Model!AF$3,QRT!$4:$4,0)+1)+INDEX(QRT!$1:$1048576,MATCH(Model!$B123,QRT!$A:$A,0),MATCH(Model!AF$3,QRT!$4:$4,0)+2)+INDEX(QRT!$1:$1048576,MATCH(Model!$B123,QRT!$A:$A,0),MATCH(Model!AF$3,QRT!$4:$4,0)+3)</f>
        <v>0</v>
      </c>
      <c r="AG123" s="245">
        <f t="shared" ref="AG123:AN123" si="97">AF123</f>
        <v>0</v>
      </c>
      <c r="AH123" s="245">
        <f t="shared" si="97"/>
        <v>0</v>
      </c>
      <c r="AI123" s="245">
        <f t="shared" si="97"/>
        <v>0</v>
      </c>
      <c r="AJ123" s="245">
        <f t="shared" si="97"/>
        <v>0</v>
      </c>
      <c r="AK123" s="245">
        <f t="shared" si="97"/>
        <v>0</v>
      </c>
      <c r="AL123" s="245">
        <f t="shared" si="97"/>
        <v>0</v>
      </c>
      <c r="AM123" s="245">
        <f t="shared" si="97"/>
        <v>0</v>
      </c>
      <c r="AN123" s="245">
        <f t="shared" si="97"/>
        <v>0</v>
      </c>
      <c r="AO123" s="7"/>
    </row>
    <row r="124" spans="1:43" s="3" customFormat="1" outlineLevel="1">
      <c r="A124" s="96" t="s">
        <v>115</v>
      </c>
      <c r="B124" s="96"/>
      <c r="C124" s="122"/>
      <c r="E124" s="2" t="s">
        <v>115</v>
      </c>
      <c r="F124" s="2"/>
      <c r="G124" s="2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>
        <f t="shared" ref="X124:AN124" si="98">SUM(X122:X123)</f>
        <v>-17.333999999999993</v>
      </c>
      <c r="Y124" s="8">
        <f t="shared" si="98"/>
        <v>-10.747999999999985</v>
      </c>
      <c r="Z124" s="8">
        <f t="shared" si="98"/>
        <v>-87.164000000000044</v>
      </c>
      <c r="AA124" s="8">
        <f t="shared" si="98"/>
        <v>-105.82799999999997</v>
      </c>
      <c r="AB124" s="8">
        <f t="shared" si="98"/>
        <v>-119.37000000000002</v>
      </c>
      <c r="AC124" s="8">
        <f>SUM(AC122:AC123)</f>
        <v>-260.30899999999997</v>
      </c>
      <c r="AD124" s="8">
        <f t="shared" ca="1" si="98"/>
        <v>-218.4309546459034</v>
      </c>
      <c r="AE124" s="8">
        <f t="shared" ca="1" si="98"/>
        <v>-220.14519238704509</v>
      </c>
      <c r="AF124" s="8">
        <f t="shared" ca="1" si="98"/>
        <v>-201.22043051435321</v>
      </c>
      <c r="AG124" s="8">
        <f t="shared" ca="1" si="98"/>
        <v>-143.8362515975339</v>
      </c>
      <c r="AH124" s="8">
        <f t="shared" ca="1" si="98"/>
        <v>-88.929478466635288</v>
      </c>
      <c r="AI124" s="8">
        <f t="shared" ca="1" si="98"/>
        <v>-6.683489071786779</v>
      </c>
      <c r="AJ124" s="8">
        <f t="shared" ca="1" si="98"/>
        <v>111.01286755548009</v>
      </c>
      <c r="AK124" s="8">
        <f t="shared" ca="1" si="98"/>
        <v>267.3048962195208</v>
      </c>
      <c r="AL124" s="8">
        <f t="shared" ca="1" si="98"/>
        <v>427.31960707492976</v>
      </c>
      <c r="AM124" s="8">
        <f t="shared" ca="1" si="98"/>
        <v>584.51634451922291</v>
      </c>
      <c r="AN124" s="8">
        <f t="shared" ca="1" si="98"/>
        <v>747.99708458044722</v>
      </c>
      <c r="AO124" s="53"/>
      <c r="AP124" s="64"/>
      <c r="AQ124" s="64"/>
    </row>
    <row r="125" spans="1:43" outlineLevel="1"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283"/>
      <c r="Y125" s="283"/>
      <c r="Z125" s="283"/>
      <c r="AA125" s="283"/>
      <c r="AB125" s="283"/>
      <c r="AC125" s="283"/>
      <c r="AD125" s="45"/>
      <c r="AE125" s="45"/>
      <c r="AF125" s="45"/>
      <c r="AG125" s="45"/>
      <c r="AH125" s="45"/>
      <c r="AI125" s="45"/>
      <c r="AJ125" s="45"/>
      <c r="AK125" s="45"/>
      <c r="AL125" s="45"/>
      <c r="AM125" s="45"/>
      <c r="AN125" s="45"/>
      <c r="AO125" s="7"/>
    </row>
    <row r="126" spans="1:43" s="3" customFormat="1" outlineLevel="1">
      <c r="A126" s="96"/>
      <c r="B126" s="96" t="s">
        <v>156</v>
      </c>
      <c r="C126" s="33"/>
      <c r="D126"/>
      <c r="E126" s="126" t="s">
        <v>156</v>
      </c>
      <c r="F126" s="33"/>
      <c r="G126" s="33"/>
      <c r="H126" s="177"/>
      <c r="I126" s="177"/>
      <c r="J126" s="177"/>
      <c r="K126" s="177"/>
      <c r="L126" s="177"/>
      <c r="M126" s="177"/>
      <c r="N126" s="177"/>
      <c r="O126" s="177"/>
      <c r="P126" s="177"/>
      <c r="Q126" s="177"/>
      <c r="R126" s="177"/>
      <c r="S126" s="177"/>
      <c r="T126" s="177"/>
      <c r="U126" s="177"/>
      <c r="V126" s="177"/>
      <c r="W126" s="177"/>
      <c r="X126" s="177">
        <v>75.721000000000004</v>
      </c>
      <c r="Y126" s="177">
        <v>77.147000000000006</v>
      </c>
      <c r="Z126" s="177">
        <v>80.980999999999995</v>
      </c>
      <c r="AA126" s="177">
        <v>146.30600000000001</v>
      </c>
      <c r="AB126" s="177">
        <v>299.774</v>
      </c>
      <c r="AC126" s="177">
        <v>312.32100000000003</v>
      </c>
      <c r="AD126" s="58">
        <f>AVERAGE(INDEX(QRT!$1:$1048576,MATCH(Model!$B126,QRT!$A:$A,0),MATCH(Model!AD$3,QRT!$4:$4,0)),INDEX(QRT!$1:$1048576,MATCH(Model!$B126,QRT!$A:$A,0),MATCH(Model!AD$3,QRT!$4:$4,0)+1),INDEX(QRT!$1:$1048576,MATCH(Model!$B126,QRT!$A:$A,0),MATCH(Model!AD$3,QRT!$4:$4,0)+2),INDEX(QRT!$1:$1048576,MATCH(Model!$B126,QRT!$A:$A,0),MATCH(Model!AD$3,QRT!$4:$4,0)+3))</f>
        <v>326.13269796952949</v>
      </c>
      <c r="AE126" s="58">
        <f>AVERAGE(INDEX(QRT!$1:$1048576,MATCH(Model!$B126,QRT!$A:$A,0),MATCH(Model!AE$3,QRT!$4:$4,0)),INDEX(QRT!$1:$1048576,MATCH(Model!$B126,QRT!$A:$A,0),MATCH(Model!AE$3,QRT!$4:$4,0)+1),INDEX(QRT!$1:$1048576,MATCH(Model!$B126,QRT!$A:$A,0),MATCH(Model!AE$3,QRT!$4:$4,0)+2),INDEX(QRT!$1:$1048576,MATCH(Model!$B126,QRT!$A:$A,0),MATCH(Model!AE$3,QRT!$4:$4,0)+3))</f>
        <v>329.85114081199595</v>
      </c>
      <c r="AF126" s="58">
        <f>AVERAGE(INDEX(QRT!$1:$1048576,MATCH(Model!$B126,QRT!$A:$A,0),MATCH(Model!AF$3,QRT!$4:$4,0)),INDEX(QRT!$1:$1048576,MATCH(Model!$B126,QRT!$A:$A,0),MATCH(Model!AF$3,QRT!$4:$4,0)+1),INDEX(QRT!$1:$1048576,MATCH(Model!$B126,QRT!$A:$A,0),MATCH(Model!AF$3,QRT!$4:$4,0)+2),INDEX(QRT!$1:$1048576,MATCH(Model!$B126,QRT!$A:$A,0),MATCH(Model!AF$3,QRT!$4:$4,0)+3))</f>
        <v>332.47756771256093</v>
      </c>
      <c r="AG126" s="68">
        <f t="shared" ref="AG126:AN126" ca="1" si="99">AVERAGE(AG214,AG216)</f>
        <v>335.16073053210835</v>
      </c>
      <c r="AH126" s="68">
        <f t="shared" ca="1" si="99"/>
        <v>337.62181276599836</v>
      </c>
      <c r="AI126" s="68">
        <f t="shared" ca="1" si="99"/>
        <v>339.88226882001175</v>
      </c>
      <c r="AJ126" s="68">
        <f t="shared" ca="1" si="99"/>
        <v>341.93844433426727</v>
      </c>
      <c r="AK126" s="68">
        <f t="shared" ca="1" si="99"/>
        <v>343.78743073650253</v>
      </c>
      <c r="AL126" s="68">
        <f t="shared" ca="1" si="99"/>
        <v>345.43620012021836</v>
      </c>
      <c r="AM126" s="68">
        <f t="shared" ca="1" si="99"/>
        <v>346.8971877898083</v>
      </c>
      <c r="AN126" s="68">
        <f t="shared" ca="1" si="99"/>
        <v>348.17406993297283</v>
      </c>
      <c r="AO126" s="53"/>
    </row>
    <row r="127" spans="1:43" s="3" customFormat="1" outlineLevel="1">
      <c r="A127" s="96"/>
      <c r="B127" s="96" t="s">
        <v>157</v>
      </c>
      <c r="C127" s="33"/>
      <c r="D127"/>
      <c r="E127" s="126" t="s">
        <v>157</v>
      </c>
      <c r="F127" s="33"/>
      <c r="G127" s="33"/>
      <c r="H127" s="177"/>
      <c r="I127" s="177"/>
      <c r="J127" s="177"/>
      <c r="K127" s="177"/>
      <c r="L127" s="177"/>
      <c r="M127" s="177"/>
      <c r="N127" s="177"/>
      <c r="O127" s="177"/>
      <c r="P127" s="177"/>
      <c r="Q127" s="177"/>
      <c r="R127" s="177"/>
      <c r="S127" s="177"/>
      <c r="T127" s="177"/>
      <c r="U127" s="177"/>
      <c r="V127" s="177"/>
      <c r="W127" s="177"/>
      <c r="X127" s="177">
        <f>X126</f>
        <v>75.721000000000004</v>
      </c>
      <c r="Y127" s="177">
        <f>Y126</f>
        <v>77.147000000000006</v>
      </c>
      <c r="Z127" s="177">
        <f>Z126</f>
        <v>80.980999999999995</v>
      </c>
      <c r="AA127" s="177">
        <v>146.30600000000001</v>
      </c>
      <c r="AB127" s="177">
        <v>299.774</v>
      </c>
      <c r="AC127" s="177">
        <v>312.32100000000003</v>
      </c>
      <c r="AD127" s="58">
        <f>AVERAGE(INDEX(QRT!$1:$1048576,MATCH(Model!$B127,QRT!$A:$A,0),MATCH(Model!AD$3,QRT!$4:$4,0)),INDEX(QRT!$1:$1048576,MATCH(Model!$B127,QRT!$A:$A,0),MATCH(Model!AD$3,QRT!$4:$4,0)+1),INDEX(QRT!$1:$1048576,MATCH(Model!$B127,QRT!$A:$A,0),MATCH(Model!AD$3,QRT!$4:$4,0)+2),INDEX(QRT!$1:$1048576,MATCH(Model!$B127,QRT!$A:$A,0),MATCH(Model!AD$3,QRT!$4:$4,0)+3))</f>
        <v>343.04388546952953</v>
      </c>
      <c r="AE127" s="58">
        <f>AVERAGE(INDEX(QRT!$1:$1048576,MATCH(Model!$B127,QRT!$A:$A,0),MATCH(Model!AE$3,QRT!$4:$4,0)),INDEX(QRT!$1:$1048576,MATCH(Model!$B127,QRT!$A:$A,0),MATCH(Model!AE$3,QRT!$4:$4,0)+1),INDEX(QRT!$1:$1048576,MATCH(Model!$B127,QRT!$A:$A,0),MATCH(Model!AE$3,QRT!$4:$4,0)+2),INDEX(QRT!$1:$1048576,MATCH(Model!$B127,QRT!$A:$A,0),MATCH(Model!AE$3,QRT!$4:$4,0)+3))</f>
        <v>346.52902753074602</v>
      </c>
      <c r="AF127" s="58">
        <f>AVERAGE(INDEX(QRT!$1:$1048576,MATCH(Model!$B127,QRT!$A:$A,0),MATCH(Model!AF$3,QRT!$4:$4,0)),INDEX(QRT!$1:$1048576,MATCH(Model!$B127,QRT!$A:$A,0),MATCH(Model!AF$3,QRT!$4:$4,0)+1),INDEX(QRT!$1:$1048576,MATCH(Model!$B127,QRT!$A:$A,0),MATCH(Model!AF$3,QRT!$4:$4,0)+2),INDEX(QRT!$1:$1048576,MATCH(Model!$B127,QRT!$A:$A,0),MATCH(Model!AF$3,QRT!$4:$4,0)+3))</f>
        <v>349.14087313248285</v>
      </c>
      <c r="AG127" s="68">
        <f ca="1">(SUM(AE127:AF127)-SUM(AE126:AF126))/2+AG126</f>
        <v>351.83132660144435</v>
      </c>
      <c r="AH127" s="68">
        <f t="shared" ref="AH127:AN127" ca="1" si="100">(SUM(AF127:AG127)-SUM(AF126:AG126))/2+AH126</f>
        <v>354.28876351062735</v>
      </c>
      <c r="AI127" s="68">
        <f t="shared" ca="1" si="100"/>
        <v>356.55104222699424</v>
      </c>
      <c r="AJ127" s="68">
        <f t="shared" ca="1" si="100"/>
        <v>358.60630641007305</v>
      </c>
      <c r="AK127" s="68">
        <f t="shared" ca="1" si="100"/>
        <v>360.45574847789669</v>
      </c>
      <c r="AL127" s="68">
        <f t="shared" ca="1" si="100"/>
        <v>362.1042900288183</v>
      </c>
      <c r="AM127" s="68">
        <f t="shared" ca="1" si="100"/>
        <v>363.56539161480538</v>
      </c>
      <c r="AN127" s="68">
        <f t="shared" ca="1" si="100"/>
        <v>364.84221679977134</v>
      </c>
      <c r="AO127" s="53"/>
    </row>
    <row r="128" spans="1:43" s="3" customFormat="1" outlineLevel="1">
      <c r="A128" s="96"/>
      <c r="B128" s="96"/>
      <c r="C128" s="33"/>
      <c r="D128"/>
      <c r="E128" s="126"/>
      <c r="F128" s="33"/>
      <c r="G128" s="33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57"/>
      <c r="Y128" s="57"/>
      <c r="Z128" s="57"/>
      <c r="AA128" s="57"/>
      <c r="AB128" s="5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7"/>
      <c r="AN128" s="7"/>
      <c r="AO128" s="53"/>
    </row>
    <row r="129" spans="1:43" outlineLevel="1">
      <c r="A129" s="96" t="s">
        <v>170</v>
      </c>
      <c r="B129" s="96"/>
      <c r="E129" t="s">
        <v>117</v>
      </c>
      <c r="H129" s="63"/>
      <c r="I129" s="63"/>
      <c r="J129" s="63"/>
      <c r="K129" s="63"/>
      <c r="L129" s="63"/>
      <c r="M129" s="63"/>
      <c r="N129" s="63"/>
      <c r="O129" s="63"/>
      <c r="P129" s="63"/>
      <c r="Q129" s="63"/>
      <c r="R129" s="63"/>
      <c r="S129" s="63"/>
      <c r="T129" s="63"/>
      <c r="U129" s="63"/>
      <c r="V129" s="63"/>
      <c r="W129" s="63"/>
      <c r="X129" s="63">
        <f t="shared" ref="X129:AN129" si="101">+X127</f>
        <v>75.721000000000004</v>
      </c>
      <c r="Y129" s="63">
        <f t="shared" si="101"/>
        <v>77.147000000000006</v>
      </c>
      <c r="Z129" s="63">
        <f t="shared" si="101"/>
        <v>80.980999999999995</v>
      </c>
      <c r="AA129" s="63">
        <f t="shared" si="101"/>
        <v>146.30600000000001</v>
      </c>
      <c r="AB129" s="63">
        <f t="shared" si="101"/>
        <v>299.774</v>
      </c>
      <c r="AC129" s="63">
        <f t="shared" si="101"/>
        <v>312.32100000000003</v>
      </c>
      <c r="AD129" s="63">
        <f t="shared" si="101"/>
        <v>343.04388546952953</v>
      </c>
      <c r="AE129" s="63">
        <f t="shared" si="101"/>
        <v>346.52902753074602</v>
      </c>
      <c r="AF129" s="63">
        <f t="shared" si="101"/>
        <v>349.14087313248285</v>
      </c>
      <c r="AG129" s="63">
        <f t="shared" ca="1" si="101"/>
        <v>351.83132660144435</v>
      </c>
      <c r="AH129" s="63">
        <f t="shared" ca="1" si="101"/>
        <v>354.28876351062735</v>
      </c>
      <c r="AI129" s="63">
        <f t="shared" ca="1" si="101"/>
        <v>356.55104222699424</v>
      </c>
      <c r="AJ129" s="63">
        <f t="shared" ca="1" si="101"/>
        <v>358.60630641007305</v>
      </c>
      <c r="AK129" s="63">
        <f t="shared" ca="1" si="101"/>
        <v>360.45574847789669</v>
      </c>
      <c r="AL129" s="63">
        <f t="shared" ca="1" si="101"/>
        <v>362.1042900288183</v>
      </c>
      <c r="AM129" s="63">
        <f t="shared" ca="1" si="101"/>
        <v>363.56539161480538</v>
      </c>
      <c r="AN129" s="63">
        <f t="shared" ca="1" si="101"/>
        <v>364.84221679977134</v>
      </c>
      <c r="AO129" s="7"/>
      <c r="AP129" s="64"/>
      <c r="AQ129" s="148"/>
    </row>
    <row r="130" spans="1:43" outlineLevel="1">
      <c r="A130" s="96" t="s">
        <v>25</v>
      </c>
      <c r="B130" s="96"/>
      <c r="E130" s="3" t="s">
        <v>118</v>
      </c>
      <c r="H130" s="75"/>
      <c r="I130" s="75"/>
      <c r="J130" s="75"/>
      <c r="K130" s="75"/>
      <c r="L130" s="75"/>
      <c r="M130" s="75"/>
      <c r="N130" s="75"/>
      <c r="O130" s="75"/>
      <c r="P130" s="75"/>
      <c r="Q130" s="75"/>
      <c r="R130" s="75"/>
      <c r="S130" s="75"/>
      <c r="T130" s="75"/>
      <c r="U130" s="75"/>
      <c r="V130" s="75"/>
      <c r="W130" s="75"/>
      <c r="X130" s="75">
        <f t="shared" ref="X130:AN130" si="102">+X124/X129</f>
        <v>-0.22891932224878161</v>
      </c>
      <c r="Y130" s="75">
        <f t="shared" si="102"/>
        <v>-0.13931844400948817</v>
      </c>
      <c r="Z130" s="75">
        <f t="shared" si="102"/>
        <v>-1.076351242884134</v>
      </c>
      <c r="AA130" s="75">
        <f t="shared" si="102"/>
        <v>-0.72333328776673522</v>
      </c>
      <c r="AB130" s="75">
        <f t="shared" si="102"/>
        <v>-0.39819997731624496</v>
      </c>
      <c r="AC130" s="75">
        <f t="shared" si="102"/>
        <v>-0.83346620944476979</v>
      </c>
      <c r="AD130" s="75">
        <f t="shared" ca="1" si="102"/>
        <v>-0.63674347189408009</v>
      </c>
      <c r="AE130" s="75">
        <f t="shared" ca="1" si="102"/>
        <v>-0.63528644037623239</v>
      </c>
      <c r="AF130" s="75">
        <f t="shared" ca="1" si="102"/>
        <v>-0.5763302036481972</v>
      </c>
      <c r="AG130" s="75">
        <f t="shared" ca="1" si="102"/>
        <v>-0.40882161627543778</v>
      </c>
      <c r="AH130" s="75">
        <f t="shared" ca="1" si="102"/>
        <v>-0.25100846435387369</v>
      </c>
      <c r="AI130" s="75">
        <f t="shared" ca="1" si="102"/>
        <v>-1.8744831118827049E-2</v>
      </c>
      <c r="AJ130" s="75">
        <f t="shared" ca="1" si="102"/>
        <v>0.30956752731652964</v>
      </c>
      <c r="AK130" s="75">
        <f t="shared" ca="1" si="102"/>
        <v>0.74157479065953102</v>
      </c>
      <c r="AL130" s="75">
        <f t="shared" ca="1" si="102"/>
        <v>1.180100923523776</v>
      </c>
      <c r="AM130" s="75">
        <f t="shared" ca="1" si="102"/>
        <v>1.6077337337391928</v>
      </c>
      <c r="AN130" s="75">
        <f t="shared" ca="1" si="102"/>
        <v>2.0501933442394216</v>
      </c>
      <c r="AO130" s="45"/>
      <c r="AP130" s="64"/>
      <c r="AQ130" s="64"/>
    </row>
    <row r="131" spans="1:43" outlineLevel="1">
      <c r="A131" s="96" t="s">
        <v>171</v>
      </c>
      <c r="B131" s="96"/>
      <c r="E131" t="s">
        <v>119</v>
      </c>
      <c r="H131" s="76"/>
      <c r="I131" s="76"/>
      <c r="J131" s="76"/>
      <c r="K131" s="76"/>
      <c r="L131" s="76"/>
      <c r="M131" s="76"/>
      <c r="N131" s="76"/>
      <c r="O131" s="76"/>
      <c r="P131" s="76"/>
      <c r="Q131" s="76"/>
      <c r="R131" s="76"/>
      <c r="S131" s="76"/>
      <c r="T131" s="76"/>
      <c r="U131" s="76"/>
      <c r="V131" s="76"/>
      <c r="W131" s="76"/>
      <c r="X131" s="76" t="str">
        <f>IFERROR(IF(W130&lt;0,"na",X130/W130-1),"na")</f>
        <v>na</v>
      </c>
      <c r="Y131" s="76" t="str">
        <f>IFERROR(IF(X130&lt;0,"na",Y130/X130-1),"na")</f>
        <v>na</v>
      </c>
      <c r="Z131" s="76" t="str">
        <f>IFERROR(IF(Y130&lt;0,"na",Z130/Y130-1),"na")</f>
        <v>na</v>
      </c>
      <c r="AA131" s="76" t="str">
        <f>IFERROR(IF(Z130&lt;0,"na",AA130/Z130-1),"na")</f>
        <v>na</v>
      </c>
      <c r="AB131" s="76" t="str">
        <f>IFERROR(IF(AA130&lt;0,"na",AB130/AA130-1),"na")</f>
        <v>na</v>
      </c>
      <c r="AC131" s="76">
        <f t="shared" ref="AC131:AN131" si="103">IFERROR(AC130/AB130-1,"na")</f>
        <v>1.0930845226614423</v>
      </c>
      <c r="AD131" s="76">
        <f t="shared" ca="1" si="103"/>
        <v>-0.23602964981836572</v>
      </c>
      <c r="AE131" s="76">
        <f t="shared" ca="1" si="103"/>
        <v>-2.2882551328143874E-3</v>
      </c>
      <c r="AF131" s="76">
        <f t="shared" ca="1" si="103"/>
        <v>-9.2802605220284273E-2</v>
      </c>
      <c r="AG131" s="76">
        <f t="shared" ca="1" si="103"/>
        <v>-0.29064690053101883</v>
      </c>
      <c r="AH131" s="76">
        <f t="shared" ca="1" si="103"/>
        <v>-0.38601958810132908</v>
      </c>
      <c r="AI131" s="76">
        <f t="shared" ca="1" si="103"/>
        <v>-0.92532191626653493</v>
      </c>
      <c r="AJ131" s="76">
        <f t="shared" ca="1" si="103"/>
        <v>-17.514820824691469</v>
      </c>
      <c r="AK131" s="76">
        <f t="shared" ca="1" si="103"/>
        <v>1.395518667890765</v>
      </c>
      <c r="AL131" s="76">
        <f t="shared" ca="1" si="103"/>
        <v>0.59134444480540527</v>
      </c>
      <c r="AM131" s="76">
        <f t="shared" ca="1" si="103"/>
        <v>0.36236969371950578</v>
      </c>
      <c r="AN131" s="76">
        <f t="shared" ca="1" si="103"/>
        <v>0.27520702042568734</v>
      </c>
      <c r="AO131" s="45"/>
      <c r="AP131" s="46"/>
    </row>
    <row r="132" spans="1:43"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6"/>
      <c r="AN132" s="76"/>
      <c r="AO132" s="7"/>
    </row>
    <row r="133" spans="1:43">
      <c r="D133" s="90"/>
      <c r="E133" s="91" t="s">
        <v>120</v>
      </c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188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  <c r="AM133" s="90"/>
      <c r="AN133" s="90"/>
    </row>
    <row r="134" spans="1:43" ht="5.0999999999999996" customHeight="1">
      <c r="C134" s="121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52"/>
      <c r="AN134" s="52"/>
      <c r="AO134" s="7"/>
      <c r="AP134" s="1"/>
    </row>
    <row r="135" spans="1:43" outlineLevel="1">
      <c r="E135" t="s">
        <v>113</v>
      </c>
      <c r="H135" s="7"/>
      <c r="I135" s="7"/>
      <c r="J135" s="7"/>
      <c r="K135" s="7"/>
      <c r="L135" s="7"/>
      <c r="M135" s="7"/>
      <c r="N135" s="7"/>
      <c r="O135" s="7"/>
      <c r="P135" s="7"/>
      <c r="Q135" s="7"/>
      <c r="R135" s="7"/>
      <c r="S135" s="7"/>
      <c r="T135" s="7"/>
      <c r="U135" s="7"/>
      <c r="V135" s="7"/>
      <c r="W135" s="7"/>
      <c r="X135" s="7">
        <f t="shared" ref="X135:AN135" si="104">+X122</f>
        <v>-17.333999999999993</v>
      </c>
      <c r="Y135" s="7">
        <f t="shared" si="104"/>
        <v>-10.747999999999985</v>
      </c>
      <c r="Z135" s="7">
        <f t="shared" si="104"/>
        <v>-87.164000000000044</v>
      </c>
      <c r="AA135" s="7">
        <f t="shared" si="104"/>
        <v>-105.82799999999997</v>
      </c>
      <c r="AB135" s="7">
        <f t="shared" si="104"/>
        <v>-119.37000000000002</v>
      </c>
      <c r="AC135" s="7">
        <f>+AC122</f>
        <v>-260.30899999999997</v>
      </c>
      <c r="AD135" s="7">
        <f t="shared" ca="1" si="104"/>
        <v>-218.4309546459034</v>
      </c>
      <c r="AE135" s="7">
        <f t="shared" ca="1" si="104"/>
        <v>-220.14519238704509</v>
      </c>
      <c r="AF135" s="7">
        <f t="shared" ca="1" si="104"/>
        <v>-201.22043051435321</v>
      </c>
      <c r="AG135" s="7">
        <f t="shared" ca="1" si="104"/>
        <v>-143.8362515975339</v>
      </c>
      <c r="AH135" s="7">
        <f t="shared" ca="1" si="104"/>
        <v>-88.929478466635288</v>
      </c>
      <c r="AI135" s="7">
        <f t="shared" ca="1" si="104"/>
        <v>-6.683489071786779</v>
      </c>
      <c r="AJ135" s="7">
        <f t="shared" ca="1" si="104"/>
        <v>111.01286755548009</v>
      </c>
      <c r="AK135" s="7">
        <f t="shared" ca="1" si="104"/>
        <v>267.3048962195208</v>
      </c>
      <c r="AL135" s="7">
        <f t="shared" ca="1" si="104"/>
        <v>427.31960707492976</v>
      </c>
      <c r="AM135" s="7">
        <f t="shared" ca="1" si="104"/>
        <v>584.51634451922291</v>
      </c>
      <c r="AN135" s="7">
        <f t="shared" ca="1" si="104"/>
        <v>747.99708458044722</v>
      </c>
      <c r="AO135" s="7"/>
    </row>
    <row r="136" spans="1:43" outlineLevel="1">
      <c r="E136" s="59" t="s">
        <v>7</v>
      </c>
      <c r="H136" s="7"/>
      <c r="I136" s="7"/>
      <c r="J136" s="7"/>
      <c r="K136" s="7"/>
      <c r="L136" s="7"/>
      <c r="M136" s="7"/>
      <c r="N136" s="7"/>
      <c r="O136" s="7"/>
      <c r="P136" s="7"/>
      <c r="Q136" s="7"/>
      <c r="R136" s="7"/>
      <c r="S136" s="7"/>
      <c r="T136" s="7"/>
      <c r="U136" s="7"/>
      <c r="V136" s="7"/>
      <c r="W136" s="7"/>
      <c r="X136" s="7">
        <f t="shared" ref="X136:AC136" si="105">-X111-X140</f>
        <v>8.3550000000000004</v>
      </c>
      <c r="Y136" s="7">
        <f t="shared" si="105"/>
        <v>8.2189999999999959</v>
      </c>
      <c r="Z136" s="7">
        <f t="shared" si="105"/>
        <v>18.905000000000001</v>
      </c>
      <c r="AA136" s="7">
        <f t="shared" si="105"/>
        <v>29.478999999999999</v>
      </c>
      <c r="AB136" s="7">
        <f t="shared" si="105"/>
        <v>49.387000000000015</v>
      </c>
      <c r="AC136" s="7">
        <f t="shared" si="105"/>
        <v>66.606999999999999</v>
      </c>
      <c r="AD136" s="7">
        <f t="shared" ref="AD136:AN136" si="106">-AD111-AD140</f>
        <v>105.33135999999999</v>
      </c>
      <c r="AE136" s="7">
        <f t="shared" si="106"/>
        <v>138.96589519608216</v>
      </c>
      <c r="AF136" s="7">
        <f t="shared" si="106"/>
        <v>162.50206117664302</v>
      </c>
      <c r="AG136" s="7">
        <f t="shared" si="106"/>
        <v>169.68568695670587</v>
      </c>
      <c r="AH136" s="7">
        <f t="shared" si="106"/>
        <v>203.84347154811036</v>
      </c>
      <c r="AI136" s="7">
        <f t="shared" si="106"/>
        <v>241.6157338669662</v>
      </c>
      <c r="AJ136" s="7">
        <f t="shared" si="106"/>
        <v>282.03812560661834</v>
      </c>
      <c r="AK136" s="7">
        <f t="shared" si="106"/>
        <v>324.14651051769965</v>
      </c>
      <c r="AL136" s="7">
        <f t="shared" si="106"/>
        <v>366.05876093445318</v>
      </c>
      <c r="AM136" s="7">
        <f t="shared" si="106"/>
        <v>406.06910389570044</v>
      </c>
      <c r="AN136" s="7">
        <f t="shared" si="106"/>
        <v>441.51907021569446</v>
      </c>
      <c r="AO136" s="7"/>
      <c r="AP136" s="7"/>
    </row>
    <row r="137" spans="1:43" outlineLevel="1">
      <c r="A137" s="96" t="s">
        <v>121</v>
      </c>
      <c r="B137" s="96"/>
      <c r="E137" s="59" t="s">
        <v>121</v>
      </c>
      <c r="H137" s="68"/>
      <c r="I137" s="68"/>
      <c r="J137" s="68"/>
      <c r="K137" s="68"/>
      <c r="L137" s="68"/>
      <c r="M137" s="68"/>
      <c r="N137" s="68"/>
      <c r="O137" s="68"/>
      <c r="P137" s="68"/>
      <c r="Q137" s="68"/>
      <c r="R137" s="68"/>
      <c r="S137" s="68"/>
      <c r="T137" s="68"/>
      <c r="U137" s="68"/>
      <c r="V137" s="68"/>
      <c r="W137" s="68"/>
      <c r="X137" s="7">
        <f t="shared" ref="X137:AN137" si="107">-X119</f>
        <v>-0.53</v>
      </c>
      <c r="Y137" s="7">
        <f t="shared" si="107"/>
        <v>-0.13500000000000001</v>
      </c>
      <c r="Z137" s="7">
        <f t="shared" si="107"/>
        <v>0.38500000000000001</v>
      </c>
      <c r="AA137" s="7">
        <f t="shared" si="107"/>
        <v>0.37</v>
      </c>
      <c r="AB137" s="7">
        <f t="shared" si="107"/>
        <v>-6.1449999999999996</v>
      </c>
      <c r="AC137" s="7">
        <f>-AC119</f>
        <v>8.7379999999999995</v>
      </c>
      <c r="AD137" s="7">
        <f t="shared" ca="1" si="107"/>
        <v>-17.710577747928077</v>
      </c>
      <c r="AE137" s="7">
        <f t="shared" ca="1" si="107"/>
        <v>-38.846499057453187</v>
      </c>
      <c r="AF137" s="7">
        <f t="shared" ca="1" si="107"/>
        <v>-45.954847926302918</v>
      </c>
      <c r="AG137" s="7">
        <f t="shared" ca="1" si="107"/>
        <v>-30.455449128655477</v>
      </c>
      <c r="AH137" s="7">
        <f t="shared" ca="1" si="107"/>
        <v>-15.904344691991712</v>
      </c>
      <c r="AI137" s="7">
        <f t="shared" ca="1" si="107"/>
        <v>-0.97543835910648713</v>
      </c>
      <c r="AJ137" s="7">
        <f t="shared" ca="1" si="107"/>
        <v>12.550308729114988</v>
      </c>
      <c r="AK137" s="7">
        <f t="shared" ca="1" si="107"/>
        <v>21.426626418420483</v>
      </c>
      <c r="AL137" s="7">
        <f t="shared" ca="1" si="107"/>
        <v>20.196519916566515</v>
      </c>
      <c r="AM137" s="7">
        <f t="shared" ca="1" si="107"/>
        <v>8.398639674919993</v>
      </c>
      <c r="AN137" s="7">
        <f t="shared" ca="1" si="107"/>
        <v>0</v>
      </c>
      <c r="AO137" s="7"/>
    </row>
    <row r="138" spans="1:43" outlineLevel="1">
      <c r="B138" s="96" t="s">
        <v>399</v>
      </c>
      <c r="E138" s="59" t="s">
        <v>122</v>
      </c>
      <c r="H138" s="177"/>
      <c r="I138" s="177"/>
      <c r="J138" s="177"/>
      <c r="K138" s="177"/>
      <c r="L138" s="177"/>
      <c r="M138" s="177"/>
      <c r="N138" s="177"/>
      <c r="O138" s="177"/>
      <c r="P138" s="177"/>
      <c r="Q138" s="177"/>
      <c r="R138" s="177"/>
      <c r="S138" s="177"/>
      <c r="T138" s="177"/>
      <c r="U138" s="177"/>
      <c r="V138" s="177"/>
      <c r="W138" s="177"/>
      <c r="X138" s="177">
        <v>5.7</v>
      </c>
      <c r="Y138" s="177">
        <v>2.7549999999999999</v>
      </c>
      <c r="Z138" s="177" cm="1">
        <f t="array" ref="Z138">INDEX(QRT!$1:$1048576,MATCH(Model!$B138,QRT!$A:$A,0),MATCH(Model!Z$3,QRT!$4:$4,0))+INDEX(QRT!$1:$1048576,MATCH(Model!$B138,QRT!$A:$A,0),MATCH(Model!Z$3,QRT!$4:$4,0)+1)+INDEX(QRT!$1:$1048576,MATCH(Model!$B138,QRT!$A:$A,0),MATCH(Model!Z$3,QRT!$4:$4,0)+2)+INDEX(QRT!$1:$1048576,MATCH(Model!$B138,QRT!$A:$A,0),MATCH(Model!Z$3,QRT!$4:$4,0)+3)</f>
        <v>27.347000000000001</v>
      </c>
      <c r="AA138" s="177" cm="1">
        <f t="array" ref="AA138">INDEX(QRT!$1:$1048576,MATCH(Model!$B138,QRT!$A:$A,0),MATCH(Model!AA$3,QRT!$4:$4,0))+INDEX(QRT!$1:$1048576,MATCH(Model!$B138,QRT!$A:$A,0),MATCH(Model!AA$3,QRT!$4:$4,0)+1)+INDEX(QRT!$1:$1048576,MATCH(Model!$B138,QRT!$A:$A,0),MATCH(Model!AA$3,QRT!$4:$4,0)+2)+INDEX(QRT!$1:$1048576,MATCH(Model!$B138,QRT!$A:$A,0),MATCH(Model!AA$3,QRT!$4:$4,0)+3)</f>
        <v>36.627000000000002</v>
      </c>
      <c r="AB138" s="177" cm="1">
        <f t="array" ref="AB138">INDEX(QRT!$1:$1048576,MATCH(Model!$B138,QRT!$A:$A,0),MATCH(Model!AB$3,QRT!$4:$4,0))+INDEX(QRT!$1:$1048576,MATCH(Model!$B138,QRT!$A:$A,0),MATCH(Model!AB$3,QRT!$4:$4,0)+1)+INDEX(QRT!$1:$1048576,MATCH(Model!$B138,QRT!$A:$A,0),MATCH(Model!AB$3,QRT!$4:$4,0)+2)+INDEX(QRT!$1:$1048576,MATCH(Model!$B138,QRT!$A:$A,0),MATCH(Model!AB$3,QRT!$4:$4,0)+3)</f>
        <v>56.334000000000003</v>
      </c>
      <c r="AC138" s="177" cm="1">
        <f t="array" ref="AC138">INDEX(QRT!$1:$1048576,MATCH(Model!$B138,QRT!$A:$A,0),MATCH(Model!AC$3,QRT!$4:$4,0))+INDEX(QRT!$1:$1048576,MATCH(Model!$B138,QRT!$A:$A,0),MATCH(Model!AC$3,QRT!$4:$4,0)+1)+INDEX(QRT!$1:$1048576,MATCH(Model!$B138,QRT!$A:$A,0),MATCH(Model!AC$3,QRT!$4:$4,0)+2)+INDEX(QRT!$1:$1048576,MATCH(Model!$B138,QRT!$A:$A,0),MATCH(Model!AC$3,QRT!$4:$4,0)+3)</f>
        <v>90.135999999999996</v>
      </c>
      <c r="AD138" s="164" cm="1">
        <f t="array" ref="AD138">INDEX(QRT!$1:$1048576,MATCH(Model!$B138,QRT!$A:$A,0),MATCH(Model!AD$3,QRT!$4:$4,0))+INDEX(QRT!$1:$1048576,MATCH(Model!$B138,QRT!$A:$A,0),MATCH(Model!AD$3,QRT!$4:$4,0)+1)+INDEX(QRT!$1:$1048576,MATCH(Model!$B138,QRT!$A:$A,0),MATCH(Model!AD$3,QRT!$4:$4,0)+2)+INDEX(QRT!$1:$1048576,MATCH(Model!$B138,QRT!$A:$A,0),MATCH(Model!AD$3,QRT!$4:$4,0)+3)</f>
        <v>161.92127800002817</v>
      </c>
      <c r="AE138" s="164" cm="1">
        <f t="array" ref="AE138">INDEX(QRT!$1:$1048576,MATCH(Model!$B138,QRT!$A:$A,0),MATCH(Model!AE$3,QRT!$4:$4,0))+INDEX(QRT!$1:$1048576,MATCH(Model!$B138,QRT!$A:$A,0),MATCH(Model!AE$3,QRT!$4:$4,0)+1)+INDEX(QRT!$1:$1048576,MATCH(Model!$B138,QRT!$A:$A,0),MATCH(Model!AE$3,QRT!$4:$4,0)+2)+INDEX(QRT!$1:$1048576,MATCH(Model!$B138,QRT!$A:$A,0),MATCH(Model!AE$3,QRT!$4:$4,0)+3)</f>
        <v>162.32023140661948</v>
      </c>
      <c r="AF138" s="164" cm="1">
        <f t="array" ref="AF138">INDEX(QRT!$1:$1048576,MATCH(Model!$B138,QRT!$A:$A,0),MATCH(Model!AF$3,QRT!$4:$4,0))+INDEX(QRT!$1:$1048576,MATCH(Model!$B138,QRT!$A:$A,0),MATCH(Model!AF$3,QRT!$4:$4,0)+1)+INDEX(QRT!$1:$1048576,MATCH(Model!$B138,QRT!$A:$A,0),MATCH(Model!AF$3,QRT!$4:$4,0)+2)+INDEX(QRT!$1:$1048576,MATCH(Model!$B138,QRT!$A:$A,0),MATCH(Model!AF$3,QRT!$4:$4,0)+3)</f>
        <v>182.87015264966652</v>
      </c>
      <c r="AG138" s="7">
        <f t="shared" ref="AG138:AN138" si="108">SUM(AG8,AG10:AG12)*AG33</f>
        <v>209.74143517576601</v>
      </c>
      <c r="AH138" s="7">
        <f t="shared" si="108"/>
        <v>232.79777359719014</v>
      </c>
      <c r="AI138" s="7">
        <f t="shared" si="108"/>
        <v>249.83799538590449</v>
      </c>
      <c r="AJ138" s="7">
        <f t="shared" si="108"/>
        <v>259.2023956710492</v>
      </c>
      <c r="AK138" s="7">
        <f t="shared" si="108"/>
        <v>260.61739930717397</v>
      </c>
      <c r="AL138" s="7">
        <f t="shared" si="108"/>
        <v>255.75612431483083</v>
      </c>
      <c r="AM138" s="7">
        <f t="shared" si="108"/>
        <v>244.57819389032963</v>
      </c>
      <c r="AN138" s="7">
        <f t="shared" si="108"/>
        <v>225.33111015151854</v>
      </c>
      <c r="AO138" s="7"/>
    </row>
    <row r="139" spans="1:43" outlineLevel="1">
      <c r="A139" s="96" t="s">
        <v>226</v>
      </c>
      <c r="B139" s="96" t="s">
        <v>400</v>
      </c>
      <c r="E139" s="59" t="s">
        <v>226</v>
      </c>
      <c r="H139" s="177"/>
      <c r="I139" s="177"/>
      <c r="J139" s="177"/>
      <c r="K139" s="177"/>
      <c r="L139" s="177"/>
      <c r="M139" s="177"/>
      <c r="N139" s="177"/>
      <c r="O139" s="177"/>
      <c r="P139" s="177"/>
      <c r="Q139" s="177"/>
      <c r="R139" s="177"/>
      <c r="S139" s="177"/>
      <c r="T139" s="177"/>
      <c r="U139" s="177"/>
      <c r="V139" s="177"/>
      <c r="W139" s="177"/>
      <c r="X139" s="177">
        <v>0</v>
      </c>
      <c r="Y139" s="177">
        <v>0</v>
      </c>
      <c r="Z139" s="177" cm="1">
        <f t="array" ref="Z139">INDEX(QRT!$1:$1048576,MATCH(Model!$B139,QRT!$A:$A,0),MATCH(Model!Z$3,QRT!$4:$4,0))+INDEX(QRT!$1:$1048576,MATCH(Model!$B139,QRT!$A:$A,0),MATCH(Model!Z$3,QRT!$4:$4,0)+1)+INDEX(QRT!$1:$1048576,MATCH(Model!$B139,QRT!$A:$A,0),MATCH(Model!Z$3,QRT!$4:$4,0)+2)+INDEX(QRT!$1:$1048576,MATCH(Model!$B139,QRT!$A:$A,0),MATCH(Model!Z$3,QRT!$4:$4,0)+3)</f>
        <v>0</v>
      </c>
      <c r="AA139" s="177" cm="1">
        <f t="array" ref="AA139">INDEX(QRT!$1:$1048576,MATCH(Model!$B139,QRT!$A:$A,0),MATCH(Model!AA$3,QRT!$4:$4,0))+INDEX(QRT!$1:$1048576,MATCH(Model!$B139,QRT!$A:$A,0),MATCH(Model!AA$3,QRT!$4:$4,0)+1)+INDEX(QRT!$1:$1048576,MATCH(Model!$B139,QRT!$A:$A,0),MATCH(Model!AA$3,QRT!$4:$4,0)+2)+INDEX(QRT!$1:$1048576,MATCH(Model!$B139,QRT!$A:$A,0),MATCH(Model!AA$3,QRT!$4:$4,0)+3)</f>
        <v>0</v>
      </c>
      <c r="AB139" s="177" cm="1">
        <f t="array" ref="AB139">INDEX(QRT!$1:$1048576,MATCH(Model!$B139,QRT!$A:$A,0),MATCH(Model!AB$3,QRT!$4:$4,0))+INDEX(QRT!$1:$1048576,MATCH(Model!$B139,QRT!$A:$A,0),MATCH(Model!AB$3,QRT!$4:$4,0)+1)+INDEX(QRT!$1:$1048576,MATCH(Model!$B139,QRT!$A:$A,0),MATCH(Model!AB$3,QRT!$4:$4,0)+2)+INDEX(QRT!$1:$1048576,MATCH(Model!$B139,QRT!$A:$A,0),MATCH(Model!AB$3,QRT!$4:$4,0)+3)</f>
        <v>19.765000000000001</v>
      </c>
      <c r="AC139" s="177" cm="1">
        <f t="array" ref="AC139">INDEX(QRT!$1:$1048576,MATCH(Model!$B139,QRT!$A:$A,0),MATCH(Model!AC$3,QRT!$4:$4,0))+INDEX(QRT!$1:$1048576,MATCH(Model!$B139,QRT!$A:$A,0),MATCH(Model!AC$3,QRT!$4:$4,0)+1)+INDEX(QRT!$1:$1048576,MATCH(Model!$B139,QRT!$A:$A,0),MATCH(Model!AC$3,QRT!$4:$4,0)+2)+INDEX(QRT!$1:$1048576,MATCH(Model!$B139,QRT!$A:$A,0),MATCH(Model!AC$3,QRT!$4:$4,0)+3)</f>
        <v>25.091000000000001</v>
      </c>
      <c r="AD139" s="164" cm="1">
        <f t="array" ref="AD139">INDEX(QRT!$1:$1048576,MATCH(Model!$B139,QRT!$A:$A,0),MATCH(Model!AD$3,QRT!$4:$4,0))+INDEX(QRT!$1:$1048576,MATCH(Model!$B139,QRT!$A:$A,0),MATCH(Model!AD$3,QRT!$4:$4,0)+1)+INDEX(QRT!$1:$1048576,MATCH(Model!$B139,QRT!$A:$A,0),MATCH(Model!AD$3,QRT!$4:$4,0)+2)+INDEX(QRT!$1:$1048576,MATCH(Model!$B139,QRT!$A:$A,0),MATCH(Model!AD$3,QRT!$4:$4,0)+3)</f>
        <v>36.86784451829557</v>
      </c>
      <c r="AE139" s="164" cm="1">
        <f t="array" ref="AE139">INDEX(QRT!$1:$1048576,MATCH(Model!$B139,QRT!$A:$A,0),MATCH(Model!AE$3,QRT!$4:$4,0))+INDEX(QRT!$1:$1048576,MATCH(Model!$B139,QRT!$A:$A,0),MATCH(Model!AE$3,QRT!$4:$4,0)+1)+INDEX(QRT!$1:$1048576,MATCH(Model!$B139,QRT!$A:$A,0),MATCH(Model!AE$3,QRT!$4:$4,0)+2)+INDEX(QRT!$1:$1048576,MATCH(Model!$B139,QRT!$A:$A,0),MATCH(Model!AE$3,QRT!$4:$4,0)+3)</f>
        <v>43.19686591989106</v>
      </c>
      <c r="AF139" s="164" cm="1">
        <f t="array" ref="AF139">INDEX(QRT!$1:$1048576,MATCH(Model!$B139,QRT!$A:$A,0),MATCH(Model!AF$3,QRT!$4:$4,0))+INDEX(QRT!$1:$1048576,MATCH(Model!$B139,QRT!$A:$A,0),MATCH(Model!AF$3,QRT!$4:$4,0)+1)+INDEX(QRT!$1:$1048576,MATCH(Model!$B139,QRT!$A:$A,0),MATCH(Model!AF$3,QRT!$4:$4,0)+2)+INDEX(QRT!$1:$1048576,MATCH(Model!$B139,QRT!$A:$A,0),MATCH(Model!AF$3,QRT!$4:$4,0)+3)</f>
        <v>51.595527909501982</v>
      </c>
      <c r="AG139" s="7">
        <f>-AG276</f>
        <v>56.795568334278848</v>
      </c>
      <c r="AH139" s="7">
        <f t="shared" ref="AH139:AN139" si="109">-AH276</f>
        <v>76.543845810933774</v>
      </c>
      <c r="AI139" s="7">
        <f t="shared" si="109"/>
        <v>87.074901478202747</v>
      </c>
      <c r="AJ139" s="7">
        <f t="shared" si="109"/>
        <v>108.68007966343534</v>
      </c>
      <c r="AK139" s="7">
        <f t="shared" si="109"/>
        <v>120.24543177869101</v>
      </c>
      <c r="AL139" s="7">
        <f t="shared" si="109"/>
        <v>142.33541436959686</v>
      </c>
      <c r="AM139" s="7">
        <f t="shared" si="109"/>
        <v>152.94366855941595</v>
      </c>
      <c r="AN139" s="7">
        <f t="shared" si="109"/>
        <v>173.42626804495978</v>
      </c>
      <c r="AO139" s="7"/>
      <c r="AP139" s="7"/>
    </row>
    <row r="140" spans="1:43" outlineLevel="1">
      <c r="B140" s="96" t="s">
        <v>401</v>
      </c>
      <c r="E140" s="59" t="s">
        <v>367</v>
      </c>
      <c r="H140" s="177"/>
      <c r="I140" s="177"/>
      <c r="J140" s="177"/>
      <c r="K140" s="177"/>
      <c r="L140" s="177"/>
      <c r="M140" s="177"/>
      <c r="N140" s="177"/>
      <c r="O140" s="177"/>
      <c r="P140" s="177"/>
      <c r="Q140" s="177"/>
      <c r="R140" s="177"/>
      <c r="S140" s="177"/>
      <c r="T140" s="177"/>
      <c r="U140" s="177"/>
      <c r="V140" s="177"/>
      <c r="W140" s="177"/>
      <c r="X140" s="177">
        <v>1.6020000000000001</v>
      </c>
      <c r="Y140" s="177">
        <v>3.9550000000000001</v>
      </c>
      <c r="Z140" s="177" cm="1">
        <f t="array" ref="Z140">INDEX(QRT!$1:$1048576,MATCH(Model!$B140,QRT!$A:$A,0),MATCH(Model!Z$3,QRT!$4:$4,0))+INDEX(QRT!$1:$1048576,MATCH(Model!$B140,QRT!$A:$A,0),MATCH(Model!Z$3,QRT!$4:$4,0)+1)+INDEX(QRT!$1:$1048576,MATCH(Model!$B140,QRT!$A:$A,0),MATCH(Model!Z$3,QRT!$4:$4,0)+2)+INDEX(QRT!$1:$1048576,MATCH(Model!$B140,QRT!$A:$A,0),MATCH(Model!Z$3,QRT!$4:$4,0)+3)</f>
        <v>7.0600000000000005</v>
      </c>
      <c r="AA140" s="177" cm="1">
        <f t="array" ref="AA140">INDEX(QRT!$1:$1048576,MATCH(Model!$B140,QRT!$A:$A,0),MATCH(Model!AA$3,QRT!$4:$4,0))+INDEX(QRT!$1:$1048576,MATCH(Model!$B140,QRT!$A:$A,0),MATCH(Model!AA$3,QRT!$4:$4,0)+1)+INDEX(QRT!$1:$1048576,MATCH(Model!$B140,QRT!$A:$A,0),MATCH(Model!AA$3,QRT!$4:$4,0)+2)+INDEX(QRT!$1:$1048576,MATCH(Model!$B140,QRT!$A:$A,0),MATCH(Model!AA$3,QRT!$4:$4,0)+3)</f>
        <v>10.821</v>
      </c>
      <c r="AB140" s="177" cm="1">
        <f t="array" ref="AB140">INDEX(QRT!$1:$1048576,MATCH(Model!$B140,QRT!$A:$A,0),MATCH(Model!AB$3,QRT!$4:$4,0))+INDEX(QRT!$1:$1048576,MATCH(Model!$B140,QRT!$A:$A,0),MATCH(Model!AB$3,QRT!$4:$4,0)+1)+INDEX(QRT!$1:$1048576,MATCH(Model!$B140,QRT!$A:$A,0),MATCH(Model!AB$3,QRT!$4:$4,0)+2)+INDEX(QRT!$1:$1048576,MATCH(Model!$B140,QRT!$A:$A,0),MATCH(Model!AB$3,QRT!$4:$4,0)+3)</f>
        <v>17.324000000000002</v>
      </c>
      <c r="AC140" s="177" cm="1">
        <f t="array" ref="AC140">INDEX(QRT!$1:$1048576,MATCH(Model!$B140,QRT!$A:$A,0),MATCH(Model!AC$3,QRT!$4:$4,0))+INDEX(QRT!$1:$1048576,MATCH(Model!$B140,QRT!$A:$A,0),MATCH(Model!AC$3,QRT!$4:$4,0)+1)+INDEX(QRT!$1:$1048576,MATCH(Model!$B140,QRT!$A:$A,0),MATCH(Model!AC$3,QRT!$4:$4,0)+2)+INDEX(QRT!$1:$1048576,MATCH(Model!$B140,QRT!$A:$A,0),MATCH(Model!AC$3,QRT!$4:$4,0)+3)</f>
        <v>29.266999999999999</v>
      </c>
      <c r="AD140" s="164" cm="1">
        <f t="array" ref="AD140">INDEX(QRT!$1:$1048576,MATCH(Model!$B140,QRT!$A:$A,0),MATCH(Model!AD$3,QRT!$4:$4,0))+INDEX(QRT!$1:$1048576,MATCH(Model!$B140,QRT!$A:$A,0),MATCH(Model!AD$3,QRT!$4:$4,0)+1)+INDEX(QRT!$1:$1048576,MATCH(Model!$B140,QRT!$A:$A,0),MATCH(Model!AD$3,QRT!$4:$4,0)+2)+INDEX(QRT!$1:$1048576,MATCH(Model!$B140,QRT!$A:$A,0),MATCH(Model!AD$3,QRT!$4:$4,0)+3)</f>
        <v>42.462482863619812</v>
      </c>
      <c r="AE140" s="164" cm="1">
        <f t="array" ref="AE140">INDEX(QRT!$1:$1048576,MATCH(Model!$B140,QRT!$A:$A,0),MATCH(Model!AE$3,QRT!$4:$4,0))+INDEX(QRT!$1:$1048576,MATCH(Model!$B140,QRT!$A:$A,0),MATCH(Model!AE$3,QRT!$4:$4,0)+1)+INDEX(QRT!$1:$1048576,MATCH(Model!$B140,QRT!$A:$A,0),MATCH(Model!AE$3,QRT!$4:$4,0)+2)+INDEX(QRT!$1:$1048576,MATCH(Model!$B140,QRT!$A:$A,0),MATCH(Model!AE$3,QRT!$4:$4,0)+3)</f>
        <v>53.290245897454056</v>
      </c>
      <c r="AF140" s="164" cm="1">
        <f t="array" ref="AF140">INDEX(QRT!$1:$1048576,MATCH(Model!$B140,QRT!$A:$A,0),MATCH(Model!AF$3,QRT!$4:$4,0))+INDEX(QRT!$1:$1048576,MATCH(Model!$B140,QRT!$A:$A,0),MATCH(Model!AF$3,QRT!$4:$4,0)+1)+INDEX(QRT!$1:$1048576,MATCH(Model!$B140,QRT!$A:$A,0),MATCH(Model!AF$3,QRT!$4:$4,0)+2)+INDEX(QRT!$1:$1048576,MATCH(Model!$B140,QRT!$A:$A,0),MATCH(Model!AF$3,QRT!$4:$4,0)+3)</f>
        <v>66.962607068394988</v>
      </c>
      <c r="AG140" s="7">
        <f>-AG299</f>
        <v>74.11978806068548</v>
      </c>
      <c r="AH140" s="7">
        <f t="shared" ref="AH140:AN140" si="110">-AH299</f>
        <v>82.322894685021026</v>
      </c>
      <c r="AI140" s="7">
        <f t="shared" si="110"/>
        <v>97.094064190711336</v>
      </c>
      <c r="AJ140" s="7">
        <f t="shared" si="110"/>
        <v>109.59418137696913</v>
      </c>
      <c r="AK140" s="7">
        <f t="shared" si="110"/>
        <v>120.21189487970717</v>
      </c>
      <c r="AL140" s="7">
        <f t="shared" si="110"/>
        <v>128.4368462366696</v>
      </c>
      <c r="AM140" s="7">
        <f t="shared" si="110"/>
        <v>136.14719699727382</v>
      </c>
      <c r="AN140" s="7">
        <f t="shared" si="110"/>
        <v>143.29061935069603</v>
      </c>
      <c r="AO140" s="7"/>
      <c r="AP140" s="7"/>
    </row>
    <row r="141" spans="1:43" outlineLevel="1">
      <c r="B141" s="96" t="s">
        <v>402</v>
      </c>
      <c r="E141" s="59" t="s">
        <v>366</v>
      </c>
      <c r="H141" s="177"/>
      <c r="I141" s="177"/>
      <c r="J141" s="177"/>
      <c r="K141" s="177"/>
      <c r="L141" s="177"/>
      <c r="M141" s="177"/>
      <c r="N141" s="177"/>
      <c r="O141" s="177"/>
      <c r="P141" s="177"/>
      <c r="Q141" s="177"/>
      <c r="R141" s="177"/>
      <c r="S141" s="177"/>
      <c r="T141" s="177"/>
      <c r="U141" s="177"/>
      <c r="V141" s="177"/>
      <c r="W141" s="177"/>
      <c r="X141" s="177">
        <v>0.66200000000000003</v>
      </c>
      <c r="Y141" s="177">
        <v>0.33800000000000002</v>
      </c>
      <c r="Z141" s="177" cm="1">
        <f t="array" ref="Z141">INDEX(QRT!$1:$1048576,MATCH(Model!$B141,QRT!$A:$A,0),MATCH(Model!Z$3,QRT!$4:$4,0))+INDEX(QRT!$1:$1048576,MATCH(Model!$B141,QRT!$A:$A,0),MATCH(Model!Z$3,QRT!$4:$4,0)+1)+INDEX(QRT!$1:$1048576,MATCH(Model!$B141,QRT!$A:$A,0),MATCH(Model!Z$3,QRT!$4:$4,0)+2)+INDEX(QRT!$1:$1048576,MATCH(Model!$B141,QRT!$A:$A,0),MATCH(Model!Z$3,QRT!$4:$4,0)+3)</f>
        <v>-0.56999999999999995</v>
      </c>
      <c r="AA141" s="177" cm="1">
        <f t="array" ref="AA141">INDEX(QRT!$1:$1048576,MATCH(Model!$B141,QRT!$A:$A,0),MATCH(Model!AA$3,QRT!$4:$4,0))+INDEX(QRT!$1:$1048576,MATCH(Model!$B141,QRT!$A:$A,0),MATCH(Model!AA$3,QRT!$4:$4,0)+1)+INDEX(QRT!$1:$1048576,MATCH(Model!$B141,QRT!$A:$A,0),MATCH(Model!AA$3,QRT!$4:$4,0)+2)+INDEX(QRT!$1:$1048576,MATCH(Model!$B141,QRT!$A:$A,0),MATCH(Model!AA$3,QRT!$4:$4,0)+3)</f>
        <v>-1.8010000000000002</v>
      </c>
      <c r="AB141" s="177" cm="1">
        <f t="array" ref="AB141">INDEX(QRT!$1:$1048576,MATCH(Model!$B141,QRT!$A:$A,0),MATCH(Model!AB$3,QRT!$4:$4,0))+INDEX(QRT!$1:$1048576,MATCH(Model!$B141,QRT!$A:$A,0),MATCH(Model!AB$3,QRT!$4:$4,0)+1)+INDEX(QRT!$1:$1048576,MATCH(Model!$B141,QRT!$A:$A,0),MATCH(Model!AB$3,QRT!$4:$4,0)+2)+INDEX(QRT!$1:$1048576,MATCH(Model!$B141,QRT!$A:$A,0),MATCH(Model!AB$3,QRT!$4:$4,0)+3)</f>
        <v>1.6420000000000001</v>
      </c>
      <c r="AC141" s="177" cm="1">
        <f t="array" ref="AC141">INDEX(QRT!$1:$1048576,MATCH(Model!$B141,QRT!$A:$A,0),MATCH(Model!AC$3,QRT!$4:$4,0))+INDEX(QRT!$1:$1048576,MATCH(Model!$B141,QRT!$A:$A,0),MATCH(Model!AC$3,QRT!$4:$4,0)+1)+INDEX(QRT!$1:$1048576,MATCH(Model!$B141,QRT!$A:$A,0),MATCH(Model!AC$3,QRT!$4:$4,0)+2)+INDEX(QRT!$1:$1048576,MATCH(Model!$B141,QRT!$A:$A,0),MATCH(Model!AC$3,QRT!$4:$4,0)+3)</f>
        <v>8.3569999999999993</v>
      </c>
      <c r="AD141" s="164" cm="1">
        <f t="array" ref="AD141">INDEX(QRT!$1:$1048576,MATCH(Model!$B141,QRT!$A:$A,0),MATCH(Model!AD$3,QRT!$4:$4,0))+INDEX(QRT!$1:$1048576,MATCH(Model!$B141,QRT!$A:$A,0),MATCH(Model!AD$3,QRT!$4:$4,0)+1)+INDEX(QRT!$1:$1048576,MATCH(Model!$B141,QRT!$A:$A,0),MATCH(Model!AD$3,QRT!$4:$4,0)+2)+INDEX(QRT!$1:$1048576,MATCH(Model!$B141,QRT!$A:$A,0),MATCH(Model!AD$3,QRT!$4:$4,0)+3)</f>
        <v>3.798</v>
      </c>
      <c r="AE141" s="164" cm="1">
        <f t="array" ref="AE141">INDEX(QRT!$1:$1048576,MATCH(Model!$B141,QRT!$A:$A,0),MATCH(Model!AE$3,QRT!$4:$4,0))+INDEX(QRT!$1:$1048576,MATCH(Model!$B141,QRT!$A:$A,0),MATCH(Model!AE$3,QRT!$4:$4,0)+1)+INDEX(QRT!$1:$1048576,MATCH(Model!$B141,QRT!$A:$A,0),MATCH(Model!AE$3,QRT!$4:$4,0)+2)+INDEX(QRT!$1:$1048576,MATCH(Model!$B141,QRT!$A:$A,0),MATCH(Model!AE$3,QRT!$4:$4,0)+3)</f>
        <v>0</v>
      </c>
      <c r="AF141" s="164" cm="1">
        <f t="array" ref="AF141">INDEX(QRT!$1:$1048576,MATCH(Model!$B141,QRT!$A:$A,0),MATCH(Model!AF$3,QRT!$4:$4,0))+INDEX(QRT!$1:$1048576,MATCH(Model!$B141,QRT!$A:$A,0),MATCH(Model!AF$3,QRT!$4:$4,0)+1)+INDEX(QRT!$1:$1048576,MATCH(Model!$B141,QRT!$A:$A,0),MATCH(Model!AF$3,QRT!$4:$4,0)+2)+INDEX(QRT!$1:$1048576,MATCH(Model!$B141,QRT!$A:$A,0),MATCH(Model!AF$3,QRT!$4:$4,0)+3)</f>
        <v>0</v>
      </c>
      <c r="AG141" s="68">
        <v>0</v>
      </c>
      <c r="AH141" s="68">
        <v>0</v>
      </c>
      <c r="AI141" s="68">
        <v>0</v>
      </c>
      <c r="AJ141" s="68">
        <v>0</v>
      </c>
      <c r="AK141" s="68">
        <v>0</v>
      </c>
      <c r="AL141" s="68">
        <v>0</v>
      </c>
      <c r="AM141" s="68">
        <v>0</v>
      </c>
      <c r="AN141" s="68">
        <v>0</v>
      </c>
      <c r="AO141" s="7"/>
    </row>
    <row r="142" spans="1:43" outlineLevel="1">
      <c r="B142" s="96" t="s">
        <v>403</v>
      </c>
      <c r="E142" s="59" t="s">
        <v>368</v>
      </c>
      <c r="H142" s="177"/>
      <c r="I142" s="177"/>
      <c r="J142" s="177"/>
      <c r="K142" s="177"/>
      <c r="L142" s="177"/>
      <c r="M142" s="177"/>
      <c r="N142" s="177"/>
      <c r="O142" s="177"/>
      <c r="P142" s="177"/>
      <c r="Q142" s="177"/>
      <c r="R142" s="177"/>
      <c r="S142" s="177"/>
      <c r="T142" s="177"/>
      <c r="U142" s="177"/>
      <c r="V142" s="177"/>
      <c r="W142" s="177"/>
      <c r="X142" s="177">
        <v>0</v>
      </c>
      <c r="Y142" s="177">
        <v>0</v>
      </c>
      <c r="Z142" s="177" cm="1">
        <f t="array" ref="Z142">INDEX(QRT!$1:$1048576,MATCH(Model!$B142,QRT!$A:$A,0),MATCH(Model!Z$3,QRT!$4:$4,0))+INDEX(QRT!$1:$1048576,MATCH(Model!$B142,QRT!$A:$A,0),MATCH(Model!Z$3,QRT!$4:$4,0)+1)+INDEX(QRT!$1:$1048576,MATCH(Model!$B142,QRT!$A:$A,0),MATCH(Model!Z$3,QRT!$4:$4,0)+2)+INDEX(QRT!$1:$1048576,MATCH(Model!$B142,QRT!$A:$A,0),MATCH(Model!Z$3,QRT!$4:$4,0)+3)</f>
        <v>1.08</v>
      </c>
      <c r="AA142" s="177" cm="1">
        <f t="array" ref="AA142">INDEX(QRT!$1:$1048576,MATCH(Model!$B142,QRT!$A:$A,0),MATCH(Model!AA$3,QRT!$4:$4,0))+INDEX(QRT!$1:$1048576,MATCH(Model!$B142,QRT!$A:$A,0),MATCH(Model!AA$3,QRT!$4:$4,0)+1)+INDEX(QRT!$1:$1048576,MATCH(Model!$B142,QRT!$A:$A,0),MATCH(Model!AA$3,QRT!$4:$4,0)+2)+INDEX(QRT!$1:$1048576,MATCH(Model!$B142,QRT!$A:$A,0),MATCH(Model!AA$3,QRT!$4:$4,0)+3)</f>
        <v>2.488</v>
      </c>
      <c r="AB142" s="177" cm="1">
        <f t="array" ref="AB142">INDEX(QRT!$1:$1048576,MATCH(Model!$B142,QRT!$A:$A,0),MATCH(Model!AB$3,QRT!$4:$4,0))+INDEX(QRT!$1:$1048576,MATCH(Model!$B142,QRT!$A:$A,0),MATCH(Model!AB$3,QRT!$4:$4,0)+1)+INDEX(QRT!$1:$1048576,MATCH(Model!$B142,QRT!$A:$A,0),MATCH(Model!AB$3,QRT!$4:$4,0)+2)+INDEX(QRT!$1:$1048576,MATCH(Model!$B142,QRT!$A:$A,0),MATCH(Model!AB$3,QRT!$4:$4,0)+3)</f>
        <v>3.3679999999999999</v>
      </c>
      <c r="AC142" s="177" cm="1">
        <f t="array" ref="AC142">INDEX(QRT!$1:$1048576,MATCH(Model!$B142,QRT!$A:$A,0),MATCH(Model!AC$3,QRT!$4:$4,0))+INDEX(QRT!$1:$1048576,MATCH(Model!$B142,QRT!$A:$A,0),MATCH(Model!AC$3,QRT!$4:$4,0)+1)+INDEX(QRT!$1:$1048576,MATCH(Model!$B142,QRT!$A:$A,0),MATCH(Model!AC$3,QRT!$4:$4,0)+2)+INDEX(QRT!$1:$1048576,MATCH(Model!$B142,QRT!$A:$A,0),MATCH(Model!AC$3,QRT!$4:$4,0)+3)</f>
        <v>3.8040000000000003</v>
      </c>
      <c r="AD142" s="164" cm="1">
        <f t="array" ref="AD142">INDEX(QRT!$1:$1048576,MATCH(Model!$B142,QRT!$A:$A,0),MATCH(Model!AD$3,QRT!$4:$4,0))+INDEX(QRT!$1:$1048576,MATCH(Model!$B142,QRT!$A:$A,0),MATCH(Model!AD$3,QRT!$4:$4,0)+1)+INDEX(QRT!$1:$1048576,MATCH(Model!$B142,QRT!$A:$A,0),MATCH(Model!AD$3,QRT!$4:$4,0)+2)+INDEX(QRT!$1:$1048576,MATCH(Model!$B142,QRT!$A:$A,0),MATCH(Model!AD$3,QRT!$4:$4,0)+3)</f>
        <v>2.0099999999999998</v>
      </c>
      <c r="AE142" s="164" cm="1">
        <f t="array" ref="AE142">INDEX(QRT!$1:$1048576,MATCH(Model!$B142,QRT!$A:$A,0),MATCH(Model!AE$3,QRT!$4:$4,0))+INDEX(QRT!$1:$1048576,MATCH(Model!$B142,QRT!$A:$A,0),MATCH(Model!AE$3,QRT!$4:$4,0)+1)+INDEX(QRT!$1:$1048576,MATCH(Model!$B142,QRT!$A:$A,0),MATCH(Model!AE$3,QRT!$4:$4,0)+2)+INDEX(QRT!$1:$1048576,MATCH(Model!$B142,QRT!$A:$A,0),MATCH(Model!AE$3,QRT!$4:$4,0)+3)</f>
        <v>0</v>
      </c>
      <c r="AF142" s="164" cm="1">
        <f t="array" ref="AF142">INDEX(QRT!$1:$1048576,MATCH(Model!$B142,QRT!$A:$A,0),MATCH(Model!AF$3,QRT!$4:$4,0))+INDEX(QRT!$1:$1048576,MATCH(Model!$B142,QRT!$A:$A,0),MATCH(Model!AF$3,QRT!$4:$4,0)+1)+INDEX(QRT!$1:$1048576,MATCH(Model!$B142,QRT!$A:$A,0),MATCH(Model!AF$3,QRT!$4:$4,0)+2)+INDEX(QRT!$1:$1048576,MATCH(Model!$B142,QRT!$A:$A,0),MATCH(Model!AF$3,QRT!$4:$4,0)+3)</f>
        <v>0</v>
      </c>
      <c r="AG142" s="68">
        <v>0</v>
      </c>
      <c r="AH142" s="68">
        <v>0</v>
      </c>
      <c r="AI142" s="68">
        <v>0</v>
      </c>
      <c r="AJ142" s="68">
        <v>0</v>
      </c>
      <c r="AK142" s="68">
        <v>0</v>
      </c>
      <c r="AL142" s="68">
        <v>0</v>
      </c>
      <c r="AM142" s="68">
        <v>0</v>
      </c>
      <c r="AN142" s="68">
        <v>0</v>
      </c>
      <c r="AO142" s="7"/>
    </row>
    <row r="143" spans="1:43" outlineLevel="1">
      <c r="B143" s="96" t="s">
        <v>404</v>
      </c>
      <c r="E143" s="59" t="s">
        <v>123</v>
      </c>
      <c r="H143" s="177"/>
      <c r="I143" s="177"/>
      <c r="J143" s="177"/>
      <c r="K143" s="177"/>
      <c r="L143" s="177"/>
      <c r="M143" s="177"/>
      <c r="N143" s="177"/>
      <c r="O143" s="177"/>
      <c r="P143" s="177"/>
      <c r="Q143" s="177"/>
      <c r="R143" s="177"/>
      <c r="S143" s="177"/>
      <c r="T143" s="177"/>
      <c r="U143" s="177"/>
      <c r="V143" s="177"/>
      <c r="W143" s="177"/>
      <c r="X143" s="177">
        <f>-0.03+0.009</f>
        <v>-2.0999999999999998E-2</v>
      </c>
      <c r="Y143" s="177">
        <f>0.05+0.009</f>
        <v>5.9000000000000004E-2</v>
      </c>
      <c r="Z143" s="177" cm="1">
        <f t="array" ref="Z143">INDEX(QRT!$1:$1048576,MATCH(Model!$B143,QRT!$A:$A,0),MATCH(Model!Z$3,QRT!$4:$4,0))+INDEX(QRT!$1:$1048576,MATCH(Model!$B143,QRT!$A:$A,0),MATCH(Model!Z$3,QRT!$4:$4,0)+1)+INDEX(QRT!$1:$1048576,MATCH(Model!$B143,QRT!$A:$A,0),MATCH(Model!Z$3,QRT!$4:$4,0)+2)+INDEX(QRT!$1:$1048576,MATCH(Model!$B143,QRT!$A:$A,0),MATCH(Model!Z$3,QRT!$4:$4,0)+3)</f>
        <v>1.266</v>
      </c>
      <c r="AA143" s="177" cm="1">
        <f t="array" ref="AA143">INDEX(QRT!$1:$1048576,MATCH(Model!$B143,QRT!$A:$A,0),MATCH(Model!AA$3,QRT!$4:$4,0))+INDEX(QRT!$1:$1048576,MATCH(Model!$B143,QRT!$A:$A,0),MATCH(Model!AA$3,QRT!$4:$4,0)+1)+INDEX(QRT!$1:$1048576,MATCH(Model!$B143,QRT!$A:$A,0),MATCH(Model!AA$3,QRT!$4:$4,0)+2)+INDEX(QRT!$1:$1048576,MATCH(Model!$B143,QRT!$A:$A,0),MATCH(Model!AA$3,QRT!$4:$4,0)+3)</f>
        <v>1.8210000000000002</v>
      </c>
      <c r="AB143" s="177" cm="1">
        <f t="array" ref="AB143">INDEX(QRT!$1:$1048576,MATCH(Model!$B143,QRT!$A:$A,0),MATCH(Model!AB$3,QRT!$4:$4,0))+INDEX(QRT!$1:$1048576,MATCH(Model!$B143,QRT!$A:$A,0),MATCH(Model!AB$3,QRT!$4:$4,0)+1)+INDEX(QRT!$1:$1048576,MATCH(Model!$B143,QRT!$A:$A,0),MATCH(Model!AB$3,QRT!$4:$4,0)+2)+INDEX(QRT!$1:$1048576,MATCH(Model!$B143,QRT!$A:$A,0),MATCH(Model!AB$3,QRT!$4:$4,0)+3)</f>
        <v>21.63</v>
      </c>
      <c r="AC143" s="177" cm="1">
        <f t="array" ref="AC143">INDEX(QRT!$1:$1048576,MATCH(Model!$B143,QRT!$A:$A,0),MATCH(Model!AC$3,QRT!$4:$4,0))+INDEX(QRT!$1:$1048576,MATCH(Model!$B143,QRT!$A:$A,0),MATCH(Model!AC$3,QRT!$4:$4,0)+1)+INDEX(QRT!$1:$1048576,MATCH(Model!$B143,QRT!$A:$A,0),MATCH(Model!AC$3,QRT!$4:$4,0)+2)+INDEX(QRT!$1:$1048576,MATCH(Model!$B143,QRT!$A:$A,0),MATCH(Model!AC$3,QRT!$4:$4,0)+3)</f>
        <v>89.565999999999988</v>
      </c>
      <c r="AD143" s="164" cm="1">
        <f t="array" ref="AD143">INDEX(QRT!$1:$1048576,MATCH(Model!$B143,QRT!$A:$A,0),MATCH(Model!AD$3,QRT!$4:$4,0))+INDEX(QRT!$1:$1048576,MATCH(Model!$B143,QRT!$A:$A,0),MATCH(Model!AD$3,QRT!$4:$4,0)+1)+INDEX(QRT!$1:$1048576,MATCH(Model!$B143,QRT!$A:$A,0),MATCH(Model!AD$3,QRT!$4:$4,0)+2)+INDEX(QRT!$1:$1048576,MATCH(Model!$B143,QRT!$A:$A,0),MATCH(Model!AD$3,QRT!$4:$4,0)+3)</f>
        <v>29.534199126013785</v>
      </c>
      <c r="AE143" s="164" cm="1">
        <f t="array" ref="AE143">INDEX(QRT!$1:$1048576,MATCH(Model!$B143,QRT!$A:$A,0),MATCH(Model!AE$3,QRT!$4:$4,0))+INDEX(QRT!$1:$1048576,MATCH(Model!$B143,QRT!$A:$A,0),MATCH(Model!AE$3,QRT!$4:$4,0)+1)+INDEX(QRT!$1:$1048576,MATCH(Model!$B143,QRT!$A:$A,0),MATCH(Model!AE$3,QRT!$4:$4,0)+2)+INDEX(QRT!$1:$1048576,MATCH(Model!$B143,QRT!$A:$A,0),MATCH(Model!AE$3,QRT!$4:$4,0)+3)</f>
        <v>56.004040934146111</v>
      </c>
      <c r="AF143" s="164" cm="1">
        <f t="array" ref="AF143">INDEX(QRT!$1:$1048576,MATCH(Model!$B143,QRT!$A:$A,0),MATCH(Model!AF$3,QRT!$4:$4,0))+INDEX(QRT!$1:$1048576,MATCH(Model!$B143,QRT!$A:$A,0),MATCH(Model!AF$3,QRT!$4:$4,0)+1)+INDEX(QRT!$1:$1048576,MATCH(Model!$B143,QRT!$A:$A,0),MATCH(Model!AF$3,QRT!$4:$4,0)+2)+INDEX(QRT!$1:$1048576,MATCH(Model!$B143,QRT!$A:$A,0),MATCH(Model!AF$3,QRT!$4:$4,0)+3)</f>
        <v>59.032637571957707</v>
      </c>
      <c r="AG143" s="7">
        <f>-AG244</f>
        <v>68.921663252466786</v>
      </c>
      <c r="AH143" s="7">
        <f t="shared" ref="AH143:AN143" si="111">-AH244</f>
        <v>0</v>
      </c>
      <c r="AI143" s="7">
        <f t="shared" si="111"/>
        <v>0</v>
      </c>
      <c r="AJ143" s="7">
        <f t="shared" si="111"/>
        <v>0</v>
      </c>
      <c r="AK143" s="7">
        <f t="shared" si="111"/>
        <v>0</v>
      </c>
      <c r="AL143" s="7">
        <f t="shared" si="111"/>
        <v>0</v>
      </c>
      <c r="AM143" s="7">
        <f t="shared" si="111"/>
        <v>0</v>
      </c>
      <c r="AN143" s="7">
        <f t="shared" si="111"/>
        <v>0</v>
      </c>
      <c r="AO143" s="7"/>
    </row>
    <row r="144" spans="1:43" outlineLevel="1">
      <c r="A144" s="96" t="s">
        <v>365</v>
      </c>
      <c r="B144" s="96" t="s">
        <v>405</v>
      </c>
      <c r="E144" s="59" t="s">
        <v>365</v>
      </c>
      <c r="H144" s="177"/>
      <c r="I144" s="177"/>
      <c r="J144" s="177"/>
      <c r="K144" s="177"/>
      <c r="L144" s="177"/>
      <c r="M144" s="177"/>
      <c r="N144" s="177"/>
      <c r="O144" s="177"/>
      <c r="P144" s="177"/>
      <c r="Q144" s="177"/>
      <c r="R144" s="177"/>
      <c r="S144" s="177"/>
      <c r="T144" s="177"/>
      <c r="U144" s="177"/>
      <c r="V144" s="177"/>
      <c r="W144" s="177"/>
      <c r="X144" s="177">
        <v>0</v>
      </c>
      <c r="Y144" s="177">
        <v>0</v>
      </c>
      <c r="Z144" s="177" cm="1">
        <f t="array" ref="Z144">INDEX(QRT!$1:$1048576,MATCH(Model!$B144,QRT!$A:$A,0),MATCH(Model!Z$3,QRT!$4:$4,0))+INDEX(QRT!$1:$1048576,MATCH(Model!$B144,QRT!$A:$A,0),MATCH(Model!Z$3,QRT!$4:$4,0)+1)+INDEX(QRT!$1:$1048576,MATCH(Model!$B144,QRT!$A:$A,0),MATCH(Model!Z$3,QRT!$4:$4,0)+2)+INDEX(QRT!$1:$1048576,MATCH(Model!$B144,QRT!$A:$A,0),MATCH(Model!Z$3,QRT!$4:$4,0)+3)</f>
        <v>0</v>
      </c>
      <c r="AA144" s="177" cm="1">
        <f t="array" ref="AA144">INDEX(QRT!$1:$1048576,MATCH(Model!$B144,QRT!$A:$A,0),MATCH(Model!AA$3,QRT!$4:$4,0))+INDEX(QRT!$1:$1048576,MATCH(Model!$B144,QRT!$A:$A,0),MATCH(Model!AA$3,QRT!$4:$4,0)+1)+INDEX(QRT!$1:$1048576,MATCH(Model!$B144,QRT!$A:$A,0),MATCH(Model!AA$3,QRT!$4:$4,0)+2)+INDEX(QRT!$1:$1048576,MATCH(Model!$B144,QRT!$A:$A,0),MATCH(Model!AA$3,QRT!$4:$4,0)+3)</f>
        <v>0</v>
      </c>
      <c r="AB144" s="177" cm="1">
        <f t="array" ref="AB144">INDEX(QRT!$1:$1048576,MATCH(Model!$B144,QRT!$A:$A,0),MATCH(Model!AB$3,QRT!$4:$4,0))+INDEX(QRT!$1:$1048576,MATCH(Model!$B144,QRT!$A:$A,0),MATCH(Model!AB$3,QRT!$4:$4,0)+1)+INDEX(QRT!$1:$1048576,MATCH(Model!$B144,QRT!$A:$A,0),MATCH(Model!AB$3,QRT!$4:$4,0)+2)+INDEX(QRT!$1:$1048576,MATCH(Model!$B144,QRT!$A:$A,0),MATCH(Model!AB$3,QRT!$4:$4,0)+3)</f>
        <v>-20.718</v>
      </c>
      <c r="AC144" s="177" cm="1">
        <f t="array" ref="AC144">INDEX(QRT!$1:$1048576,MATCH(Model!$B144,QRT!$A:$A,0),MATCH(Model!AC$3,QRT!$4:$4,0))+INDEX(QRT!$1:$1048576,MATCH(Model!$B144,QRT!$A:$A,0),MATCH(Model!AC$3,QRT!$4:$4,0)+1)+INDEX(QRT!$1:$1048576,MATCH(Model!$B144,QRT!$A:$A,0),MATCH(Model!AC$3,QRT!$4:$4,0)+2)+INDEX(QRT!$1:$1048576,MATCH(Model!$B144,QRT!$A:$A,0),MATCH(Model!AC$3,QRT!$4:$4,0)+3)</f>
        <v>-23.071000000000002</v>
      </c>
      <c r="AD144" s="164" cm="1">
        <f t="array" ref="AD144">INDEX(QRT!$1:$1048576,MATCH(Model!$B144,QRT!$A:$A,0),MATCH(Model!AD$3,QRT!$4:$4,0))+INDEX(QRT!$1:$1048576,MATCH(Model!$B144,QRT!$A:$A,0),MATCH(Model!AD$3,QRT!$4:$4,0)+1)+INDEX(QRT!$1:$1048576,MATCH(Model!$B144,QRT!$A:$A,0),MATCH(Model!AD$3,QRT!$4:$4,0)+2)+INDEX(QRT!$1:$1048576,MATCH(Model!$B144,QRT!$A:$A,0),MATCH(Model!AD$3,QRT!$4:$4,0)+3)</f>
        <v>-39.284844518295564</v>
      </c>
      <c r="AE144" s="164" cm="1">
        <f t="array" ref="AE144">INDEX(QRT!$1:$1048576,MATCH(Model!$B144,QRT!$A:$A,0),MATCH(Model!AE$3,QRT!$4:$4,0))+INDEX(QRT!$1:$1048576,MATCH(Model!$B144,QRT!$A:$A,0),MATCH(Model!AE$3,QRT!$4:$4,0)+1)+INDEX(QRT!$1:$1048576,MATCH(Model!$B144,QRT!$A:$A,0),MATCH(Model!AE$3,QRT!$4:$4,0)+2)+INDEX(QRT!$1:$1048576,MATCH(Model!$B144,QRT!$A:$A,0),MATCH(Model!AE$3,QRT!$4:$4,0)+3)</f>
        <v>-43.19686591989106</v>
      </c>
      <c r="AF144" s="164" cm="1">
        <f t="array" ref="AF144">INDEX(QRT!$1:$1048576,MATCH(Model!$B144,QRT!$A:$A,0),MATCH(Model!AF$3,QRT!$4:$4,0))+INDEX(QRT!$1:$1048576,MATCH(Model!$B144,QRT!$A:$A,0),MATCH(Model!AF$3,QRT!$4:$4,0)+1)+INDEX(QRT!$1:$1048576,MATCH(Model!$B144,QRT!$A:$A,0),MATCH(Model!AF$3,QRT!$4:$4,0)+2)+INDEX(QRT!$1:$1048576,MATCH(Model!$B144,QRT!$A:$A,0),MATCH(Model!AF$3,QRT!$4:$4,0)+3)</f>
        <v>-51.595527909501982</v>
      </c>
      <c r="AG144" s="63">
        <f t="shared" ref="AG144:AN144" si="112">AG281</f>
        <v>-56.795568334278848</v>
      </c>
      <c r="AH144" s="63">
        <f t="shared" si="112"/>
        <v>-76.543845810933774</v>
      </c>
      <c r="AI144" s="63">
        <f t="shared" si="112"/>
        <v>-87.074901478202747</v>
      </c>
      <c r="AJ144" s="63">
        <f t="shared" si="112"/>
        <v>-108.68007966343534</v>
      </c>
      <c r="AK144" s="63">
        <f t="shared" si="112"/>
        <v>-120.24543177869101</v>
      </c>
      <c r="AL144" s="63">
        <f t="shared" si="112"/>
        <v>-142.33541436959686</v>
      </c>
      <c r="AM144" s="63">
        <f t="shared" si="112"/>
        <v>-152.94366855941595</v>
      </c>
      <c r="AN144" s="63">
        <f t="shared" si="112"/>
        <v>-173.42626804495978</v>
      </c>
      <c r="AO144" s="7"/>
    </row>
    <row r="145" spans="1:43" s="3" customFormat="1" outlineLevel="1">
      <c r="A145" s="96"/>
      <c r="B145" s="96"/>
      <c r="C145" s="122"/>
      <c r="E145" s="2" t="s">
        <v>125</v>
      </c>
      <c r="F145" s="2"/>
      <c r="G145" s="2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>
        <f t="shared" ref="X145:AC145" si="113">SUM(X135:X144)</f>
        <v>-1.565999999999991</v>
      </c>
      <c r="Y145" s="8">
        <f t="shared" si="113"/>
        <v>4.4430000000000112</v>
      </c>
      <c r="Z145" s="8">
        <f t="shared" si="113"/>
        <v>-31.691000000000038</v>
      </c>
      <c r="AA145" s="8">
        <f t="shared" si="113"/>
        <v>-26.022999999999971</v>
      </c>
      <c r="AB145" s="8">
        <f t="shared" si="113"/>
        <v>23.217000000000002</v>
      </c>
      <c r="AC145" s="8">
        <f t="shared" si="113"/>
        <v>38.186000000000021</v>
      </c>
      <c r="AD145" s="8">
        <f t="shared" ref="AD145:AN145" ca="1" si="114">SUM(AD135:AD144)</f>
        <v>106.49878759583029</v>
      </c>
      <c r="AE145" s="8">
        <f t="shared" ca="1" si="114"/>
        <v>151.58872198980356</v>
      </c>
      <c r="AF145" s="8">
        <f t="shared" ca="1" si="114"/>
        <v>224.19218002600616</v>
      </c>
      <c r="AG145" s="8">
        <f t="shared" ca="1" si="114"/>
        <v>348.17687271943475</v>
      </c>
      <c r="AH145" s="8">
        <f t="shared" ca="1" si="114"/>
        <v>414.13031667169452</v>
      </c>
      <c r="AI145" s="8">
        <f t="shared" ca="1" si="114"/>
        <v>580.88886601268882</v>
      </c>
      <c r="AJ145" s="8">
        <f t="shared" ca="1" si="114"/>
        <v>774.39787893923176</v>
      </c>
      <c r="AK145" s="8">
        <f t="shared" ca="1" si="114"/>
        <v>993.70732734252192</v>
      </c>
      <c r="AL145" s="8">
        <f t="shared" ca="1" si="114"/>
        <v>1197.7678584774501</v>
      </c>
      <c r="AM145" s="8">
        <f t="shared" ca="1" si="114"/>
        <v>1379.7094789774467</v>
      </c>
      <c r="AN145" s="8">
        <f t="shared" ca="1" si="114"/>
        <v>1558.1378842983563</v>
      </c>
      <c r="AO145" s="53"/>
    </row>
    <row r="146" spans="1:43" outlineLevel="1">
      <c r="A146" s="96" t="s">
        <v>406</v>
      </c>
      <c r="B146" s="96" t="s">
        <v>406</v>
      </c>
      <c r="E146" s="59" t="s">
        <v>347</v>
      </c>
      <c r="H146" s="177"/>
      <c r="I146" s="177"/>
      <c r="J146" s="177"/>
      <c r="K146" s="177"/>
      <c r="L146" s="177"/>
      <c r="M146" s="177"/>
      <c r="N146" s="177"/>
      <c r="O146" s="177"/>
      <c r="P146" s="177"/>
      <c r="Q146" s="177"/>
      <c r="R146" s="177"/>
      <c r="S146" s="177"/>
      <c r="T146" s="177"/>
      <c r="U146" s="177"/>
      <c r="V146" s="177"/>
      <c r="W146" s="177"/>
      <c r="X146" s="177">
        <v>-5.0110000000000001</v>
      </c>
      <c r="Y146" s="177">
        <v>-8.9760000000000009</v>
      </c>
      <c r="Z146" s="177" cm="1">
        <f t="array" ref="Z146">INDEX(QRT!$1:$1048576,MATCH(Model!$B146,QRT!$A:$A,0),MATCH(Model!Z$3,QRT!$4:$4,0))+INDEX(QRT!$1:$1048576,MATCH(Model!$B146,QRT!$A:$A,0),MATCH(Model!Z$3,QRT!$4:$4,0)+1)+INDEX(QRT!$1:$1048576,MATCH(Model!$B146,QRT!$A:$A,0),MATCH(Model!Z$3,QRT!$4:$4,0)+2)+INDEX(QRT!$1:$1048576,MATCH(Model!$B146,QRT!$A:$A,0),MATCH(Model!Z$3,QRT!$4:$4,0)+3)</f>
        <v>-12.234999999999999</v>
      </c>
      <c r="AA146" s="177" cm="1">
        <f t="array" ref="AA146">INDEX(QRT!$1:$1048576,MATCH(Model!$B146,QRT!$A:$A,0),MATCH(Model!AA$3,QRT!$4:$4,0))+INDEX(QRT!$1:$1048576,MATCH(Model!$B146,QRT!$A:$A,0),MATCH(Model!AA$3,QRT!$4:$4,0)+1)+INDEX(QRT!$1:$1048576,MATCH(Model!$B146,QRT!$A:$A,0),MATCH(Model!AA$3,QRT!$4:$4,0)+2)+INDEX(QRT!$1:$1048576,MATCH(Model!$B146,QRT!$A:$A,0),MATCH(Model!AA$3,QRT!$4:$4,0)+3)</f>
        <v>-20.065000000000001</v>
      </c>
      <c r="AB146" s="177" cm="1">
        <f t="array" ref="AB146">INDEX(QRT!$1:$1048576,MATCH(Model!$B146,QRT!$A:$A,0),MATCH(Model!AB$3,QRT!$4:$4,0))+INDEX(QRT!$1:$1048576,MATCH(Model!$B146,QRT!$A:$A,0),MATCH(Model!AB$3,QRT!$4:$4,0)+1)+INDEX(QRT!$1:$1048576,MATCH(Model!$B146,QRT!$A:$A,0),MATCH(Model!AB$3,QRT!$4:$4,0)+2)+INDEX(QRT!$1:$1048576,MATCH(Model!$B146,QRT!$A:$A,0),MATCH(Model!AB$3,QRT!$4:$4,0)+3)</f>
        <v>-36.314999999999998</v>
      </c>
      <c r="AC146" s="177" cm="1">
        <f t="array" ref="AC146">INDEX(QRT!$1:$1048576,MATCH(Model!$B146,QRT!$A:$A,0),MATCH(Model!AC$3,QRT!$4:$4,0))+INDEX(QRT!$1:$1048576,MATCH(Model!$B146,QRT!$A:$A,0),MATCH(Model!AC$3,QRT!$4:$4,0)+1)+INDEX(QRT!$1:$1048576,MATCH(Model!$B146,QRT!$A:$A,0),MATCH(Model!AC$3,QRT!$4:$4,0)+2)+INDEX(QRT!$1:$1048576,MATCH(Model!$B146,QRT!$A:$A,0),MATCH(Model!AC$3,QRT!$4:$4,0)+3)</f>
        <v>-55.411000000000001</v>
      </c>
      <c r="AD146" s="164" cm="1">
        <f t="array" ref="AD146">INDEX(QRT!$1:$1048576,MATCH(Model!$B146,QRT!$A:$A,0),MATCH(Model!AD$3,QRT!$4:$4,0))+INDEX(QRT!$1:$1048576,MATCH(Model!$B146,QRT!$A:$A,0),MATCH(Model!AD$3,QRT!$4:$4,0)+1)+INDEX(QRT!$1:$1048576,MATCH(Model!$B146,QRT!$A:$A,0),MATCH(Model!AD$3,QRT!$4:$4,0)+2)+INDEX(QRT!$1:$1048576,MATCH(Model!$B146,QRT!$A:$A,0),MATCH(Model!AD$3,QRT!$4:$4,0)+3)</f>
        <v>-63.435125657309413</v>
      </c>
      <c r="AE146" s="164" cm="1">
        <f t="array" ref="AE146">INDEX(QRT!$1:$1048576,MATCH(Model!$B146,QRT!$A:$A,0),MATCH(Model!AE$3,QRT!$4:$4,0))+INDEX(QRT!$1:$1048576,MATCH(Model!$B146,QRT!$A:$A,0),MATCH(Model!AE$3,QRT!$4:$4,0)+1)+INDEX(QRT!$1:$1048576,MATCH(Model!$B146,QRT!$A:$A,0),MATCH(Model!AE$3,QRT!$4:$4,0)+2)+INDEX(QRT!$1:$1048576,MATCH(Model!$B146,QRT!$A:$A,0),MATCH(Model!AE$3,QRT!$4:$4,0)+3)</f>
        <v>-78.358831555251101</v>
      </c>
      <c r="AF146" s="164" cm="1">
        <f t="array" ref="AF146">INDEX(QRT!$1:$1048576,MATCH(Model!$B146,QRT!$A:$A,0),MATCH(Model!AF$3,QRT!$4:$4,0))+INDEX(QRT!$1:$1048576,MATCH(Model!$B146,QRT!$A:$A,0),MATCH(Model!AF$3,QRT!$4:$4,0)+1)+INDEX(QRT!$1:$1048576,MATCH(Model!$B146,QRT!$A:$A,0),MATCH(Model!AF$3,QRT!$4:$4,0)+2)+INDEX(QRT!$1:$1048576,MATCH(Model!$B146,QRT!$A:$A,0),MATCH(Model!AF$3,QRT!$4:$4,0)+3)</f>
        <v>-94.813537231579872</v>
      </c>
      <c r="AG146" s="63">
        <f>-AG298</f>
        <v>-90.080272360413531</v>
      </c>
      <c r="AH146" s="63">
        <f t="shared" ref="AH146:AN146" si="115">-AH298</f>
        <v>-111.06261852145087</v>
      </c>
      <c r="AI146" s="63">
        <f t="shared" si="115"/>
        <v>-121.41508465680683</v>
      </c>
      <c r="AJ146" s="63">
        <f t="shared" si="115"/>
        <v>-130.25267789787563</v>
      </c>
      <c r="AK146" s="63">
        <f t="shared" si="115"/>
        <v>-136.2148816761221</v>
      </c>
      <c r="AL146" s="63">
        <f t="shared" si="115"/>
        <v>-143.43859348873437</v>
      </c>
      <c r="AM146" s="63">
        <f t="shared" si="115"/>
        <v>-150.04589239882924</v>
      </c>
      <c r="AN146" s="63">
        <f t="shared" si="115"/>
        <v>-156.60769653335649</v>
      </c>
      <c r="AO146" s="7"/>
      <c r="AP146" s="7"/>
    </row>
    <row r="147" spans="1:43" outlineLevel="1">
      <c r="A147" s="96" t="s">
        <v>407</v>
      </c>
      <c r="B147" s="96" t="s">
        <v>407</v>
      </c>
      <c r="E147" s="59" t="s">
        <v>350</v>
      </c>
      <c r="H147" s="177"/>
      <c r="I147" s="177"/>
      <c r="J147" s="177"/>
      <c r="K147" s="177"/>
      <c r="L147" s="177"/>
      <c r="M147" s="177"/>
      <c r="N147" s="177"/>
      <c r="O147" s="177"/>
      <c r="P147" s="177"/>
      <c r="Q147" s="177"/>
      <c r="R147" s="177"/>
      <c r="S147" s="177"/>
      <c r="T147" s="177"/>
      <c r="U147" s="177"/>
      <c r="V147" s="177"/>
      <c r="W147" s="177"/>
      <c r="X147" s="177">
        <v>-3.02</v>
      </c>
      <c r="Y147" s="177">
        <v>5.5</v>
      </c>
      <c r="Z147" s="177" cm="1">
        <f t="array" ref="Z147">INDEX(QRT!$1:$1048576,MATCH(Model!$B147,QRT!$A:$A,0),MATCH(Model!Z$3,QRT!$4:$4,0))+INDEX(QRT!$1:$1048576,MATCH(Model!$B147,QRT!$A:$A,0),MATCH(Model!Z$3,QRT!$4:$4,0)+1)+INDEX(QRT!$1:$1048576,MATCH(Model!$B147,QRT!$A:$A,0),MATCH(Model!Z$3,QRT!$4:$4,0)+2)+INDEX(QRT!$1:$1048576,MATCH(Model!$B147,QRT!$A:$A,0),MATCH(Model!Z$3,QRT!$4:$4,0)+3)</f>
        <v>4.9030000000000005</v>
      </c>
      <c r="AA147" s="177" cm="1">
        <f t="array" ref="AA147">INDEX(QRT!$1:$1048576,MATCH(Model!$B147,QRT!$A:$A,0),MATCH(Model!AA$3,QRT!$4:$4,0))+INDEX(QRT!$1:$1048576,MATCH(Model!$B147,QRT!$A:$A,0),MATCH(Model!AA$3,QRT!$4:$4,0)+1)+INDEX(QRT!$1:$1048576,MATCH(Model!$B147,QRT!$A:$A,0),MATCH(Model!AA$3,QRT!$4:$4,0)+2)+INDEX(QRT!$1:$1048576,MATCH(Model!$B147,QRT!$A:$A,0),MATCH(Model!AA$3,QRT!$4:$4,0)+3)</f>
        <v>14.610000000000001</v>
      </c>
      <c r="AB147" s="177" cm="1">
        <f t="array" ref="AB147">INDEX(QRT!$1:$1048576,MATCH(Model!$B147,QRT!$A:$A,0),MATCH(Model!AB$3,QRT!$4:$4,0))+INDEX(QRT!$1:$1048576,MATCH(Model!$B147,QRT!$A:$A,0),MATCH(Model!AB$3,QRT!$4:$4,0)+1)+INDEX(QRT!$1:$1048576,MATCH(Model!$B147,QRT!$A:$A,0),MATCH(Model!AB$3,QRT!$4:$4,0)+2)+INDEX(QRT!$1:$1048576,MATCH(Model!$B147,QRT!$A:$A,0),MATCH(Model!AB$3,QRT!$4:$4,0)+3)</f>
        <v>25.189</v>
      </c>
      <c r="AC147" s="177" cm="1">
        <f t="array" ref="AC147">INDEX(QRT!$1:$1048576,MATCH(Model!$B147,QRT!$A:$A,0),MATCH(Model!AC$3,QRT!$4:$4,0))+INDEX(QRT!$1:$1048576,MATCH(Model!$B147,QRT!$A:$A,0),MATCH(Model!AC$3,QRT!$4:$4,0)+1)+INDEX(QRT!$1:$1048576,MATCH(Model!$B147,QRT!$A:$A,0),MATCH(Model!AC$3,QRT!$4:$4,0)+2)+INDEX(QRT!$1:$1048576,MATCH(Model!$B147,QRT!$A:$A,0),MATCH(Model!AC$3,QRT!$4:$4,0)+3)</f>
        <v>64.39</v>
      </c>
      <c r="AD147" s="164" cm="1">
        <f t="array" ref="AD147">INDEX(QRT!$1:$1048576,MATCH(Model!$B147,QRT!$A:$A,0),MATCH(Model!AD$3,QRT!$4:$4,0))+INDEX(QRT!$1:$1048576,MATCH(Model!$B147,QRT!$A:$A,0),MATCH(Model!AD$3,QRT!$4:$4,0)+1)+INDEX(QRT!$1:$1048576,MATCH(Model!$B147,QRT!$A:$A,0),MATCH(Model!AD$3,QRT!$4:$4,0)+2)+INDEX(QRT!$1:$1048576,MATCH(Model!$B147,QRT!$A:$A,0),MATCH(Model!AD$3,QRT!$4:$4,0)+3)</f>
        <v>54.834595525797141</v>
      </c>
      <c r="AE147" s="164" cm="1">
        <f t="array" ref="AE147">INDEX(QRT!$1:$1048576,MATCH(Model!$B147,QRT!$A:$A,0),MATCH(Model!AE$3,QRT!$4:$4,0))+INDEX(QRT!$1:$1048576,MATCH(Model!$B147,QRT!$A:$A,0),MATCH(Model!AE$3,QRT!$4:$4,0)+1)+INDEX(QRT!$1:$1048576,MATCH(Model!$B147,QRT!$A:$A,0),MATCH(Model!AE$3,QRT!$4:$4,0)+2)+INDEX(QRT!$1:$1048576,MATCH(Model!$B147,QRT!$A:$A,0),MATCH(Model!AE$3,QRT!$4:$4,0)+3)</f>
        <v>47.371695560320461</v>
      </c>
      <c r="AF147" s="164" cm="1">
        <f t="array" ref="AF147">INDEX(QRT!$1:$1048576,MATCH(Model!$B147,QRT!$A:$A,0),MATCH(Model!AF$3,QRT!$4:$4,0))+INDEX(QRT!$1:$1048576,MATCH(Model!$B147,QRT!$A:$A,0),MATCH(Model!AF$3,QRT!$4:$4,0)+1)+INDEX(QRT!$1:$1048576,MATCH(Model!$B147,QRT!$A:$A,0),MATCH(Model!AF$3,QRT!$4:$4,0)+2)+INDEX(QRT!$1:$1048576,MATCH(Model!$B147,QRT!$A:$A,0),MATCH(Model!AF$3,QRT!$4:$4,0)+3)</f>
        <v>51.193736451021294</v>
      </c>
      <c r="AG147" s="63">
        <f>AG308</f>
        <v>47.912112210900546</v>
      </c>
      <c r="AH147" s="63">
        <f t="shared" ref="AH147:AN147" si="116">AH308</f>
        <v>26.852651205458983</v>
      </c>
      <c r="AI147" s="63">
        <f t="shared" si="116"/>
        <v>18.959088466490982</v>
      </c>
      <c r="AJ147" s="63">
        <f t="shared" si="116"/>
        <v>11.748267193951563</v>
      </c>
      <c r="AK147" s="63">
        <f t="shared" si="116"/>
        <v>6.8962808679881391</v>
      </c>
      <c r="AL147" s="63">
        <f t="shared" si="116"/>
        <v>4.0456691352088683</v>
      </c>
      <c r="AM147" s="63">
        <f t="shared" si="116"/>
        <v>5.2476267511476635</v>
      </c>
      <c r="AN147" s="63">
        <f t="shared" si="116"/>
        <v>10.107356733540712</v>
      </c>
      <c r="AO147" s="7"/>
    </row>
    <row r="148" spans="1:43" outlineLevel="1">
      <c r="A148" s="96" t="s">
        <v>124</v>
      </c>
      <c r="B148" s="96" t="s">
        <v>408</v>
      </c>
      <c r="E148" s="59" t="s">
        <v>124</v>
      </c>
      <c r="H148" s="177"/>
      <c r="I148" s="177"/>
      <c r="J148" s="177"/>
      <c r="K148" s="177"/>
      <c r="L148" s="177"/>
      <c r="M148" s="177"/>
      <c r="N148" s="177"/>
      <c r="O148" s="177"/>
      <c r="P148" s="177"/>
      <c r="Q148" s="177"/>
      <c r="R148" s="177"/>
      <c r="S148" s="177"/>
      <c r="T148" s="177"/>
      <c r="U148" s="177"/>
      <c r="V148" s="177"/>
      <c r="W148" s="177"/>
      <c r="X148" s="177">
        <f>-6.68-0.635-0.784-0.194+1.247+2.765+0.001+0.559</f>
        <v>-3.7210000000000001</v>
      </c>
      <c r="Y148" s="177">
        <f>-2.073-3.075+0.941-1.261-0.957+3.976+0.006+0.688</f>
        <v>-1.7550000000000001</v>
      </c>
      <c r="Z148" s="177" cm="1">
        <f t="array" ref="Z148">INDEX(QRT!$1:$1048576,MATCH(Model!$B148,QRT!$A:$A,0),MATCH(Model!Z$3,QRT!$4:$4,0))+INDEX(QRT!$1:$1048576,MATCH(Model!$B148,QRT!$A:$A,0),MATCH(Model!Z$3,QRT!$4:$4,0)+1)+INDEX(QRT!$1:$1048576,MATCH(Model!$B148,QRT!$A:$A,0),MATCH(Model!Z$3,QRT!$4:$4,0)+2)+INDEX(QRT!$1:$1048576,MATCH(Model!$B148,QRT!$A:$A,0),MATCH(Model!Z$3,QRT!$4:$4,0)+3)</f>
        <v>-4.258</v>
      </c>
      <c r="AA148" s="177" cm="1">
        <f t="array" ref="AA148">INDEX(QRT!$1:$1048576,MATCH(Model!$B148,QRT!$A:$A,0),MATCH(Model!AA$3,QRT!$4:$4,0))+INDEX(QRT!$1:$1048576,MATCH(Model!$B148,QRT!$A:$A,0),MATCH(Model!AA$3,QRT!$4:$4,0)+1)+INDEX(QRT!$1:$1048576,MATCH(Model!$B148,QRT!$A:$A,0),MATCH(Model!AA$3,QRT!$4:$4,0)+2)+INDEX(QRT!$1:$1048576,MATCH(Model!$B148,QRT!$A:$A,0),MATCH(Model!AA$3,QRT!$4:$4,0)+3)</f>
        <v>-7.4390000000000001</v>
      </c>
      <c r="AB148" s="177" cm="1">
        <f t="array" ref="AB148">INDEX(QRT!$1:$1048576,MATCH(Model!$B148,QRT!$A:$A,0),MATCH(Model!AB$3,QRT!$4:$4,0))+INDEX(QRT!$1:$1048576,MATCH(Model!$B148,QRT!$A:$A,0),MATCH(Model!AB$3,QRT!$4:$4,0)+1)+INDEX(QRT!$1:$1048576,MATCH(Model!$B148,QRT!$A:$A,0),MATCH(Model!AB$3,QRT!$4:$4,0)+2)+INDEX(QRT!$1:$1048576,MATCH(Model!$B148,QRT!$A:$A,0),MATCH(Model!AB$3,QRT!$4:$4,0)+3)</f>
        <v>-29.219999999999995</v>
      </c>
      <c r="AC148" s="177" cm="1">
        <f t="array" ref="AC148">INDEX(QRT!$1:$1048576,MATCH(Model!$B148,QRT!$A:$A,0),MATCH(Model!AC$3,QRT!$4:$4,0))+INDEX(QRT!$1:$1048576,MATCH(Model!$B148,QRT!$A:$A,0),MATCH(Model!AC$3,QRT!$4:$4,0)+1)+INDEX(QRT!$1:$1048576,MATCH(Model!$B148,QRT!$A:$A,0),MATCH(Model!AC$3,QRT!$4:$4,0)+2)+INDEX(QRT!$1:$1048576,MATCH(Model!$B148,QRT!$A:$A,0),MATCH(Model!AC$3,QRT!$4:$4,0)+3)</f>
        <v>17.483000000000004</v>
      </c>
      <c r="AD148" s="164" cm="1">
        <f t="array" ref="AD148">INDEX(QRT!$1:$1048576,MATCH(Model!$B148,QRT!$A:$A,0),MATCH(Model!AD$3,QRT!$4:$4,0))+INDEX(QRT!$1:$1048576,MATCH(Model!$B148,QRT!$A:$A,0),MATCH(Model!AD$3,QRT!$4:$4,0)+1)+INDEX(QRT!$1:$1048576,MATCH(Model!$B148,QRT!$A:$A,0),MATCH(Model!AD$3,QRT!$4:$4,0)+2)+INDEX(QRT!$1:$1048576,MATCH(Model!$B148,QRT!$A:$A,0),MATCH(Model!AD$3,QRT!$4:$4,0)+3)</f>
        <v>-43.95249730407194</v>
      </c>
      <c r="AE148" s="164" cm="1">
        <f t="array" ref="AE148">INDEX(QRT!$1:$1048576,MATCH(Model!$B148,QRT!$A:$A,0),MATCH(Model!AE$3,QRT!$4:$4,0))+INDEX(QRT!$1:$1048576,MATCH(Model!$B148,QRT!$A:$A,0),MATCH(Model!AE$3,QRT!$4:$4,0)+1)+INDEX(QRT!$1:$1048576,MATCH(Model!$B148,QRT!$A:$A,0),MATCH(Model!AE$3,QRT!$4:$4,0)+2)+INDEX(QRT!$1:$1048576,MATCH(Model!$B148,QRT!$A:$A,0),MATCH(Model!AE$3,QRT!$4:$4,0)+3)</f>
        <v>-3.8439777502649406</v>
      </c>
      <c r="AF148" s="164" cm="1">
        <f t="array" ref="AF148">INDEX(QRT!$1:$1048576,MATCH(Model!$B148,QRT!$A:$A,0),MATCH(Model!AF$3,QRT!$4:$4,0))+INDEX(QRT!$1:$1048576,MATCH(Model!$B148,QRT!$A:$A,0),MATCH(Model!AF$3,QRT!$4:$4,0)+1)+INDEX(QRT!$1:$1048576,MATCH(Model!$B148,QRT!$A:$A,0),MATCH(Model!AF$3,QRT!$4:$4,0)+2)+INDEX(QRT!$1:$1048576,MATCH(Model!$B148,QRT!$A:$A,0),MATCH(Model!AF$3,QRT!$4:$4,0)+3)</f>
        <v>-4.443139648959999</v>
      </c>
      <c r="AG148" s="63">
        <f>SUM(AF172:AF174)-SUM(AG172:AG174)+SUM(AG185,AG188)-SUM(AF185,AF188)</f>
        <v>8.2108032701449076</v>
      </c>
      <c r="AH148" s="63">
        <f>SUM(AG172:AG174)-SUM(AH172:AH174)+SUM(AH185,AH188)-SUM(AG185,AG188)</f>
        <v>-2.2991779069143945</v>
      </c>
      <c r="AI148" s="63">
        <f t="shared" ref="AI148:AN148" si="117">SUM(AH172:AH174)-SUM(AI172:AI174)+SUM(AI185,AI188)-SUM(AH185,AH188)</f>
        <v>-1.9456816372876347</v>
      </c>
      <c r="AJ148" s="63">
        <f t="shared" si="117"/>
        <v>-1.6526797216725413</v>
      </c>
      <c r="AK148" s="63">
        <f t="shared" si="117"/>
        <v>-1.2802389437131865</v>
      </c>
      <c r="AL148" s="63">
        <f t="shared" si="117"/>
        <v>-1.2001397801651876</v>
      </c>
      <c r="AM148" s="63">
        <f t="shared" si="117"/>
        <v>-1.1118956321244298</v>
      </c>
      <c r="AN148" s="63">
        <f t="shared" si="117"/>
        <v>-1.0653661746128193</v>
      </c>
      <c r="AO148" s="7"/>
    </row>
    <row r="149" spans="1:43" s="3" customFormat="1" outlineLevel="1">
      <c r="A149" s="96" t="s">
        <v>125</v>
      </c>
      <c r="B149" s="96"/>
      <c r="C149" s="122"/>
      <c r="E149" s="2" t="s">
        <v>191</v>
      </c>
      <c r="F149" s="2"/>
      <c r="G149" s="2"/>
      <c r="H149" s="145"/>
      <c r="I149" s="145"/>
      <c r="J149" s="145"/>
      <c r="K149" s="145"/>
      <c r="L149" s="145"/>
      <c r="M149" s="145"/>
      <c r="N149" s="145"/>
      <c r="O149" s="145"/>
      <c r="P149" s="145"/>
      <c r="Q149" s="145"/>
      <c r="R149" s="145"/>
      <c r="S149" s="145"/>
      <c r="T149" s="145"/>
      <c r="U149" s="145"/>
      <c r="V149" s="145"/>
      <c r="W149" s="145"/>
      <c r="X149" s="8">
        <f t="shared" ref="X149:AN149" si="118">SUM(X145:X148)</f>
        <v>-13.317999999999991</v>
      </c>
      <c r="Y149" s="8">
        <f t="shared" si="118"/>
        <v>-0.78799999999998982</v>
      </c>
      <c r="Z149" s="8">
        <f t="shared" si="118"/>
        <v>-43.281000000000041</v>
      </c>
      <c r="AA149" s="8">
        <f t="shared" si="118"/>
        <v>-38.916999999999973</v>
      </c>
      <c r="AB149" s="8">
        <f t="shared" si="118"/>
        <v>-17.128999999999991</v>
      </c>
      <c r="AC149" s="8">
        <f t="shared" si="118"/>
        <v>64.648000000000025</v>
      </c>
      <c r="AD149" s="8">
        <f t="shared" ca="1" si="118"/>
        <v>53.945760160246081</v>
      </c>
      <c r="AE149" s="8">
        <f t="shared" ca="1" si="118"/>
        <v>116.75760824460798</v>
      </c>
      <c r="AF149" s="8">
        <f t="shared" ca="1" si="118"/>
        <v>176.12923959648759</v>
      </c>
      <c r="AG149" s="8">
        <f t="shared" ca="1" si="118"/>
        <v>314.21951584006672</v>
      </c>
      <c r="AH149" s="8">
        <f t="shared" ca="1" si="118"/>
        <v>327.62117144878823</v>
      </c>
      <c r="AI149" s="8">
        <f t="shared" ca="1" si="118"/>
        <v>476.48718818508536</v>
      </c>
      <c r="AJ149" s="8">
        <f t="shared" ca="1" si="118"/>
        <v>654.24078851363515</v>
      </c>
      <c r="AK149" s="8">
        <f t="shared" ca="1" si="118"/>
        <v>863.10848759067471</v>
      </c>
      <c r="AL149" s="8">
        <f t="shared" ca="1" si="118"/>
        <v>1057.1747943437592</v>
      </c>
      <c r="AM149" s="8">
        <f t="shared" ca="1" si="118"/>
        <v>1233.7993176976406</v>
      </c>
      <c r="AN149" s="8">
        <f t="shared" ca="1" si="118"/>
        <v>1410.5721783239278</v>
      </c>
      <c r="AO149" s="53"/>
      <c r="AP149" s="64"/>
      <c r="AQ149" s="64"/>
    </row>
    <row r="150" spans="1:43" s="5" customFormat="1" outlineLevel="1">
      <c r="A150" s="95"/>
      <c r="B150" s="95"/>
      <c r="C150" s="125"/>
      <c r="E150" s="60" t="s">
        <v>193</v>
      </c>
      <c r="F150" s="60"/>
      <c r="G150" s="60"/>
      <c r="H150" s="144"/>
      <c r="I150" s="144"/>
      <c r="J150" s="144"/>
      <c r="K150" s="144"/>
      <c r="L150" s="144"/>
      <c r="M150" s="144"/>
      <c r="N150" s="144"/>
      <c r="O150" s="144"/>
      <c r="P150" s="144"/>
      <c r="Q150" s="144"/>
      <c r="R150" s="144"/>
      <c r="S150" s="144"/>
      <c r="T150" s="144"/>
      <c r="U150" s="144"/>
      <c r="V150" s="144"/>
      <c r="W150" s="144"/>
      <c r="X150" s="144">
        <f t="shared" ref="X150:AN150" si="119">+X149/X129</f>
        <v>-0.17588251607876271</v>
      </c>
      <c r="Y150" s="144">
        <f t="shared" si="119"/>
        <v>-1.0214266270885319E-2</v>
      </c>
      <c r="Z150" s="144">
        <f t="shared" si="119"/>
        <v>-0.53445870018893371</v>
      </c>
      <c r="AA150" s="144">
        <f t="shared" si="119"/>
        <v>-0.26599729334408684</v>
      </c>
      <c r="AB150" s="144">
        <f t="shared" si="119"/>
        <v>-5.7139711916310253E-2</v>
      </c>
      <c r="AC150" s="144">
        <f t="shared" si="119"/>
        <v>0.20699216511217633</v>
      </c>
      <c r="AD150" s="144">
        <f t="shared" ca="1" si="119"/>
        <v>0.1572561483974847</v>
      </c>
      <c r="AE150" s="144">
        <f t="shared" ca="1" si="119"/>
        <v>0.33693456815605033</v>
      </c>
      <c r="AF150" s="144">
        <f t="shared" ca="1" si="119"/>
        <v>0.50446468216757501</v>
      </c>
      <c r="AG150" s="144">
        <f t="shared" ca="1" si="119"/>
        <v>0.89309703850224686</v>
      </c>
      <c r="AH150" s="144">
        <f t="shared" ca="1" si="119"/>
        <v>0.92472921862496726</v>
      </c>
      <c r="AI150" s="144">
        <f t="shared" ca="1" si="119"/>
        <v>1.3363786155524267</v>
      </c>
      <c r="AJ150" s="144">
        <f t="shared" ca="1" si="119"/>
        <v>1.8243984470409691</v>
      </c>
      <c r="AK150" s="144">
        <f t="shared" ca="1" si="119"/>
        <v>2.3944922261202359</v>
      </c>
      <c r="AL150" s="144">
        <f t="shared" ca="1" si="119"/>
        <v>2.9195312606200368</v>
      </c>
      <c r="AM150" s="144">
        <f t="shared" ca="1" si="119"/>
        <v>3.393610465004989</v>
      </c>
      <c r="AN150" s="144">
        <f t="shared" ca="1" si="119"/>
        <v>3.8662526247560391</v>
      </c>
      <c r="AO150" s="61"/>
      <c r="AP150" s="64"/>
      <c r="AQ150" s="64"/>
    </row>
    <row r="151" spans="1:43" outlineLevel="1">
      <c r="H151" s="68"/>
      <c r="I151" s="68"/>
      <c r="J151" s="68"/>
      <c r="K151" s="68"/>
      <c r="L151" s="68"/>
      <c r="M151" s="68"/>
      <c r="N151" s="68"/>
      <c r="O151" s="68"/>
      <c r="P151" s="68"/>
      <c r="Q151" s="68"/>
      <c r="R151" s="68"/>
      <c r="S151" s="68"/>
      <c r="T151" s="68"/>
      <c r="U151" s="68"/>
      <c r="V151" s="68"/>
      <c r="W151" s="68"/>
      <c r="X151" s="68">
        <f>-X147</f>
        <v>3.02</v>
      </c>
      <c r="Y151" s="68">
        <f t="shared" ref="Y151:AN151" si="120">-Y147</f>
        <v>-5.5</v>
      </c>
      <c r="Z151" s="68">
        <f t="shared" si="120"/>
        <v>-4.9030000000000005</v>
      </c>
      <c r="AA151" s="68">
        <f t="shared" si="120"/>
        <v>-14.610000000000001</v>
      </c>
      <c r="AB151" s="68">
        <f t="shared" si="120"/>
        <v>-25.189</v>
      </c>
      <c r="AC151" s="68">
        <f t="shared" si="120"/>
        <v>-64.39</v>
      </c>
      <c r="AD151" s="7">
        <f t="shared" si="120"/>
        <v>-54.834595525797141</v>
      </c>
      <c r="AE151" s="7">
        <f t="shared" si="120"/>
        <v>-47.371695560320461</v>
      </c>
      <c r="AF151" s="7">
        <f t="shared" si="120"/>
        <v>-51.193736451021294</v>
      </c>
      <c r="AG151" s="7">
        <f t="shared" si="120"/>
        <v>-47.912112210900546</v>
      </c>
      <c r="AH151" s="7">
        <f t="shared" si="120"/>
        <v>-26.852651205458983</v>
      </c>
      <c r="AI151" s="7">
        <f t="shared" si="120"/>
        <v>-18.959088466490982</v>
      </c>
      <c r="AJ151" s="7">
        <f t="shared" si="120"/>
        <v>-11.748267193951563</v>
      </c>
      <c r="AK151" s="7">
        <f t="shared" si="120"/>
        <v>-6.8962808679881391</v>
      </c>
      <c r="AL151" s="7">
        <f t="shared" si="120"/>
        <v>-4.0456691352088683</v>
      </c>
      <c r="AM151" s="7">
        <f t="shared" si="120"/>
        <v>-5.2476267511476635</v>
      </c>
      <c r="AN151" s="7">
        <f t="shared" si="120"/>
        <v>-10.107356733540712</v>
      </c>
      <c r="AO151" s="7"/>
    </row>
    <row r="152" spans="1:43" outlineLevel="1">
      <c r="A152" s="96" t="s">
        <v>126</v>
      </c>
      <c r="B152" s="96" t="s">
        <v>410</v>
      </c>
      <c r="E152" s="59" t="s">
        <v>126</v>
      </c>
      <c r="H152" s="177"/>
      <c r="I152" s="177"/>
      <c r="J152" s="177"/>
      <c r="K152" s="177"/>
      <c r="L152" s="177"/>
      <c r="M152" s="177"/>
      <c r="N152" s="177"/>
      <c r="O152" s="177"/>
      <c r="P152" s="177"/>
      <c r="Q152" s="177"/>
      <c r="R152" s="177"/>
      <c r="S152" s="177"/>
      <c r="T152" s="177"/>
      <c r="U152" s="177"/>
      <c r="V152" s="177"/>
      <c r="W152" s="177"/>
      <c r="X152" s="177">
        <v>-15.898</v>
      </c>
      <c r="Y152" s="177">
        <v>-19.030999999999999</v>
      </c>
      <c r="Z152" s="177" cm="1">
        <f t="array" ref="Z152">INDEX(QRT!$1:$1048576,MATCH(Model!$B152,QRT!$A:$A,0),MATCH(Model!Z$3,QRT!$4:$4,0))+INDEX(QRT!$1:$1048576,MATCH(Model!$B152,QRT!$A:$A,0),MATCH(Model!Z$3,QRT!$4:$4,0)+1)+INDEX(QRT!$1:$1048576,MATCH(Model!$B152,QRT!$A:$A,0),MATCH(Model!Z$3,QRT!$4:$4,0)+2)+INDEX(QRT!$1:$1048576,MATCH(Model!$B152,QRT!$A:$A,0),MATCH(Model!Z$3,QRT!$4:$4,0)+3)</f>
        <v>-25.466000000000001</v>
      </c>
      <c r="AA152" s="177" cm="1">
        <f t="array" ref="AA152">INDEX(QRT!$1:$1048576,MATCH(Model!$B152,QRT!$A:$A,0),MATCH(Model!AA$3,QRT!$4:$4,0))+INDEX(QRT!$1:$1048576,MATCH(Model!$B152,QRT!$A:$A,0),MATCH(Model!AA$3,QRT!$4:$4,0)+1)+INDEX(QRT!$1:$1048576,MATCH(Model!$B152,QRT!$A:$A,0),MATCH(Model!AA$3,QRT!$4:$4,0)+2)+INDEX(QRT!$1:$1048576,MATCH(Model!$B152,QRT!$A:$A,0),MATCH(Model!AA$3,QRT!$4:$4,0)+3)</f>
        <v>-43.289000000000001</v>
      </c>
      <c r="AB152" s="177" cm="1">
        <f t="array" ref="AB152">INDEX(QRT!$1:$1048576,MATCH(Model!$B152,QRT!$A:$A,0),MATCH(Model!AB$3,QRT!$4:$4,0))+INDEX(QRT!$1:$1048576,MATCH(Model!$B152,QRT!$A:$A,0),MATCH(Model!AB$3,QRT!$4:$4,0)+1)+INDEX(QRT!$1:$1048576,MATCH(Model!$B152,QRT!$A:$A,0),MATCH(Model!AB$3,QRT!$4:$4,0)+2)+INDEX(QRT!$1:$1048576,MATCH(Model!$B152,QRT!$A:$A,0),MATCH(Model!AB$3,QRT!$4:$4,0)+3)</f>
        <v>-56.375</v>
      </c>
      <c r="AC152" s="177" cm="1">
        <f t="array" ref="AC152">INDEX(QRT!$1:$1048576,MATCH(Model!$B152,QRT!$A:$A,0),MATCH(Model!AC$3,QRT!$4:$4,0))+INDEX(QRT!$1:$1048576,MATCH(Model!$B152,QRT!$A:$A,0),MATCH(Model!AC$3,QRT!$4:$4,0)+1)+INDEX(QRT!$1:$1048576,MATCH(Model!$B152,QRT!$A:$A,0),MATCH(Model!AC$3,QRT!$4:$4,0)+2)+INDEX(QRT!$1:$1048576,MATCH(Model!$B152,QRT!$A:$A,0),MATCH(Model!AC$3,QRT!$4:$4,0)+3)</f>
        <v>-92.986000000000004</v>
      </c>
      <c r="AD152" s="183" cm="1">
        <f t="array" ref="AD152">INDEX(QRT!$1:$1048576,MATCH(Model!$B152,QRT!$A:$A,0),MATCH(Model!AD$3,QRT!$4:$4,0))+INDEX(QRT!$1:$1048576,MATCH(Model!$B152,QRT!$A:$A,0),MATCH(Model!AD$3,QRT!$4:$4,0)+1)+INDEX(QRT!$1:$1048576,MATCH(Model!$B152,QRT!$A:$A,0),MATCH(Model!AD$3,QRT!$4:$4,0)+2)+INDEX(QRT!$1:$1048576,MATCH(Model!$B152,QRT!$A:$A,0),MATCH(Model!AD$3,QRT!$4:$4,0)+3)</f>
        <v>-131.00877434360001</v>
      </c>
      <c r="AE152" s="183" cm="1">
        <f t="array" ref="AE152">INDEX(QRT!$1:$1048576,MATCH(Model!$B152,QRT!$A:$A,0),MATCH(Model!AE$3,QRT!$4:$4,0))+INDEX(QRT!$1:$1048576,MATCH(Model!$B152,QRT!$A:$A,0),MATCH(Model!AE$3,QRT!$4:$4,0)+1)+INDEX(QRT!$1:$1048576,MATCH(Model!$B152,QRT!$A:$A,0),MATCH(Model!AE$3,QRT!$4:$4,0)+2)+INDEX(QRT!$1:$1048576,MATCH(Model!$B152,QRT!$A:$A,0),MATCH(Model!AE$3,QRT!$4:$4,0)+3)</f>
        <v>-166.41122862140207</v>
      </c>
      <c r="AF152" s="183" cm="1">
        <f t="array" ref="AF152">INDEX(QRT!$1:$1048576,MATCH(Model!$B152,QRT!$A:$A,0),MATCH(Model!AF$3,QRT!$4:$4,0))+INDEX(QRT!$1:$1048576,MATCH(Model!$B152,QRT!$A:$A,0),MATCH(Model!AF$3,QRT!$4:$4,0)+1)+INDEX(QRT!$1:$1048576,MATCH(Model!$B152,QRT!$A:$A,0),MATCH(Model!AF$3,QRT!$4:$4,0)+2)+INDEX(QRT!$1:$1048576,MATCH(Model!$B152,QRT!$A:$A,0),MATCH(Model!AF$3,QRT!$4:$4,0)+3)</f>
        <v>-208.12609615332173</v>
      </c>
      <c r="AG152" s="77">
        <f t="shared" ref="AG152:AN152" si="121">-AG264-AG291-AG153</f>
        <v>-231.41539891672693</v>
      </c>
      <c r="AH152" s="77">
        <f t="shared" si="121"/>
        <v>-271.29390959446465</v>
      </c>
      <c r="AI152" s="77">
        <f t="shared" si="121"/>
        <v>-312.45044131482649</v>
      </c>
      <c r="AJ152" s="77">
        <f t="shared" si="121"/>
        <v>-354.00505815771731</v>
      </c>
      <c r="AK152" s="77">
        <f t="shared" si="121"/>
        <v>-392.96651108098848</v>
      </c>
      <c r="AL152" s="77">
        <f t="shared" si="121"/>
        <v>-427.98566014990905</v>
      </c>
      <c r="AM152" s="77">
        <f t="shared" si="121"/>
        <v>-455.26739440108884</v>
      </c>
      <c r="AN152" s="77">
        <f t="shared" si="121"/>
        <v>-473.68754388065156</v>
      </c>
      <c r="AO152" s="7"/>
      <c r="AP152" s="7"/>
    </row>
    <row r="153" spans="1:43" outlineLevel="1">
      <c r="A153" s="96" t="s">
        <v>334</v>
      </c>
      <c r="B153" s="96" t="s">
        <v>411</v>
      </c>
      <c r="E153" s="59" t="s">
        <v>334</v>
      </c>
      <c r="H153" s="177"/>
      <c r="I153" s="177"/>
      <c r="J153" s="177"/>
      <c r="K153" s="177"/>
      <c r="L153" s="177"/>
      <c r="M153" s="177"/>
      <c r="N153" s="177"/>
      <c r="O153" s="177"/>
      <c r="P153" s="177"/>
      <c r="Q153" s="177"/>
      <c r="R153" s="177"/>
      <c r="S153" s="177"/>
      <c r="T153" s="177"/>
      <c r="U153" s="177"/>
      <c r="V153" s="177"/>
      <c r="W153" s="177"/>
      <c r="X153" s="177">
        <v>-2.66</v>
      </c>
      <c r="Y153" s="177">
        <v>-3.944</v>
      </c>
      <c r="Z153" s="177" cm="1">
        <f t="array" ref="Z153">INDEX(QRT!$1:$1048576,MATCH(Model!$B153,QRT!$A:$A,0),MATCH(Model!Z$3,QRT!$4:$4,0))+INDEX(QRT!$1:$1048576,MATCH(Model!$B153,QRT!$A:$A,0),MATCH(Model!Z$3,QRT!$4:$4,0)+1)+INDEX(QRT!$1:$1048576,MATCH(Model!$B153,QRT!$A:$A,0),MATCH(Model!Z$3,QRT!$4:$4,0)+2)+INDEX(QRT!$1:$1048576,MATCH(Model!$B153,QRT!$A:$A,0),MATCH(Model!Z$3,QRT!$4:$4,0)+3)</f>
        <v>-9.3729999999999993</v>
      </c>
      <c r="AA153" s="177" cm="1">
        <f t="array" ref="AA153">INDEX(QRT!$1:$1048576,MATCH(Model!$B153,QRT!$A:$A,0),MATCH(Model!AA$3,QRT!$4:$4,0))+INDEX(QRT!$1:$1048576,MATCH(Model!$B153,QRT!$A:$A,0),MATCH(Model!AA$3,QRT!$4:$4,0)+1)+INDEX(QRT!$1:$1048576,MATCH(Model!$B153,QRT!$A:$A,0),MATCH(Model!AA$3,QRT!$4:$4,0)+2)+INDEX(QRT!$1:$1048576,MATCH(Model!$B153,QRT!$A:$A,0),MATCH(Model!AA$3,QRT!$4:$4,0)+3)</f>
        <v>-13.99</v>
      </c>
      <c r="AB153" s="177" cm="1">
        <f t="array" ref="AB153">INDEX(QRT!$1:$1048576,MATCH(Model!$B153,QRT!$A:$A,0),MATCH(Model!AB$3,QRT!$4:$4,0))+INDEX(QRT!$1:$1048576,MATCH(Model!$B153,QRT!$A:$A,0),MATCH(Model!AB$3,QRT!$4:$4,0)+1)+INDEX(QRT!$1:$1048576,MATCH(Model!$B153,QRT!$A:$A,0),MATCH(Model!AB$3,QRT!$4:$4,0)+2)+INDEX(QRT!$1:$1048576,MATCH(Model!$B153,QRT!$A:$A,0),MATCH(Model!AB$3,QRT!$4:$4,0)+3)</f>
        <v>-18.586999999999996</v>
      </c>
      <c r="AC153" s="177" cm="1">
        <f t="array" ref="AC153">INDEX(QRT!$1:$1048576,MATCH(Model!$B153,QRT!$A:$A,0),MATCH(Model!AC$3,QRT!$4:$4,0))+INDEX(QRT!$1:$1048576,MATCH(Model!$B153,QRT!$A:$A,0),MATCH(Model!AC$3,QRT!$4:$4,0)+1)+INDEX(QRT!$1:$1048576,MATCH(Model!$B153,QRT!$A:$A,0),MATCH(Model!AC$3,QRT!$4:$4,0)+2)+INDEX(QRT!$1:$1048576,MATCH(Model!$B153,QRT!$A:$A,0),MATCH(Model!AC$3,QRT!$4:$4,0)+3)</f>
        <v>-14.752000000000001</v>
      </c>
      <c r="AD153" s="183" cm="1">
        <f t="array" ref="AD153">INDEX(QRT!$1:$1048576,MATCH(Model!$B153,QRT!$A:$A,0),MATCH(Model!AD$3,QRT!$4:$4,0))+INDEX(QRT!$1:$1048576,MATCH(Model!$B153,QRT!$A:$A,0),MATCH(Model!AD$3,QRT!$4:$4,0)+1)+INDEX(QRT!$1:$1048576,MATCH(Model!$B153,QRT!$A:$A,0),MATCH(Model!AD$3,QRT!$4:$4,0)+2)+INDEX(QRT!$1:$1048576,MATCH(Model!$B153,QRT!$A:$A,0),MATCH(Model!AD$3,QRT!$4:$4,0)+3)</f>
        <v>-21.002776456400003</v>
      </c>
      <c r="AE153" s="183" cm="1">
        <f t="array" ref="AE153">INDEX(QRT!$1:$1048576,MATCH(Model!$B153,QRT!$A:$A,0),MATCH(Model!AE$3,QRT!$4:$4,0))+INDEX(QRT!$1:$1048576,MATCH(Model!$B153,QRT!$A:$A,0),MATCH(Model!AE$3,QRT!$4:$4,0)+1)+INDEX(QRT!$1:$1048576,MATCH(Model!$B153,QRT!$A:$A,0),MATCH(Model!AE$3,QRT!$4:$4,0)+2)+INDEX(QRT!$1:$1048576,MATCH(Model!$B153,QRT!$A:$A,0),MATCH(Model!AE$3,QRT!$4:$4,0)+3)</f>
        <v>-22.007384386470036</v>
      </c>
      <c r="AF153" s="183" cm="1">
        <f t="array" ref="AF153">INDEX(QRT!$1:$1048576,MATCH(Model!$B153,QRT!$A:$A,0),MATCH(Model!AF$3,QRT!$4:$4,0))+INDEX(QRT!$1:$1048576,MATCH(Model!$B153,QRT!$A:$A,0),MATCH(Model!AF$3,QRT!$4:$4,0)+1)+INDEX(QRT!$1:$1048576,MATCH(Model!$B153,QRT!$A:$A,0),MATCH(Model!AF$3,QRT!$4:$4,0)+2)+INDEX(QRT!$1:$1048576,MATCH(Model!$B153,QRT!$A:$A,0),MATCH(Model!AF$3,QRT!$4:$4,0)+3)</f>
        <v>-21.886273803296248</v>
      </c>
      <c r="AG153" s="77">
        <f>(-AG264)*AG272</f>
        <v>-23.664749518490108</v>
      </c>
      <c r="AH153" s="77">
        <f t="shared" ref="AH153:AN153" si="122">(-AH264)*AH272</f>
        <v>-26.980217750785211</v>
      </c>
      <c r="AI153" s="77">
        <f t="shared" si="122"/>
        <v>-30.221271901269834</v>
      </c>
      <c r="AJ153" s="77">
        <f t="shared" si="122"/>
        <v>-33.304029726604234</v>
      </c>
      <c r="AK153" s="77">
        <f t="shared" si="122"/>
        <v>-35.96062547859524</v>
      </c>
      <c r="AL153" s="77">
        <f t="shared" si="122"/>
        <v>-38.098958187661857</v>
      </c>
      <c r="AM153" s="77">
        <f t="shared" si="122"/>
        <v>-39.426625294596619</v>
      </c>
      <c r="AN153" s="77">
        <f t="shared" si="122"/>
        <v>-39.909877569878873</v>
      </c>
      <c r="AO153" s="7"/>
    </row>
    <row r="154" spans="1:43" outlineLevel="1">
      <c r="A154" s="96" t="s">
        <v>127</v>
      </c>
      <c r="B154" s="96" t="s">
        <v>412</v>
      </c>
      <c r="E154" s="59" t="s">
        <v>221</v>
      </c>
      <c r="H154" s="177"/>
      <c r="I154" s="177"/>
      <c r="J154" s="177"/>
      <c r="K154" s="177"/>
      <c r="L154" s="177"/>
      <c r="M154" s="177"/>
      <c r="N154" s="177"/>
      <c r="O154" s="177"/>
      <c r="P154" s="177"/>
      <c r="Q154" s="177"/>
      <c r="R154" s="177"/>
      <c r="S154" s="177"/>
      <c r="T154" s="177"/>
      <c r="U154" s="177"/>
      <c r="V154" s="177"/>
      <c r="W154" s="177"/>
      <c r="X154" s="177">
        <v>-1.3759999999999999</v>
      </c>
      <c r="Y154" s="177">
        <v>-0.25</v>
      </c>
      <c r="Z154" s="177" cm="1">
        <f t="array" ref="Z154">INDEX(QRT!$1:$1048576,MATCH(Model!$B154,QRT!$A:$A,0),MATCH(Model!Z$3,QRT!$4:$4,0))+INDEX(QRT!$1:$1048576,MATCH(Model!$B154,QRT!$A:$A,0),MATCH(Model!Z$3,QRT!$4:$4,0)+1)+INDEX(QRT!$1:$1048576,MATCH(Model!$B154,QRT!$A:$A,0),MATCH(Model!Z$3,QRT!$4:$4,0)+2)+INDEX(QRT!$1:$1048576,MATCH(Model!$B154,QRT!$A:$A,0),MATCH(Model!Z$3,QRT!$4:$4,0)+3)</f>
        <v>0</v>
      </c>
      <c r="AA154" s="177" cm="1">
        <f t="array" ref="AA154">INDEX(QRT!$1:$1048576,MATCH(Model!$B154,QRT!$A:$A,0),MATCH(Model!AA$3,QRT!$4:$4,0))+INDEX(QRT!$1:$1048576,MATCH(Model!$B154,QRT!$A:$A,0),MATCH(Model!AA$3,QRT!$4:$4,0)+1)+INDEX(QRT!$1:$1048576,MATCH(Model!$B154,QRT!$A:$A,0),MATCH(Model!AA$3,QRT!$4:$4,0)+2)+INDEX(QRT!$1:$1048576,MATCH(Model!$B154,QRT!$A:$A,0),MATCH(Model!AA$3,QRT!$4:$4,0)+3)</f>
        <v>0</v>
      </c>
      <c r="AB154" s="177" cm="1">
        <f t="array" ref="AB154">INDEX(QRT!$1:$1048576,MATCH(Model!$B154,QRT!$A:$A,0),MATCH(Model!AB$3,QRT!$4:$4,0))+INDEX(QRT!$1:$1048576,MATCH(Model!$B154,QRT!$A:$A,0),MATCH(Model!AB$3,QRT!$4:$4,0)+1)+INDEX(QRT!$1:$1048576,MATCH(Model!$B154,QRT!$A:$A,0),MATCH(Model!AB$3,QRT!$4:$4,0)+2)+INDEX(QRT!$1:$1048576,MATCH(Model!$B154,QRT!$A:$A,0),MATCH(Model!AB$3,QRT!$4:$4,0)+3)</f>
        <v>-13.940999999999999</v>
      </c>
      <c r="AC154" s="177" cm="1">
        <f t="array" ref="AC154">INDEX(QRT!$1:$1048576,MATCH(Model!$B154,QRT!$A:$A,0),MATCH(Model!AC$3,QRT!$4:$4,0))+INDEX(QRT!$1:$1048576,MATCH(Model!$B154,QRT!$A:$A,0),MATCH(Model!AC$3,QRT!$4:$4,0)+1)+INDEX(QRT!$1:$1048576,MATCH(Model!$B154,QRT!$A:$A,0),MATCH(Model!AC$3,QRT!$4:$4,0)+2)+INDEX(QRT!$1:$1048576,MATCH(Model!$B154,QRT!$A:$A,0),MATCH(Model!AC$3,QRT!$4:$4,0)+3)</f>
        <v>-5.6050000000000004</v>
      </c>
      <c r="AD154" s="183" cm="1">
        <f t="array" ref="AD154">INDEX(QRT!$1:$1048576,MATCH(Model!$B154,QRT!$A:$A,0),MATCH(Model!AD$3,QRT!$4:$4,0))+INDEX(QRT!$1:$1048576,MATCH(Model!$B154,QRT!$A:$A,0),MATCH(Model!AD$3,QRT!$4:$4,0)+1)+INDEX(QRT!$1:$1048576,MATCH(Model!$B154,QRT!$A:$A,0),MATCH(Model!AD$3,QRT!$4:$4,0)+2)+INDEX(QRT!$1:$1048576,MATCH(Model!$B154,QRT!$A:$A,0),MATCH(Model!AD$3,QRT!$4:$4,0)+3)</f>
        <v>-86.941000000000003</v>
      </c>
      <c r="AE154" s="183" cm="1">
        <f t="array" ref="AE154">INDEX(QRT!$1:$1048576,MATCH(Model!$B154,QRT!$A:$A,0),MATCH(Model!AE$3,QRT!$4:$4,0))+INDEX(QRT!$1:$1048576,MATCH(Model!$B154,QRT!$A:$A,0),MATCH(Model!AE$3,QRT!$4:$4,0)+1)+INDEX(QRT!$1:$1048576,MATCH(Model!$B154,QRT!$A:$A,0),MATCH(Model!AE$3,QRT!$4:$4,0)+2)+INDEX(QRT!$1:$1048576,MATCH(Model!$B154,QRT!$A:$A,0),MATCH(Model!AE$3,QRT!$4:$4,0)+3)</f>
        <v>0</v>
      </c>
      <c r="AF154" s="183" cm="1">
        <f t="array" ref="AF154">INDEX(QRT!$1:$1048576,MATCH(Model!$B154,QRT!$A:$A,0),MATCH(Model!AF$3,QRT!$4:$4,0))+INDEX(QRT!$1:$1048576,MATCH(Model!$B154,QRT!$A:$A,0),MATCH(Model!AF$3,QRT!$4:$4,0)+1)+INDEX(QRT!$1:$1048576,MATCH(Model!$B154,QRT!$A:$A,0),MATCH(Model!AF$3,QRT!$4:$4,0)+2)+INDEX(QRT!$1:$1048576,MATCH(Model!$B154,QRT!$A:$A,0),MATCH(Model!AF$3,QRT!$4:$4,0)+3)</f>
        <v>0</v>
      </c>
      <c r="AG154" s="245">
        <v>0</v>
      </c>
      <c r="AH154" s="245">
        <v>0</v>
      </c>
      <c r="AI154" s="245">
        <v>0</v>
      </c>
      <c r="AJ154" s="245">
        <v>0</v>
      </c>
      <c r="AK154" s="245">
        <v>0</v>
      </c>
      <c r="AL154" s="245">
        <v>0</v>
      </c>
      <c r="AM154" s="245">
        <v>0</v>
      </c>
      <c r="AN154" s="245">
        <v>0</v>
      </c>
      <c r="AO154" s="7"/>
    </row>
    <row r="155" spans="1:43" outlineLevel="1">
      <c r="A155" s="96" t="s">
        <v>409</v>
      </c>
      <c r="B155" s="96" t="s">
        <v>413</v>
      </c>
      <c r="E155" s="59" t="s">
        <v>363</v>
      </c>
      <c r="H155" s="177"/>
      <c r="I155" s="177"/>
      <c r="J155" s="177"/>
      <c r="K155" s="177"/>
      <c r="L155" s="177"/>
      <c r="M155" s="177"/>
      <c r="N155" s="177"/>
      <c r="O155" s="177"/>
      <c r="P155" s="177"/>
      <c r="Q155" s="177"/>
      <c r="R155" s="177"/>
      <c r="S155" s="177"/>
      <c r="T155" s="177"/>
      <c r="U155" s="177"/>
      <c r="V155" s="177"/>
      <c r="W155" s="177"/>
      <c r="X155" s="177">
        <f>-74.891+1.301+78.26</f>
        <v>4.6700000000000017</v>
      </c>
      <c r="Y155" s="177">
        <f>-47.09+79.831</f>
        <v>32.741</v>
      </c>
      <c r="Z155" s="177" cm="1">
        <f t="array" ref="Z155">INDEX(QRT!$1:$1048576,MATCH(Model!$B155,QRT!$A:$A,0),MATCH(Model!Z$3,QRT!$4:$4,0))+INDEX(QRT!$1:$1048576,MATCH(Model!$B155,QRT!$A:$A,0),MATCH(Model!Z$3,QRT!$4:$4,0)+1)+INDEX(QRT!$1:$1048576,MATCH(Model!$B155,QRT!$A:$A,0),MATCH(Model!Z$3,QRT!$4:$4,0)+2)+INDEX(QRT!$1:$1048576,MATCH(Model!$B155,QRT!$A:$A,0),MATCH(Model!Z$3,QRT!$4:$4,0)+3)</f>
        <v>-86.02000000000001</v>
      </c>
      <c r="AA155" s="177" cm="1">
        <f t="array" ref="AA155">INDEX(QRT!$1:$1048576,MATCH(Model!$B155,QRT!$A:$A,0),MATCH(Model!AA$3,QRT!$4:$4,0))+INDEX(QRT!$1:$1048576,MATCH(Model!$B155,QRT!$A:$A,0),MATCH(Model!AA$3,QRT!$4:$4,0)+1)+INDEX(QRT!$1:$1048576,MATCH(Model!$B155,QRT!$A:$A,0),MATCH(Model!AA$3,QRT!$4:$4,0)+2)+INDEX(QRT!$1:$1048576,MATCH(Model!$B155,QRT!$A:$A,0),MATCH(Model!AA$3,QRT!$4:$4,0)+3)</f>
        <v>-360.40600000000001</v>
      </c>
      <c r="AB155" s="177" cm="1">
        <f t="array" ref="AB155">INDEX(QRT!$1:$1048576,MATCH(Model!$B155,QRT!$A:$A,0),MATCH(Model!AB$3,QRT!$4:$4,0))+INDEX(QRT!$1:$1048576,MATCH(Model!$B155,QRT!$A:$A,0),MATCH(Model!AB$3,QRT!$4:$4,0)+1)+INDEX(QRT!$1:$1048576,MATCH(Model!$B155,QRT!$A:$A,0),MATCH(Model!AB$3,QRT!$4:$4,0)+2)+INDEX(QRT!$1:$1048576,MATCH(Model!$B155,QRT!$A:$A,0),MATCH(Model!AB$3,QRT!$4:$4,0)+3)</f>
        <v>-426.76699999999994</v>
      </c>
      <c r="AC155" s="177" cm="1">
        <f t="array" ref="AC155">INDEX(QRT!$1:$1048576,MATCH(Model!$B155,QRT!$A:$A,0),MATCH(Model!AC$3,QRT!$4:$4,0))+INDEX(QRT!$1:$1048576,MATCH(Model!$B155,QRT!$A:$A,0),MATCH(Model!AC$3,QRT!$4:$4,0)+1)+INDEX(QRT!$1:$1048576,MATCH(Model!$B155,QRT!$A:$A,0),MATCH(Model!AC$3,QRT!$4:$4,0)+2)+INDEX(QRT!$1:$1048576,MATCH(Model!$B155,QRT!$A:$A,0),MATCH(Model!AC$3,QRT!$4:$4,0)+3)</f>
        <v>-596.03199999999993</v>
      </c>
      <c r="AD155" s="183" cm="1">
        <f t="array" ref="AD155">INDEX(QRT!$1:$1048576,MATCH(Model!$B155,QRT!$A:$A,0),MATCH(Model!AD$3,QRT!$4:$4,0))+INDEX(QRT!$1:$1048576,MATCH(Model!$B155,QRT!$A:$A,0),MATCH(Model!AD$3,QRT!$4:$4,0)+1)+INDEX(QRT!$1:$1048576,MATCH(Model!$B155,QRT!$A:$A,0),MATCH(Model!AD$3,QRT!$4:$4,0)+2)+INDEX(QRT!$1:$1048576,MATCH(Model!$B155,QRT!$A:$A,0),MATCH(Model!AD$3,QRT!$4:$4,0)+3)</f>
        <v>-8.3379999999999939</v>
      </c>
      <c r="AE155" s="183" cm="1">
        <f t="array" ref="AE155">INDEX(QRT!$1:$1048576,MATCH(Model!$B155,QRT!$A:$A,0),MATCH(Model!AE$3,QRT!$4:$4,0))+INDEX(QRT!$1:$1048576,MATCH(Model!$B155,QRT!$A:$A,0),MATCH(Model!AE$3,QRT!$4:$4,0)+1)+INDEX(QRT!$1:$1048576,MATCH(Model!$B155,QRT!$A:$A,0),MATCH(Model!AE$3,QRT!$4:$4,0)+2)+INDEX(QRT!$1:$1048576,MATCH(Model!$B155,QRT!$A:$A,0),MATCH(Model!AE$3,QRT!$4:$4,0)+3)</f>
        <v>0</v>
      </c>
      <c r="AF155" s="183" cm="1">
        <f t="array" ref="AF155">INDEX(QRT!$1:$1048576,MATCH(Model!$B155,QRT!$A:$A,0),MATCH(Model!AF$3,QRT!$4:$4,0))+INDEX(QRT!$1:$1048576,MATCH(Model!$B155,QRT!$A:$A,0),MATCH(Model!AF$3,QRT!$4:$4,0)+1)+INDEX(QRT!$1:$1048576,MATCH(Model!$B155,QRT!$A:$A,0),MATCH(Model!AF$3,QRT!$4:$4,0)+2)+INDEX(QRT!$1:$1048576,MATCH(Model!$B155,QRT!$A:$A,0),MATCH(Model!AF$3,QRT!$4:$4,0)+3)</f>
        <v>0</v>
      </c>
      <c r="AG155" s="77">
        <f>-(AG171-AF171)</f>
        <v>0</v>
      </c>
      <c r="AH155" s="77">
        <f t="shared" ref="AH155:AN155" si="123">-(AH171-AG171)</f>
        <v>0</v>
      </c>
      <c r="AI155" s="77">
        <f t="shared" si="123"/>
        <v>0</v>
      </c>
      <c r="AJ155" s="77">
        <f t="shared" si="123"/>
        <v>0</v>
      </c>
      <c r="AK155" s="77">
        <f t="shared" si="123"/>
        <v>0</v>
      </c>
      <c r="AL155" s="77">
        <f t="shared" si="123"/>
        <v>0</v>
      </c>
      <c r="AM155" s="77">
        <f t="shared" si="123"/>
        <v>0</v>
      </c>
      <c r="AN155" s="77">
        <f t="shared" si="123"/>
        <v>0</v>
      </c>
      <c r="AO155" s="7"/>
    </row>
    <row r="156" spans="1:43" outlineLevel="1">
      <c r="B156" s="96" t="s">
        <v>442</v>
      </c>
      <c r="E156" s="59" t="s">
        <v>123</v>
      </c>
      <c r="H156" s="177"/>
      <c r="I156" s="177"/>
      <c r="J156" s="177"/>
      <c r="K156" s="177"/>
      <c r="L156" s="177"/>
      <c r="M156" s="177"/>
      <c r="N156" s="177"/>
      <c r="O156" s="177"/>
      <c r="P156" s="177"/>
      <c r="Q156" s="177"/>
      <c r="R156" s="177"/>
      <c r="S156" s="177"/>
      <c r="T156" s="177"/>
      <c r="U156" s="177"/>
      <c r="V156" s="177"/>
      <c r="W156" s="177"/>
      <c r="X156" s="177">
        <v>8.0000000000000002E-3</v>
      </c>
      <c r="Y156" s="177">
        <v>2.8000000000000001E-2</v>
      </c>
      <c r="Z156" s="177" cm="1">
        <f t="array" ref="Z156">INDEX(QRT!$1:$1048576,MATCH(Model!$B156,QRT!$A:$A,0),MATCH(Model!Z$3,QRT!$4:$4,0))+INDEX(QRT!$1:$1048576,MATCH(Model!$B156,QRT!$A:$A,0),MATCH(Model!Z$3,QRT!$4:$4,0)+1)+INDEX(QRT!$1:$1048576,MATCH(Model!$B156,QRT!$A:$A,0),MATCH(Model!Z$3,QRT!$4:$4,0)+2)+INDEX(QRT!$1:$1048576,MATCH(Model!$B156,QRT!$A:$A,0),MATCH(Model!Z$3,QRT!$4:$4,0)+3)</f>
        <v>6.4000000000000001E-2</v>
      </c>
      <c r="AA156" s="177" cm="1">
        <f t="array" ref="AA156">INDEX(QRT!$1:$1048576,MATCH(Model!$B156,QRT!$A:$A,0),MATCH(Model!AA$3,QRT!$4:$4,0))+INDEX(QRT!$1:$1048576,MATCH(Model!$B156,QRT!$A:$A,0),MATCH(Model!AA$3,QRT!$4:$4,0)+1)+INDEX(QRT!$1:$1048576,MATCH(Model!$B156,QRT!$A:$A,0),MATCH(Model!AA$3,QRT!$4:$4,0)+2)+INDEX(QRT!$1:$1048576,MATCH(Model!$B156,QRT!$A:$A,0),MATCH(Model!AA$3,QRT!$4:$4,0)+3)</f>
        <v>4.3999999999999997E-2</v>
      </c>
      <c r="AB156" s="177" cm="1">
        <f t="array" ref="AB156">INDEX(QRT!$1:$1048576,MATCH(Model!$B156,QRT!$A:$A,0),MATCH(Model!AB$3,QRT!$4:$4,0))+INDEX(QRT!$1:$1048576,MATCH(Model!$B156,QRT!$A:$A,0),MATCH(Model!AB$3,QRT!$4:$4,0)+1)+INDEX(QRT!$1:$1048576,MATCH(Model!$B156,QRT!$A:$A,0),MATCH(Model!AB$3,QRT!$4:$4,0)+2)+INDEX(QRT!$1:$1048576,MATCH(Model!$B156,QRT!$A:$A,0),MATCH(Model!AB$3,QRT!$4:$4,0)+3)</f>
        <v>0.39700000000000002</v>
      </c>
      <c r="AC156" s="177" cm="1">
        <f t="array" ref="AC156">INDEX(QRT!$1:$1048576,MATCH(Model!$B156,QRT!$A:$A,0),MATCH(Model!AC$3,QRT!$4:$4,0))+INDEX(QRT!$1:$1048576,MATCH(Model!$B156,QRT!$A:$A,0),MATCH(Model!AC$3,QRT!$4:$4,0)+1)+INDEX(QRT!$1:$1048576,MATCH(Model!$B156,QRT!$A:$A,0),MATCH(Model!AC$3,QRT!$4:$4,0)+2)+INDEX(QRT!$1:$1048576,MATCH(Model!$B156,QRT!$A:$A,0),MATCH(Model!AC$3,QRT!$4:$4,0)+3)</f>
        <v>5.2999999999999999E-2</v>
      </c>
      <c r="AD156" s="183" cm="1">
        <f t="array" ref="AD156">INDEX(QRT!$1:$1048576,MATCH(Model!$B156,QRT!$A:$A,0),MATCH(Model!AD$3,QRT!$4:$4,0))+INDEX(QRT!$1:$1048576,MATCH(Model!$B156,QRT!$A:$A,0),MATCH(Model!AD$3,QRT!$4:$4,0)+1)+INDEX(QRT!$1:$1048576,MATCH(Model!$B156,QRT!$A:$A,0),MATCH(Model!AD$3,QRT!$4:$4,0)+2)+INDEX(QRT!$1:$1048576,MATCH(Model!$B156,QRT!$A:$A,0),MATCH(Model!AD$3,QRT!$4:$4,0)+3)</f>
        <v>2.5000000000000001E-2</v>
      </c>
      <c r="AE156" s="183" cm="1">
        <f t="array" ref="AE156">INDEX(QRT!$1:$1048576,MATCH(Model!$B156,QRT!$A:$A,0),MATCH(Model!AE$3,QRT!$4:$4,0))+INDEX(QRT!$1:$1048576,MATCH(Model!$B156,QRT!$A:$A,0),MATCH(Model!AE$3,QRT!$4:$4,0)+1)+INDEX(QRT!$1:$1048576,MATCH(Model!$B156,QRT!$A:$A,0),MATCH(Model!AE$3,QRT!$4:$4,0)+2)+INDEX(QRT!$1:$1048576,MATCH(Model!$B156,QRT!$A:$A,0),MATCH(Model!AE$3,QRT!$4:$4,0)+3)</f>
        <v>0</v>
      </c>
      <c r="AF156" s="183" cm="1">
        <f t="array" ref="AF156">INDEX(QRT!$1:$1048576,MATCH(Model!$B156,QRT!$A:$A,0),MATCH(Model!AF$3,QRT!$4:$4,0))+INDEX(QRT!$1:$1048576,MATCH(Model!$B156,QRT!$A:$A,0),MATCH(Model!AF$3,QRT!$4:$4,0)+1)+INDEX(QRT!$1:$1048576,MATCH(Model!$B156,QRT!$A:$A,0),MATCH(Model!AF$3,QRT!$4:$4,0)+2)+INDEX(QRT!$1:$1048576,MATCH(Model!$B156,QRT!$A:$A,0),MATCH(Model!AF$3,QRT!$4:$4,0)+3)</f>
        <v>0</v>
      </c>
      <c r="AG156" s="245">
        <v>0</v>
      </c>
      <c r="AH156" s="245">
        <v>0</v>
      </c>
      <c r="AI156" s="245">
        <v>0</v>
      </c>
      <c r="AJ156" s="245">
        <v>0</v>
      </c>
      <c r="AK156" s="245">
        <v>0</v>
      </c>
      <c r="AL156" s="245">
        <v>0</v>
      </c>
      <c r="AM156" s="245">
        <v>0</v>
      </c>
      <c r="AN156" s="245">
        <v>0</v>
      </c>
      <c r="AO156" s="7"/>
    </row>
    <row r="157" spans="1:43" s="3" customFormat="1" outlineLevel="1">
      <c r="A157" s="96" t="s">
        <v>172</v>
      </c>
      <c r="B157" s="96"/>
      <c r="C157" s="122"/>
      <c r="E157" s="2" t="s">
        <v>128</v>
      </c>
      <c r="F157" s="2"/>
      <c r="G157" s="2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>
        <f>SUM(X152:X156)</f>
        <v>-15.256</v>
      </c>
      <c r="Y157" s="8">
        <f>SUM(Y152:Y156)</f>
        <v>9.5440000000000023</v>
      </c>
      <c r="Z157" s="8">
        <f>SUM(Z152:Z156)</f>
        <v>-120.79500000000002</v>
      </c>
      <c r="AA157" s="8">
        <f>SUM(AA152:AA156)</f>
        <v>-417.64100000000002</v>
      </c>
      <c r="AB157" s="8">
        <f>SUM(AB152:AB156)</f>
        <v>-515.27299999999991</v>
      </c>
      <c r="AC157" s="8">
        <f t="shared" ref="AC157:AN157" si="124">SUM(AC152:AC156)</f>
        <v>-709.32199999999989</v>
      </c>
      <c r="AD157" s="8">
        <f t="shared" si="124"/>
        <v>-247.2655508</v>
      </c>
      <c r="AE157" s="8">
        <f t="shared" si="124"/>
        <v>-188.41861300787212</v>
      </c>
      <c r="AF157" s="8">
        <f t="shared" si="124"/>
        <v>-230.01236995661799</v>
      </c>
      <c r="AG157" s="8">
        <f t="shared" si="124"/>
        <v>-255.08014843521704</v>
      </c>
      <c r="AH157" s="8">
        <f t="shared" si="124"/>
        <v>-298.27412734524984</v>
      </c>
      <c r="AI157" s="8">
        <f t="shared" si="124"/>
        <v>-342.67171321609635</v>
      </c>
      <c r="AJ157" s="8">
        <f t="shared" si="124"/>
        <v>-387.30908788432157</v>
      </c>
      <c r="AK157" s="8">
        <f t="shared" si="124"/>
        <v>-428.92713655958374</v>
      </c>
      <c r="AL157" s="8">
        <f t="shared" si="124"/>
        <v>-466.08461833757093</v>
      </c>
      <c r="AM157" s="8">
        <f t="shared" si="124"/>
        <v>-494.69401969568548</v>
      </c>
      <c r="AN157" s="8">
        <f t="shared" si="124"/>
        <v>-513.59742145053042</v>
      </c>
      <c r="AO157" s="53"/>
    </row>
    <row r="158" spans="1:43" outlineLevel="1">
      <c r="H158" s="7"/>
      <c r="I158" s="7"/>
      <c r="J158" s="7"/>
      <c r="K158" s="7"/>
      <c r="L158" s="7"/>
      <c r="M158" s="7"/>
      <c r="N158" s="7"/>
      <c r="O158" s="7"/>
      <c r="P158" s="7"/>
      <c r="Q158" s="7"/>
      <c r="R158" s="7"/>
      <c r="S158" s="7"/>
      <c r="T158" s="7"/>
      <c r="U158" s="7"/>
      <c r="V158" s="7"/>
      <c r="W158" s="7"/>
      <c r="X158" s="7"/>
      <c r="Y158" s="7"/>
      <c r="Z158" s="7"/>
      <c r="AA158" s="7"/>
      <c r="AB158" s="7"/>
      <c r="AC158" s="7"/>
      <c r="AD158" s="7"/>
      <c r="AE158" s="7"/>
      <c r="AF158" s="7"/>
      <c r="AG158" s="7"/>
      <c r="AH158" s="7"/>
      <c r="AI158" s="7"/>
      <c r="AJ158" s="7"/>
      <c r="AK158" s="7"/>
      <c r="AL158" s="7"/>
      <c r="AM158" s="7"/>
      <c r="AN158" s="7"/>
      <c r="AO158" s="7"/>
    </row>
    <row r="159" spans="1:43" outlineLevel="1">
      <c r="B159" s="96" t="s">
        <v>440</v>
      </c>
      <c r="E159" s="59" t="s">
        <v>129</v>
      </c>
      <c r="H159" s="177"/>
      <c r="I159" s="177"/>
      <c r="J159" s="177"/>
      <c r="K159" s="177"/>
      <c r="L159" s="177"/>
      <c r="M159" s="177"/>
      <c r="N159" s="177"/>
      <c r="O159" s="177"/>
      <c r="P159" s="177"/>
      <c r="Q159" s="177"/>
      <c r="R159" s="177"/>
      <c r="S159" s="177"/>
      <c r="T159" s="177"/>
      <c r="U159" s="177"/>
      <c r="V159" s="177"/>
      <c r="W159" s="177"/>
      <c r="X159" s="177">
        <v>-0.50700000000000001</v>
      </c>
      <c r="Y159" s="177">
        <f>-0.345-4.75</f>
        <v>-5.0949999999999998</v>
      </c>
      <c r="Z159" s="177" cm="1">
        <f t="array" ref="Z159">INDEX(QRT!$1:$1048576,MATCH(Model!$B159,QRT!$A:$A,0),MATCH(Model!Z$3,QRT!$4:$4,0))+INDEX(QRT!$1:$1048576,MATCH(Model!$B159,QRT!$A:$A,0),MATCH(Model!Z$3,QRT!$4:$4,0)+1)+INDEX(QRT!$1:$1048576,MATCH(Model!$B159,QRT!$A:$A,0),MATCH(Model!Z$3,QRT!$4:$4,0)+2)+INDEX(QRT!$1:$1048576,MATCH(Model!$B159,QRT!$A:$A,0),MATCH(Model!Z$3,QRT!$4:$4,0)+3)</f>
        <v>-0.35599999999999998</v>
      </c>
      <c r="AA159" s="177" cm="1">
        <f t="array" ref="AA159">INDEX(QRT!$1:$1048576,MATCH(Model!$B159,QRT!$A:$A,0),MATCH(Model!AA$3,QRT!$4:$4,0))+INDEX(QRT!$1:$1048576,MATCH(Model!$B159,QRT!$A:$A,0),MATCH(Model!AA$3,QRT!$4:$4,0)+1)+INDEX(QRT!$1:$1048576,MATCH(Model!$B159,QRT!$A:$A,0),MATCH(Model!AA$3,QRT!$4:$4,0)+2)+INDEX(QRT!$1:$1048576,MATCH(Model!$B159,QRT!$A:$A,0),MATCH(Model!AA$3,QRT!$4:$4,0)+3)</f>
        <v>-0.255</v>
      </c>
      <c r="AB159" s="177" cm="1">
        <f t="array" ref="AB159">INDEX(QRT!$1:$1048576,MATCH(Model!$B159,QRT!$A:$A,0),MATCH(Model!AB$3,QRT!$4:$4,0))+INDEX(QRT!$1:$1048576,MATCH(Model!$B159,QRT!$A:$A,0),MATCH(Model!AB$3,QRT!$4:$4,0)+1)+INDEX(QRT!$1:$1048576,MATCH(Model!$B159,QRT!$A:$A,0),MATCH(Model!AB$3,QRT!$4:$4,0)+2)+INDEX(QRT!$1:$1048576,MATCH(Model!$B159,QRT!$A:$A,0),MATCH(Model!AB$3,QRT!$4:$4,0)+3)</f>
        <v>494.92500000000007</v>
      </c>
      <c r="AC159" s="177" cm="1">
        <f t="array" ref="AC159">INDEX(QRT!$1:$1048576,MATCH(Model!$B159,QRT!$A:$A,0),MATCH(Model!AC$3,QRT!$4:$4,0))+INDEX(QRT!$1:$1048576,MATCH(Model!$B159,QRT!$A:$A,0),MATCH(Model!AC$3,QRT!$4:$4,0)+1)+INDEX(QRT!$1:$1048576,MATCH(Model!$B159,QRT!$A:$A,0),MATCH(Model!AC$3,QRT!$4:$4,0)+2)+INDEX(QRT!$1:$1048576,MATCH(Model!$B159,QRT!$A:$A,0),MATCH(Model!AC$3,QRT!$4:$4,0)+3)</f>
        <v>817.01299999999992</v>
      </c>
      <c r="AD159" s="183" cm="1">
        <f t="array" ref="AD159">INDEX(QRT!$1:$1048576,MATCH(Model!$B159,QRT!$A:$A,0),MATCH(Model!AD$3,QRT!$4:$4,0))+INDEX(QRT!$1:$1048576,MATCH(Model!$B159,QRT!$A:$A,0),MATCH(Model!AD$3,QRT!$4:$4,0)+1)+INDEX(QRT!$1:$1048576,MATCH(Model!$B159,QRT!$A:$A,0),MATCH(Model!AD$3,QRT!$4:$4,0)+2)+INDEX(QRT!$1:$1048576,MATCH(Model!$B159,QRT!$A:$A,0),MATCH(Model!AD$3,QRT!$4:$4,0)+3)</f>
        <v>-16.571000000000172</v>
      </c>
      <c r="AE159" s="183" cm="1">
        <f t="array" ref="AE159">INDEX(QRT!$1:$1048576,MATCH(Model!$B159,QRT!$A:$A,0),MATCH(Model!AE$3,QRT!$4:$4,0))+INDEX(QRT!$1:$1048576,MATCH(Model!$B159,QRT!$A:$A,0),MATCH(Model!AE$3,QRT!$4:$4,0)+1)+INDEX(QRT!$1:$1048576,MATCH(Model!$B159,QRT!$A:$A,0),MATCH(Model!AE$3,QRT!$4:$4,0)+2)+INDEX(QRT!$1:$1048576,MATCH(Model!$B159,QRT!$A:$A,0),MATCH(Model!AE$3,QRT!$4:$4,0)+3)</f>
        <v>2.3092638912203256E-14</v>
      </c>
      <c r="AF159" s="183" cm="1">
        <f t="array" ref="AF159">INDEX(QRT!$1:$1048576,MATCH(Model!$B159,QRT!$A:$A,0),MATCH(Model!AF$3,QRT!$4:$4,0))+INDEX(QRT!$1:$1048576,MATCH(Model!$B159,QRT!$A:$A,0),MATCH(Model!AF$3,QRT!$4:$4,0)+1)+INDEX(QRT!$1:$1048576,MATCH(Model!$B159,QRT!$A:$A,0),MATCH(Model!AF$3,QRT!$4:$4,0)+2)+INDEX(QRT!$1:$1048576,MATCH(Model!$B159,QRT!$A:$A,0),MATCH(Model!AF$3,QRT!$4:$4,0)+3)</f>
        <v>-1.1546319456101628E-13</v>
      </c>
      <c r="AG159" s="78">
        <f>AG225-AF225+AG244</f>
        <v>0</v>
      </c>
      <c r="AH159" s="78">
        <f t="shared" ref="AH159:AN159" si="125">AH225-AG225+AH244</f>
        <v>0</v>
      </c>
      <c r="AI159" s="78">
        <f t="shared" si="125"/>
        <v>0</v>
      </c>
      <c r="AJ159" s="78">
        <f t="shared" si="125"/>
        <v>0</v>
      </c>
      <c r="AK159" s="78">
        <f t="shared" si="125"/>
        <v>0</v>
      </c>
      <c r="AL159" s="78">
        <f t="shared" si="125"/>
        <v>0</v>
      </c>
      <c r="AM159" s="78">
        <f t="shared" si="125"/>
        <v>0</v>
      </c>
      <c r="AN159" s="78">
        <f t="shared" si="125"/>
        <v>0</v>
      </c>
      <c r="AO159" s="7"/>
    </row>
    <row r="160" spans="1:43" outlineLevel="1">
      <c r="B160" s="96" t="s">
        <v>439</v>
      </c>
      <c r="E160" s="59" t="s">
        <v>201</v>
      </c>
      <c r="H160" s="177"/>
      <c r="I160" s="177"/>
      <c r="J160" s="177"/>
      <c r="K160" s="177"/>
      <c r="L160" s="177"/>
      <c r="M160" s="177"/>
      <c r="N160" s="177"/>
      <c r="O160" s="177"/>
      <c r="P160" s="177"/>
      <c r="Q160" s="177"/>
      <c r="R160" s="177"/>
      <c r="S160" s="177"/>
      <c r="T160" s="177"/>
      <c r="U160" s="177"/>
      <c r="V160" s="177"/>
      <c r="W160" s="177"/>
      <c r="X160" s="177">
        <f>0.833+0.024-0.02</f>
        <v>0.83699999999999997</v>
      </c>
      <c r="Y160" s="177">
        <f>1.085+1.675-0.016</f>
        <v>2.7439999999999998</v>
      </c>
      <c r="Z160" s="177" cm="1">
        <f t="array" ref="Z160">INDEX(QRT!$1:$1048576,MATCH(Model!$B160,QRT!$A:$A,0),MATCH(Model!Z$3,QRT!$4:$4,0))+INDEX(QRT!$1:$1048576,MATCH(Model!$B160,QRT!$A:$A,0),MATCH(Model!Z$3,QRT!$4:$4,0)+1)+INDEX(QRT!$1:$1048576,MATCH(Model!$B160,QRT!$A:$A,0),MATCH(Model!Z$3,QRT!$4:$4,0)+2)+INDEX(QRT!$1:$1048576,MATCH(Model!$B160,QRT!$A:$A,0),MATCH(Model!Z$3,QRT!$4:$4,0)+3)</f>
        <v>18.872</v>
      </c>
      <c r="AA160" s="177" cm="1">
        <f t="array" ref="AA160">INDEX(QRT!$1:$1048576,MATCH(Model!$B160,QRT!$A:$A,0),MATCH(Model!AA$3,QRT!$4:$4,0))+INDEX(QRT!$1:$1048576,MATCH(Model!$B160,QRT!$A:$A,0),MATCH(Model!AA$3,QRT!$4:$4,0)+1)+INDEX(QRT!$1:$1048576,MATCH(Model!$B160,QRT!$A:$A,0),MATCH(Model!AA$3,QRT!$4:$4,0)+2)+INDEX(QRT!$1:$1048576,MATCH(Model!$B160,QRT!$A:$A,0),MATCH(Model!AA$3,QRT!$4:$4,0)+3)</f>
        <v>576.22799999999995</v>
      </c>
      <c r="AB160" s="177" cm="1">
        <f t="array" ref="AB160">INDEX(QRT!$1:$1048576,MATCH(Model!$B160,QRT!$A:$A,0),MATCH(Model!AB$3,QRT!$4:$4,0))+INDEX(QRT!$1:$1048576,MATCH(Model!$B160,QRT!$A:$A,0),MATCH(Model!AB$3,QRT!$4:$4,0)+1)+INDEX(QRT!$1:$1048576,MATCH(Model!$B160,QRT!$A:$A,0),MATCH(Model!AB$3,QRT!$4:$4,0)+2)+INDEX(QRT!$1:$1048576,MATCH(Model!$B160,QRT!$A:$A,0),MATCH(Model!AB$3,QRT!$4:$4,0)+3)</f>
        <v>18.464000000000002</v>
      </c>
      <c r="AC160" s="177" cm="1">
        <f t="array" ref="AC160">INDEX(QRT!$1:$1048576,MATCH(Model!$B160,QRT!$A:$A,0),MATCH(Model!AC$3,QRT!$4:$4,0))+INDEX(QRT!$1:$1048576,MATCH(Model!$B160,QRT!$A:$A,0),MATCH(Model!AC$3,QRT!$4:$4,0)+1)+INDEX(QRT!$1:$1048576,MATCH(Model!$B160,QRT!$A:$A,0),MATCH(Model!AC$3,QRT!$4:$4,0)+2)+INDEX(QRT!$1:$1048576,MATCH(Model!$B160,QRT!$A:$A,0),MATCH(Model!AC$3,QRT!$4:$4,0)+3)</f>
        <v>36.295000000000002</v>
      </c>
      <c r="AD160" s="183" cm="1">
        <f t="array" ref="AD160">INDEX(QRT!$1:$1048576,MATCH(Model!$B160,QRT!$A:$A,0),MATCH(Model!AD$3,QRT!$4:$4,0))+INDEX(QRT!$1:$1048576,MATCH(Model!$B160,QRT!$A:$A,0),MATCH(Model!AD$3,QRT!$4:$4,0)+1)+INDEX(QRT!$1:$1048576,MATCH(Model!$B160,QRT!$A:$A,0),MATCH(Model!AD$3,QRT!$4:$4,0)+2)+INDEX(QRT!$1:$1048576,MATCH(Model!$B160,QRT!$A:$A,0),MATCH(Model!AD$3,QRT!$4:$4,0)+3)</f>
        <v>14.724</v>
      </c>
      <c r="AE160" s="183" cm="1">
        <f t="array" ref="AE160">INDEX(QRT!$1:$1048576,MATCH(Model!$B160,QRT!$A:$A,0),MATCH(Model!AE$3,QRT!$4:$4,0))+INDEX(QRT!$1:$1048576,MATCH(Model!$B160,QRT!$A:$A,0),MATCH(Model!AE$3,QRT!$4:$4,0)+1)+INDEX(QRT!$1:$1048576,MATCH(Model!$B160,QRT!$A:$A,0),MATCH(Model!AE$3,QRT!$4:$4,0)+2)+INDEX(QRT!$1:$1048576,MATCH(Model!$B160,QRT!$A:$A,0),MATCH(Model!AE$3,QRT!$4:$4,0)+3)</f>
        <v>0</v>
      </c>
      <c r="AF160" s="183" cm="1">
        <f t="array" ref="AF160">INDEX(QRT!$1:$1048576,MATCH(Model!$B160,QRT!$A:$A,0),MATCH(Model!AF$3,QRT!$4:$4,0))+INDEX(QRT!$1:$1048576,MATCH(Model!$B160,QRT!$A:$A,0),MATCH(Model!AF$3,QRT!$4:$4,0)+1)+INDEX(QRT!$1:$1048576,MATCH(Model!$B160,QRT!$A:$A,0),MATCH(Model!AF$3,QRT!$4:$4,0)+2)+INDEX(QRT!$1:$1048576,MATCH(Model!$B160,QRT!$A:$A,0),MATCH(Model!AF$3,QRT!$4:$4,0)+3)</f>
        <v>0</v>
      </c>
      <c r="AG160" s="284">
        <f t="shared" ref="AG160:AN160" si="126">AF160</f>
        <v>0</v>
      </c>
      <c r="AH160" s="284">
        <f t="shared" si="126"/>
        <v>0</v>
      </c>
      <c r="AI160" s="284">
        <f t="shared" si="126"/>
        <v>0</v>
      </c>
      <c r="AJ160" s="284">
        <f t="shared" si="126"/>
        <v>0</v>
      </c>
      <c r="AK160" s="284">
        <f t="shared" si="126"/>
        <v>0</v>
      </c>
      <c r="AL160" s="284">
        <f t="shared" si="126"/>
        <v>0</v>
      </c>
      <c r="AM160" s="284">
        <f t="shared" si="126"/>
        <v>0</v>
      </c>
      <c r="AN160" s="284">
        <f t="shared" si="126"/>
        <v>0</v>
      </c>
      <c r="AO160" s="68"/>
      <c r="AP160" s="68"/>
      <c r="AQ160" s="68"/>
    </row>
    <row r="161" spans="1:42" outlineLevel="1">
      <c r="B161" s="96" t="s">
        <v>438</v>
      </c>
      <c r="E161" s="59" t="s">
        <v>130</v>
      </c>
      <c r="H161" s="177"/>
      <c r="I161" s="177"/>
      <c r="J161" s="177"/>
      <c r="K161" s="177"/>
      <c r="L161" s="177"/>
      <c r="M161" s="177"/>
      <c r="N161" s="177"/>
      <c r="O161" s="177"/>
      <c r="P161" s="177"/>
      <c r="Q161" s="177"/>
      <c r="R161" s="177"/>
      <c r="S161" s="177"/>
      <c r="T161" s="177"/>
      <c r="U161" s="177"/>
      <c r="V161" s="177"/>
      <c r="W161" s="177"/>
      <c r="X161" s="177">
        <v>0</v>
      </c>
      <c r="Y161" s="177">
        <v>0</v>
      </c>
      <c r="Z161" s="177" cm="1">
        <f t="array" ref="Z161">INDEX(QRT!$1:$1048576,MATCH(Model!$B161,QRT!$A:$A,0),MATCH(Model!Z$3,QRT!$4:$4,0))+INDEX(QRT!$1:$1048576,MATCH(Model!$B161,QRT!$A:$A,0),MATCH(Model!Z$3,QRT!$4:$4,0)+1)+INDEX(QRT!$1:$1048576,MATCH(Model!$B161,QRT!$A:$A,0),MATCH(Model!Z$3,QRT!$4:$4,0)+2)+INDEX(QRT!$1:$1048576,MATCH(Model!$B161,QRT!$A:$A,0),MATCH(Model!Z$3,QRT!$4:$4,0)+3)</f>
        <v>0</v>
      </c>
      <c r="AA161" s="177" cm="1">
        <f t="array" ref="AA161">INDEX(QRT!$1:$1048576,MATCH(Model!$B161,QRT!$A:$A,0),MATCH(Model!AA$3,QRT!$4:$4,0))+INDEX(QRT!$1:$1048576,MATCH(Model!$B161,QRT!$A:$A,0),MATCH(Model!AA$3,QRT!$4:$4,0)+1)+INDEX(QRT!$1:$1048576,MATCH(Model!$B161,QRT!$A:$A,0),MATCH(Model!AA$3,QRT!$4:$4,0)+2)+INDEX(QRT!$1:$1048576,MATCH(Model!$B161,QRT!$A:$A,0),MATCH(Model!AA$3,QRT!$4:$4,0)+3)</f>
        <v>0</v>
      </c>
      <c r="AB161" s="177" cm="1">
        <f t="array" ref="AB161">INDEX(QRT!$1:$1048576,MATCH(Model!$B161,QRT!$A:$A,0),MATCH(Model!AB$3,QRT!$4:$4,0))+INDEX(QRT!$1:$1048576,MATCH(Model!$B161,QRT!$A:$A,0),MATCH(Model!AB$3,QRT!$4:$4,0)+1)+INDEX(QRT!$1:$1048576,MATCH(Model!$B161,QRT!$A:$A,0),MATCH(Model!AB$3,QRT!$4:$4,0)+2)+INDEX(QRT!$1:$1048576,MATCH(Model!$B161,QRT!$A:$A,0),MATCH(Model!AB$3,QRT!$4:$4,0)+3)</f>
        <v>0</v>
      </c>
      <c r="AC161" s="177" cm="1">
        <f t="array" ref="AC161">INDEX(QRT!$1:$1048576,MATCH(Model!$B161,QRT!$A:$A,0),MATCH(Model!AC$3,QRT!$4:$4,0))+INDEX(QRT!$1:$1048576,MATCH(Model!$B161,QRT!$A:$A,0),MATCH(Model!AC$3,QRT!$4:$4,0)+1)+INDEX(QRT!$1:$1048576,MATCH(Model!$B161,QRT!$A:$A,0),MATCH(Model!AC$3,QRT!$4:$4,0)+2)+INDEX(QRT!$1:$1048576,MATCH(Model!$B161,QRT!$A:$A,0),MATCH(Model!AC$3,QRT!$4:$4,0)+3)</f>
        <v>0</v>
      </c>
      <c r="AD161" s="183" cm="1">
        <f t="array" ref="AD161">INDEX(QRT!$1:$1048576,MATCH(Model!$B161,QRT!$A:$A,0),MATCH(Model!AD$3,QRT!$4:$4,0))+INDEX(QRT!$1:$1048576,MATCH(Model!$B161,QRT!$A:$A,0),MATCH(Model!AD$3,QRT!$4:$4,0)+1)+INDEX(QRT!$1:$1048576,MATCH(Model!$B161,QRT!$A:$A,0),MATCH(Model!AD$3,QRT!$4:$4,0)+2)+INDEX(QRT!$1:$1048576,MATCH(Model!$B161,QRT!$A:$A,0),MATCH(Model!AD$3,QRT!$4:$4,0)+3)</f>
        <v>0</v>
      </c>
      <c r="AE161" s="183" cm="1">
        <f t="array" ref="AE161">INDEX(QRT!$1:$1048576,MATCH(Model!$B161,QRT!$A:$A,0),MATCH(Model!AE$3,QRT!$4:$4,0))+INDEX(QRT!$1:$1048576,MATCH(Model!$B161,QRT!$A:$A,0),MATCH(Model!AE$3,QRT!$4:$4,0)+1)+INDEX(QRT!$1:$1048576,MATCH(Model!$B161,QRT!$A:$A,0),MATCH(Model!AE$3,QRT!$4:$4,0)+2)+INDEX(QRT!$1:$1048576,MATCH(Model!$B161,QRT!$A:$A,0),MATCH(Model!AE$3,QRT!$4:$4,0)+3)</f>
        <v>0</v>
      </c>
      <c r="AF161" s="183" cm="1">
        <f t="array" ref="AF161">INDEX(QRT!$1:$1048576,MATCH(Model!$B161,QRT!$A:$A,0),MATCH(Model!AF$3,QRT!$4:$4,0))+INDEX(QRT!$1:$1048576,MATCH(Model!$B161,QRT!$A:$A,0),MATCH(Model!AF$3,QRT!$4:$4,0)+1)+INDEX(QRT!$1:$1048576,MATCH(Model!$B161,QRT!$A:$A,0),MATCH(Model!AF$3,QRT!$4:$4,0)+2)+INDEX(QRT!$1:$1048576,MATCH(Model!$B161,QRT!$A:$A,0),MATCH(Model!AF$3,QRT!$4:$4,0)+3)</f>
        <v>0</v>
      </c>
      <c r="AG161" s="284">
        <f t="shared" ref="AG161:AN161" si="127">AF161</f>
        <v>0</v>
      </c>
      <c r="AH161" s="284">
        <f t="shared" si="127"/>
        <v>0</v>
      </c>
      <c r="AI161" s="284">
        <f t="shared" si="127"/>
        <v>0</v>
      </c>
      <c r="AJ161" s="284">
        <f t="shared" si="127"/>
        <v>0</v>
      </c>
      <c r="AK161" s="284">
        <f t="shared" si="127"/>
        <v>0</v>
      </c>
      <c r="AL161" s="284">
        <f t="shared" si="127"/>
        <v>0</v>
      </c>
      <c r="AM161" s="284">
        <f t="shared" si="127"/>
        <v>0</v>
      </c>
      <c r="AN161" s="284">
        <f t="shared" si="127"/>
        <v>0</v>
      </c>
      <c r="AO161" s="7"/>
    </row>
    <row r="162" spans="1:42" outlineLevel="1">
      <c r="B162" s="96" t="s">
        <v>443</v>
      </c>
      <c r="E162" s="59" t="s">
        <v>123</v>
      </c>
      <c r="H162" s="177"/>
      <c r="I162" s="177"/>
      <c r="J162" s="177"/>
      <c r="K162" s="177"/>
      <c r="L162" s="177"/>
      <c r="M162" s="177"/>
      <c r="N162" s="177"/>
      <c r="O162" s="177"/>
      <c r="P162" s="177"/>
      <c r="Q162" s="177"/>
      <c r="R162" s="177"/>
      <c r="S162" s="177"/>
      <c r="T162" s="177"/>
      <c r="U162" s="177"/>
      <c r="V162" s="177"/>
      <c r="W162" s="177"/>
      <c r="X162" s="177">
        <v>8.7999999999999995E-2</v>
      </c>
      <c r="Y162" s="177">
        <v>2.202</v>
      </c>
      <c r="Z162" s="177" cm="1">
        <f t="array" ref="Z162">INDEX(QRT!$1:$1048576,MATCH(Model!$B162,QRT!$A:$A,0),MATCH(Model!Z$3,QRT!$4:$4,0))+INDEX(QRT!$1:$1048576,MATCH(Model!$B162,QRT!$A:$A,0),MATCH(Model!Z$3,QRT!$4:$4,0)+1)+INDEX(QRT!$1:$1048576,MATCH(Model!$B162,QRT!$A:$A,0),MATCH(Model!Z$3,QRT!$4:$4,0)+2)+INDEX(QRT!$1:$1048576,MATCH(Model!$B162,QRT!$A:$A,0),MATCH(Model!Z$3,QRT!$4:$4,0)+3)</f>
        <v>150.10499999999999</v>
      </c>
      <c r="AA162" s="177" cm="1">
        <f t="array" ref="AA162">INDEX(QRT!$1:$1048576,MATCH(Model!$B162,QRT!$A:$A,0),MATCH(Model!AA$3,QRT!$4:$4,0))+INDEX(QRT!$1:$1048576,MATCH(Model!$B162,QRT!$A:$A,0),MATCH(Model!AA$3,QRT!$4:$4,0)+1)+INDEX(QRT!$1:$1048576,MATCH(Model!$B162,QRT!$A:$A,0),MATCH(Model!AA$3,QRT!$4:$4,0)+2)+INDEX(QRT!$1:$1048576,MATCH(Model!$B162,QRT!$A:$A,0),MATCH(Model!AA$3,QRT!$4:$4,0)+3)</f>
        <v>-5.2050000000000001</v>
      </c>
      <c r="AB162" s="177" cm="1">
        <f t="array" ref="AB162">INDEX(QRT!$1:$1048576,MATCH(Model!$B162,QRT!$A:$A,0),MATCH(Model!AB$3,QRT!$4:$4,0))+INDEX(QRT!$1:$1048576,MATCH(Model!$B162,QRT!$A:$A,0),MATCH(Model!AB$3,QRT!$4:$4,0)+1)+INDEX(QRT!$1:$1048576,MATCH(Model!$B162,QRT!$A:$A,0),MATCH(Model!AB$3,QRT!$4:$4,0)+2)+INDEX(QRT!$1:$1048576,MATCH(Model!$B162,QRT!$A:$A,0),MATCH(Model!AB$3,QRT!$4:$4,0)+3)</f>
        <v>-8.4770000000000003</v>
      </c>
      <c r="AC162" s="177" cm="1">
        <f t="array" ref="AC162">INDEX(QRT!$1:$1048576,MATCH(Model!$B162,QRT!$A:$A,0),MATCH(Model!AC$3,QRT!$4:$4,0))+INDEX(QRT!$1:$1048576,MATCH(Model!$B162,QRT!$A:$A,0),MATCH(Model!AC$3,QRT!$4:$4,0)+1)+INDEX(QRT!$1:$1048576,MATCH(Model!$B162,QRT!$A:$A,0),MATCH(Model!AC$3,QRT!$4:$4,0)+2)+INDEX(QRT!$1:$1048576,MATCH(Model!$B162,QRT!$A:$A,0),MATCH(Model!AC$3,QRT!$4:$4,0)+3)</f>
        <v>-5.8220000000000001</v>
      </c>
      <c r="AD162" s="183" cm="1">
        <f t="array" ref="AD162">INDEX(QRT!$1:$1048576,MATCH(Model!$B162,QRT!$A:$A,0),MATCH(Model!AD$3,QRT!$4:$4,0))+INDEX(QRT!$1:$1048576,MATCH(Model!$B162,QRT!$A:$A,0),MATCH(Model!AD$3,QRT!$4:$4,0)+1)+INDEX(QRT!$1:$1048576,MATCH(Model!$B162,QRT!$A:$A,0),MATCH(Model!AD$3,QRT!$4:$4,0)+2)+INDEX(QRT!$1:$1048576,MATCH(Model!$B162,QRT!$A:$A,0),MATCH(Model!AD$3,QRT!$4:$4,0)+3)</f>
        <v>-1.264</v>
      </c>
      <c r="AE162" s="183" cm="1">
        <f t="array" ref="AE162">INDEX(QRT!$1:$1048576,MATCH(Model!$B162,QRT!$A:$A,0),MATCH(Model!AE$3,QRT!$4:$4,0))+INDEX(QRT!$1:$1048576,MATCH(Model!$B162,QRT!$A:$A,0),MATCH(Model!AE$3,QRT!$4:$4,0)+1)+INDEX(QRT!$1:$1048576,MATCH(Model!$B162,QRT!$A:$A,0),MATCH(Model!AE$3,QRT!$4:$4,0)+2)+INDEX(QRT!$1:$1048576,MATCH(Model!$B162,QRT!$A:$A,0),MATCH(Model!AE$3,QRT!$4:$4,0)+3)</f>
        <v>0</v>
      </c>
      <c r="AF162" s="183" cm="1">
        <f t="array" ref="AF162">INDEX(QRT!$1:$1048576,MATCH(Model!$B162,QRT!$A:$A,0),MATCH(Model!AF$3,QRT!$4:$4,0))+INDEX(QRT!$1:$1048576,MATCH(Model!$B162,QRT!$A:$A,0),MATCH(Model!AF$3,QRT!$4:$4,0)+1)+INDEX(QRT!$1:$1048576,MATCH(Model!$B162,QRT!$A:$A,0),MATCH(Model!AF$3,QRT!$4:$4,0)+2)+INDEX(QRT!$1:$1048576,MATCH(Model!$B162,QRT!$A:$A,0),MATCH(Model!AF$3,QRT!$4:$4,0)+3)</f>
        <v>0</v>
      </c>
      <c r="AG162" s="245">
        <v>0</v>
      </c>
      <c r="AH162" s="245">
        <v>0</v>
      </c>
      <c r="AI162" s="245">
        <v>0</v>
      </c>
      <c r="AJ162" s="245">
        <v>0</v>
      </c>
      <c r="AK162" s="245">
        <v>0</v>
      </c>
      <c r="AL162" s="245">
        <v>0</v>
      </c>
      <c r="AM162" s="245">
        <v>0</v>
      </c>
      <c r="AN162" s="245">
        <v>0</v>
      </c>
      <c r="AO162" s="7"/>
    </row>
    <row r="163" spans="1:42" s="3" customFormat="1" outlineLevel="1">
      <c r="A163" s="96" t="s">
        <v>173</v>
      </c>
      <c r="B163" s="96"/>
      <c r="C163" s="122"/>
      <c r="E163" s="2" t="s">
        <v>131</v>
      </c>
      <c r="F163" s="2"/>
      <c r="G163" s="2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>
        <f>SUM(X159:X162)</f>
        <v>0.41799999999999993</v>
      </c>
      <c r="Y163" s="8">
        <f>SUM(Y159:Y162)</f>
        <v>-0.14900000000000002</v>
      </c>
      <c r="Z163" s="8">
        <f>SUM(Z159:Z162)</f>
        <v>168.62099999999998</v>
      </c>
      <c r="AA163" s="8">
        <f>SUM(AA159:AA162)</f>
        <v>570.76799999999992</v>
      </c>
      <c r="AB163" s="8">
        <f>SUM(AB159:AB162)</f>
        <v>504.91200000000015</v>
      </c>
      <c r="AC163" s="8">
        <f t="shared" ref="AC163:AN163" si="128">SUM(AC159:AC162)</f>
        <v>847.48599999999988</v>
      </c>
      <c r="AD163" s="8">
        <f t="shared" si="128"/>
        <v>-3.1110000000001721</v>
      </c>
      <c r="AE163" s="8">
        <f t="shared" si="128"/>
        <v>2.3092638912203256E-14</v>
      </c>
      <c r="AF163" s="8">
        <f t="shared" si="128"/>
        <v>-1.1546319456101628E-13</v>
      </c>
      <c r="AG163" s="8">
        <f t="shared" si="128"/>
        <v>0</v>
      </c>
      <c r="AH163" s="8">
        <f t="shared" si="128"/>
        <v>0</v>
      </c>
      <c r="AI163" s="8">
        <f t="shared" si="128"/>
        <v>0</v>
      </c>
      <c r="AJ163" s="8">
        <f t="shared" si="128"/>
        <v>0</v>
      </c>
      <c r="AK163" s="8">
        <f t="shared" si="128"/>
        <v>0</v>
      </c>
      <c r="AL163" s="8">
        <f t="shared" si="128"/>
        <v>0</v>
      </c>
      <c r="AM163" s="8">
        <f t="shared" si="128"/>
        <v>0</v>
      </c>
      <c r="AN163" s="8">
        <f t="shared" si="128"/>
        <v>0</v>
      </c>
      <c r="AO163" s="53"/>
    </row>
    <row r="164" spans="1:42" outlineLevel="1">
      <c r="B164" s="96"/>
      <c r="H164" s="7"/>
      <c r="I164" s="7"/>
      <c r="J164" s="7"/>
      <c r="K164" s="7"/>
      <c r="L164" s="7"/>
      <c r="M164" s="7"/>
      <c r="N164" s="7"/>
      <c r="O164" s="7"/>
      <c r="P164" s="7"/>
      <c r="Q164" s="7"/>
      <c r="R164" s="7"/>
      <c r="S164" s="7"/>
      <c r="T164" s="7"/>
      <c r="U164" s="7"/>
      <c r="V164" s="7"/>
      <c r="W164" s="7"/>
      <c r="X164" s="7"/>
      <c r="Y164" s="7"/>
      <c r="Z164" s="7"/>
      <c r="AA164" s="7"/>
      <c r="AB164" s="7"/>
      <c r="AC164" s="7"/>
      <c r="AD164" s="7"/>
      <c r="AE164" s="7"/>
      <c r="AF164" s="7"/>
      <c r="AG164" s="7"/>
      <c r="AH164" s="7"/>
      <c r="AI164" s="7"/>
      <c r="AJ164" s="7"/>
      <c r="AK164" s="7"/>
      <c r="AL164" s="7"/>
      <c r="AM164" s="7"/>
      <c r="AN164" s="7"/>
      <c r="AO164" s="7"/>
    </row>
    <row r="165" spans="1:42" outlineLevel="1">
      <c r="A165" s="96"/>
      <c r="B165" s="96" t="s">
        <v>132</v>
      </c>
      <c r="E165" s="59" t="s">
        <v>132</v>
      </c>
      <c r="H165" s="177"/>
      <c r="I165" s="177"/>
      <c r="J165" s="177"/>
      <c r="K165" s="177"/>
      <c r="L165" s="177"/>
      <c r="M165" s="177"/>
      <c r="N165" s="177"/>
      <c r="O165" s="177"/>
      <c r="P165" s="177"/>
      <c r="Q165" s="177"/>
      <c r="R165" s="177"/>
      <c r="S165" s="177"/>
      <c r="T165" s="177"/>
      <c r="U165" s="177"/>
      <c r="V165" s="177"/>
      <c r="W165" s="177"/>
      <c r="X165" s="177">
        <v>0</v>
      </c>
      <c r="Y165" s="177">
        <v>0</v>
      </c>
      <c r="Z165" s="177">
        <v>0</v>
      </c>
      <c r="AA165" s="177">
        <v>0</v>
      </c>
      <c r="AB165" s="177">
        <v>0</v>
      </c>
      <c r="AC165" s="177">
        <v>0</v>
      </c>
      <c r="AD165" s="183" cm="1">
        <f t="array" ref="AD165">INDEX(QRT!$1:$1048576,MATCH(Model!$B165,QRT!$A:$A,0),MATCH(Model!AD$3,QRT!$4:$4,0))+INDEX(QRT!$1:$1048576,MATCH(Model!$B165,QRT!$A:$A,0),MATCH(Model!AD$3,QRT!$4:$4,0)+1)+INDEX(QRT!$1:$1048576,MATCH(Model!$B165,QRT!$A:$A,0),MATCH(Model!AD$3,QRT!$4:$4,0)+2)+INDEX(QRT!$1:$1048576,MATCH(Model!$B165,QRT!$A:$A,0),MATCH(Model!AD$3,QRT!$4:$4,0)+3)</f>
        <v>0</v>
      </c>
      <c r="AE165" s="183" cm="1">
        <f t="array" ref="AE165">INDEX(QRT!$1:$1048576,MATCH(Model!$B165,QRT!$A:$A,0),MATCH(Model!AE$3,QRT!$4:$4,0))+INDEX(QRT!$1:$1048576,MATCH(Model!$B165,QRT!$A:$A,0),MATCH(Model!AE$3,QRT!$4:$4,0)+1)+INDEX(QRT!$1:$1048576,MATCH(Model!$B165,QRT!$A:$A,0),MATCH(Model!AE$3,QRT!$4:$4,0)+2)+INDEX(QRT!$1:$1048576,MATCH(Model!$B165,QRT!$A:$A,0),MATCH(Model!AE$3,QRT!$4:$4,0)+3)</f>
        <v>0</v>
      </c>
      <c r="AF165" s="183" cm="1">
        <f t="array" ref="AF165">INDEX(QRT!$1:$1048576,MATCH(Model!$B165,QRT!$A:$A,0),MATCH(Model!AF$3,QRT!$4:$4,0))+INDEX(QRT!$1:$1048576,MATCH(Model!$B165,QRT!$A:$A,0),MATCH(Model!AF$3,QRT!$4:$4,0)+1)+INDEX(QRT!$1:$1048576,MATCH(Model!$B165,QRT!$A:$A,0),MATCH(Model!AF$3,QRT!$4:$4,0)+2)+INDEX(QRT!$1:$1048576,MATCH(Model!$B165,QRT!$A:$A,0),MATCH(Model!AF$3,QRT!$4:$4,0)+3)</f>
        <v>0</v>
      </c>
      <c r="AG165" s="245">
        <f>AF165</f>
        <v>0</v>
      </c>
      <c r="AH165" s="245">
        <f t="shared" ref="AH165:AN165" si="129">AG165</f>
        <v>0</v>
      </c>
      <c r="AI165" s="245">
        <f t="shared" si="129"/>
        <v>0</v>
      </c>
      <c r="AJ165" s="245">
        <f t="shared" si="129"/>
        <v>0</v>
      </c>
      <c r="AK165" s="245">
        <f t="shared" si="129"/>
        <v>0</v>
      </c>
      <c r="AL165" s="245">
        <f t="shared" si="129"/>
        <v>0</v>
      </c>
      <c r="AM165" s="245">
        <f t="shared" si="129"/>
        <v>0</v>
      </c>
      <c r="AN165" s="245">
        <f t="shared" si="129"/>
        <v>0</v>
      </c>
      <c r="AO165" s="7"/>
    </row>
    <row r="166" spans="1:42" s="3" customFormat="1" outlineLevel="1">
      <c r="A166" s="96"/>
      <c r="B166" s="96"/>
      <c r="C166" s="122"/>
      <c r="E166" s="2" t="s">
        <v>133</v>
      </c>
      <c r="F166" s="2"/>
      <c r="G166" s="2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>
        <f>SUM(X165,X163,X157,X149)</f>
        <v>-28.155999999999992</v>
      </c>
      <c r="Y166" s="8">
        <f>SUM(Y165,Y163,Y157,Y149)</f>
        <v>8.6070000000000135</v>
      </c>
      <c r="Z166" s="8">
        <f>SUM(Z165,Z163,Z157,Z149)</f>
        <v>4.5449999999999235</v>
      </c>
      <c r="AA166" s="8">
        <f>SUM(AA165,AA163,AA157,AA149)</f>
        <v>114.20999999999992</v>
      </c>
      <c r="AB166" s="8">
        <f>SUM(AB165,AB163,AB157,AB149)</f>
        <v>-27.489999999999753</v>
      </c>
      <c r="AC166" s="8">
        <f t="shared" ref="AC166:AN166" si="130">SUM(AC165,AC163,AC157,AC149)</f>
        <v>202.81200000000001</v>
      </c>
      <c r="AD166" s="8">
        <f t="shared" ca="1" si="130"/>
        <v>-196.43079063975409</v>
      </c>
      <c r="AE166" s="8">
        <f t="shared" ca="1" si="130"/>
        <v>-71.661004763264117</v>
      </c>
      <c r="AF166" s="8">
        <f t="shared" ca="1" si="130"/>
        <v>-53.883130360130508</v>
      </c>
      <c r="AG166" s="8">
        <f t="shared" ca="1" si="130"/>
        <v>59.139367404849679</v>
      </c>
      <c r="AH166" s="8">
        <f t="shared" ca="1" si="130"/>
        <v>29.347044103538394</v>
      </c>
      <c r="AI166" s="8">
        <f t="shared" ca="1" si="130"/>
        <v>133.81547496898901</v>
      </c>
      <c r="AJ166" s="8">
        <f t="shared" ca="1" si="130"/>
        <v>266.93170062931358</v>
      </c>
      <c r="AK166" s="8">
        <f t="shared" ca="1" si="130"/>
        <v>434.18135103109097</v>
      </c>
      <c r="AL166" s="8">
        <f t="shared" ca="1" si="130"/>
        <v>591.09017600618836</v>
      </c>
      <c r="AM166" s="8">
        <f t="shared" ca="1" si="130"/>
        <v>739.10529800195513</v>
      </c>
      <c r="AN166" s="8">
        <f t="shared" ca="1" si="130"/>
        <v>896.97475687339738</v>
      </c>
      <c r="AO166" s="53"/>
    </row>
    <row r="167" spans="1:42">
      <c r="H167" s="7"/>
      <c r="I167" s="7"/>
      <c r="J167" s="7"/>
      <c r="K167" s="7"/>
      <c r="L167" s="7"/>
      <c r="M167" s="7"/>
      <c r="N167" s="7"/>
      <c r="O167" s="57"/>
      <c r="P167" s="57"/>
      <c r="Q167" s="57"/>
      <c r="R167" s="57"/>
      <c r="S167" s="57"/>
      <c r="T167" s="57"/>
      <c r="U167" s="57"/>
      <c r="V167" s="57"/>
      <c r="W167" s="57"/>
      <c r="X167" s="57"/>
      <c r="Y167" s="57"/>
      <c r="Z167" s="57"/>
      <c r="AA167" s="57"/>
      <c r="AB167" s="57"/>
      <c r="AC167" s="7"/>
      <c r="AD167" s="7"/>
      <c r="AE167" s="7"/>
      <c r="AF167" s="7"/>
      <c r="AG167" s="7"/>
      <c r="AH167" s="7"/>
      <c r="AI167" s="7"/>
      <c r="AJ167" s="7"/>
      <c r="AK167" s="7"/>
      <c r="AL167" s="7"/>
      <c r="AM167" s="7"/>
      <c r="AN167" s="7"/>
      <c r="AO167" s="7"/>
    </row>
    <row r="168" spans="1:42">
      <c r="D168" s="90"/>
      <c r="E168" s="91" t="s">
        <v>134</v>
      </c>
      <c r="F168" s="90"/>
      <c r="G168" s="90"/>
      <c r="H168" s="90"/>
      <c r="I168" s="90"/>
      <c r="J168" s="90"/>
      <c r="K168" s="90"/>
      <c r="L168" s="90"/>
      <c r="M168" s="90"/>
      <c r="N168" s="90"/>
      <c r="O168" s="153"/>
      <c r="P168" s="153"/>
      <c r="Q168" s="153"/>
      <c r="R168" s="153"/>
      <c r="S168" s="153"/>
      <c r="T168" s="153"/>
      <c r="U168" s="153"/>
      <c r="V168" s="153"/>
      <c r="W168" s="153"/>
      <c r="X168" s="153"/>
      <c r="Y168" s="153"/>
      <c r="Z168" s="153"/>
      <c r="AA168" s="153"/>
      <c r="AB168" s="153"/>
      <c r="AC168" s="153"/>
      <c r="AD168" s="153"/>
      <c r="AE168" s="90"/>
      <c r="AF168" s="90"/>
      <c r="AG168" s="90"/>
      <c r="AH168" s="90"/>
      <c r="AI168" s="90"/>
      <c r="AJ168" s="90"/>
      <c r="AK168" s="90"/>
      <c r="AL168" s="90"/>
      <c r="AM168" s="90"/>
      <c r="AN168" s="90"/>
    </row>
    <row r="169" spans="1:42" ht="5.0999999999999996" customHeight="1">
      <c r="C169" s="121"/>
      <c r="D169" s="52"/>
      <c r="E169" s="52"/>
      <c r="F169" s="52"/>
      <c r="G169" s="52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  <c r="Z169" s="52"/>
      <c r="AA169" s="52"/>
      <c r="AB169" s="52"/>
      <c r="AC169" s="52"/>
      <c r="AD169" s="52"/>
      <c r="AE169" s="52"/>
      <c r="AF169" s="52"/>
      <c r="AG169" s="52"/>
      <c r="AH169" s="52"/>
      <c r="AI169" s="52"/>
      <c r="AJ169" s="52"/>
      <c r="AK169" s="52"/>
      <c r="AL169" s="52"/>
      <c r="AM169" s="52"/>
      <c r="AN169" s="52"/>
      <c r="AO169" s="7"/>
      <c r="AP169" s="1"/>
    </row>
    <row r="170" spans="1:42" outlineLevel="1">
      <c r="A170" s="96" t="s">
        <v>175</v>
      </c>
      <c r="B170" s="96" t="s">
        <v>414</v>
      </c>
      <c r="E170" s="59" t="s">
        <v>216</v>
      </c>
      <c r="H170" s="177"/>
      <c r="I170" s="177"/>
      <c r="J170" s="177"/>
      <c r="K170" s="177"/>
      <c r="L170" s="177"/>
      <c r="M170" s="177"/>
      <c r="N170" s="177"/>
      <c r="O170" s="177"/>
      <c r="P170" s="177"/>
      <c r="Q170" s="177"/>
      <c r="R170" s="177"/>
      <c r="S170" s="177"/>
      <c r="T170" s="177"/>
      <c r="U170" s="177"/>
      <c r="V170" s="177"/>
      <c r="W170" s="177"/>
      <c r="X170" s="177"/>
      <c r="Y170" s="177">
        <v>24.443999999999999</v>
      </c>
      <c r="Z170" s="177" cm="1">
        <f t="array" ref="Z170">INDEX(QRT!$1:$1048576,MATCH(Model!$B170,QRT!$A:$A,0),MATCH(Model!Z$3,QRT!$4:$4,0)+3)</f>
        <v>25.055</v>
      </c>
      <c r="AA170" s="177" cm="1">
        <f t="array" ref="AA170">INDEX(QRT!$1:$1048576,MATCH(Model!$B170,QRT!$A:$A,0),MATCH(Model!AA$3,QRT!$4:$4,0)+3)</f>
        <v>138.976</v>
      </c>
      <c r="AB170" s="177" cm="1">
        <f t="array" ref="AB170">INDEX(QRT!$1:$1048576,MATCH(Model!$B170,QRT!$A:$A,0),MATCH(Model!AB$3,QRT!$4:$4,0)+3)</f>
        <v>108.895</v>
      </c>
      <c r="AC170" s="177" cm="1">
        <f t="array" ref="AC170">INDEX(QRT!$1:$1048576,MATCH(Model!$B170,QRT!$A:$A,0),MATCH(Model!AC$3,QRT!$4:$4,0)+3)</f>
        <v>313.77699999999999</v>
      </c>
      <c r="AD170" s="164" cm="1">
        <f t="array" aca="1" ref="AD170" ca="1">INDEX(QRT!$1:$1048576,MATCH(Model!$B170,QRT!$A:$A,0),MATCH(Model!AD$3,QRT!$4:$4,0)+3)</f>
        <v>113.42420936024601</v>
      </c>
      <c r="AE170" s="164" cm="1">
        <f t="array" aca="1" ref="AE170" ca="1">INDEX(QRT!$1:$1048576,MATCH(Model!$B170,QRT!$A:$A,0),MATCH(Model!AE$3,QRT!$4:$4,0)+3)</f>
        <v>41.763204596982128</v>
      </c>
      <c r="AF170" s="164" cm="1">
        <f t="array" aca="1" ref="AF170" ca="1">INDEX(QRT!$1:$1048576,MATCH(Model!$B170,QRT!$A:$A,0),MATCH(Model!AF$3,QRT!$4:$4,0)+3)</f>
        <v>-12.119925763148466</v>
      </c>
      <c r="AG170" s="7">
        <f t="shared" ref="AG170:AN170" ca="1" si="131">AF170+AG166</f>
        <v>47.019441641701214</v>
      </c>
      <c r="AH170" s="7">
        <f t="shared" ca="1" si="131"/>
        <v>76.366485745239601</v>
      </c>
      <c r="AI170" s="7">
        <f t="shared" ca="1" si="131"/>
        <v>210.18196071422861</v>
      </c>
      <c r="AJ170" s="7">
        <f t="shared" ca="1" si="131"/>
        <v>477.11366134354216</v>
      </c>
      <c r="AK170" s="7">
        <f t="shared" ca="1" si="131"/>
        <v>911.29501237463319</v>
      </c>
      <c r="AL170" s="7">
        <f t="shared" ca="1" si="131"/>
        <v>1502.3851883808215</v>
      </c>
      <c r="AM170" s="7">
        <f t="shared" ca="1" si="131"/>
        <v>2241.4904863827769</v>
      </c>
      <c r="AN170" s="7">
        <f t="shared" ca="1" si="131"/>
        <v>3138.4652432561743</v>
      </c>
      <c r="AO170" s="7"/>
    </row>
    <row r="171" spans="1:42" outlineLevel="1">
      <c r="A171" s="96" t="s">
        <v>344</v>
      </c>
      <c r="B171" s="96" t="s">
        <v>415</v>
      </c>
      <c r="E171" s="59" t="s">
        <v>344</v>
      </c>
      <c r="H171" s="177"/>
      <c r="I171" s="177"/>
      <c r="J171" s="177"/>
      <c r="K171" s="177"/>
      <c r="L171" s="177"/>
      <c r="M171" s="177"/>
      <c r="N171" s="177"/>
      <c r="O171" s="177"/>
      <c r="P171" s="177"/>
      <c r="Q171" s="177"/>
      <c r="R171" s="177"/>
      <c r="S171" s="177"/>
      <c r="T171" s="177"/>
      <c r="U171" s="177"/>
      <c r="V171" s="177"/>
      <c r="W171" s="177"/>
      <c r="X171" s="177"/>
      <c r="Y171" s="177">
        <v>48.963000000000001</v>
      </c>
      <c r="Z171" s="177" cm="1">
        <f t="array" ref="Z171">INDEX(QRT!$1:$1048576,MATCH(Model!$B171,QRT!$A:$A,0),MATCH(Model!Z$3,QRT!$4:$4,0)+3)</f>
        <v>135.602</v>
      </c>
      <c r="AA171" s="177" cm="1">
        <f t="array" ref="AA171">INDEX(QRT!$1:$1048576,MATCH(Model!$B171,QRT!$A:$A,0),MATCH(Model!AA$3,QRT!$4:$4,0)+3)</f>
        <v>497.97199999999998</v>
      </c>
      <c r="AB171" s="177" cm="1">
        <f t="array" ref="AB171">INDEX(QRT!$1:$1048576,MATCH(Model!$B171,QRT!$A:$A,0),MATCH(Model!AB$3,QRT!$4:$4,0)+3)</f>
        <v>923.20100000000002</v>
      </c>
      <c r="AC171" s="177" cm="1">
        <f t="array" ref="AC171">INDEX(QRT!$1:$1048576,MATCH(Model!$B171,QRT!$A:$A,0),MATCH(Model!AC$3,QRT!$4:$4,0)+3)</f>
        <v>1508.066</v>
      </c>
      <c r="AD171" s="164" cm="1">
        <f t="array" ref="AD171">INDEX(QRT!$1:$1048576,MATCH(Model!$B171,QRT!$A:$A,0),MATCH(Model!AD$3,QRT!$4:$4,0)+3)</f>
        <v>1499.173</v>
      </c>
      <c r="AE171" s="164" cm="1">
        <f t="array" ref="AE171">INDEX(QRT!$1:$1048576,MATCH(Model!$B171,QRT!$A:$A,0),MATCH(Model!AE$3,QRT!$4:$4,0)+3)</f>
        <v>1499.173</v>
      </c>
      <c r="AF171" s="164" cm="1">
        <f t="array" ref="AF171">INDEX(QRT!$1:$1048576,MATCH(Model!$B171,QRT!$A:$A,0),MATCH(Model!AF$3,QRT!$4:$4,0)+3)</f>
        <v>1499.173</v>
      </c>
      <c r="AG171" s="7">
        <f>AG231</f>
        <v>1499.173</v>
      </c>
      <c r="AH171" s="7">
        <f t="shared" ref="AH171:AN171" si="132">AH231</f>
        <v>1499.173</v>
      </c>
      <c r="AI171" s="7">
        <f t="shared" si="132"/>
        <v>1499.173</v>
      </c>
      <c r="AJ171" s="7">
        <f t="shared" si="132"/>
        <v>1499.173</v>
      </c>
      <c r="AK171" s="7">
        <f t="shared" si="132"/>
        <v>1499.173</v>
      </c>
      <c r="AL171" s="7">
        <f t="shared" si="132"/>
        <v>1499.173</v>
      </c>
      <c r="AM171" s="7">
        <f t="shared" si="132"/>
        <v>1499.173</v>
      </c>
      <c r="AN171" s="7">
        <f t="shared" si="132"/>
        <v>1499.173</v>
      </c>
      <c r="AO171" s="7"/>
    </row>
    <row r="172" spans="1:42" outlineLevel="1">
      <c r="B172" s="96" t="s">
        <v>416</v>
      </c>
      <c r="E172" s="59" t="s">
        <v>345</v>
      </c>
      <c r="H172" s="177"/>
      <c r="I172" s="177"/>
      <c r="J172" s="177"/>
      <c r="K172" s="177"/>
      <c r="L172" s="177"/>
      <c r="M172" s="177"/>
      <c r="N172" s="177"/>
      <c r="O172" s="177"/>
      <c r="P172" s="177"/>
      <c r="Q172" s="177"/>
      <c r="R172" s="177"/>
      <c r="S172" s="177"/>
      <c r="T172" s="177"/>
      <c r="U172" s="177"/>
      <c r="V172" s="177"/>
      <c r="W172" s="177"/>
      <c r="X172" s="177"/>
      <c r="Y172" s="177">
        <v>11.476000000000001</v>
      </c>
      <c r="Z172" s="177" cm="1">
        <f t="array" ref="Z172">INDEX(QRT!$1:$1048576,MATCH(Model!$B172,QRT!$A:$A,0),MATCH(Model!Z$3,QRT!$4:$4,0)+3)</f>
        <v>25.155000000000001</v>
      </c>
      <c r="AA172" s="177" cm="1">
        <f t="array" ref="AA172">INDEX(QRT!$1:$1048576,MATCH(Model!$B172,QRT!$A:$A,0),MATCH(Model!AA$3,QRT!$4:$4,0)+3)</f>
        <v>33.866999999999997</v>
      </c>
      <c r="AB172" s="177" cm="1">
        <f t="array" ref="AB172">INDEX(QRT!$1:$1048576,MATCH(Model!$B172,QRT!$A:$A,0),MATCH(Model!AB$3,QRT!$4:$4,0)+3)</f>
        <v>63.499000000000002</v>
      </c>
      <c r="AC172" s="177" cm="1">
        <f t="array" ref="AC172">INDEX(QRT!$1:$1048576,MATCH(Model!$B172,QRT!$A:$A,0),MATCH(Model!AC$3,QRT!$4:$4,0)+3)</f>
        <v>95.543000000000006</v>
      </c>
      <c r="AD172" s="164" cm="1">
        <f t="array" ref="AD172">INDEX(QRT!$1:$1048576,MATCH(Model!$B172,QRT!$A:$A,0),MATCH(Model!AD$3,QRT!$4:$4,0)+3)</f>
        <v>114.09674688258927</v>
      </c>
      <c r="AE172" s="164" cm="1">
        <f t="array" ref="AE172">INDEX(QRT!$1:$1048576,MATCH(Model!$B172,QRT!$A:$A,0),MATCH(Model!AE$3,QRT!$4:$4,0)+3)</f>
        <v>115.45763357395469</v>
      </c>
      <c r="AF172" s="164" cm="1">
        <f t="array" ref="AF172">INDEX(QRT!$1:$1048576,MATCH(Model!$B172,QRT!$A:$A,0),MATCH(Model!AF$3,QRT!$4:$4,0)+3)</f>
        <v>117.09726790878727</v>
      </c>
      <c r="AG172" s="7">
        <f t="shared" ref="AG172:AN172" si="133">AF172+AG$208*AF172/SUM(AF$172,AF$174)</f>
        <v>110.07433090865007</v>
      </c>
      <c r="AH172" s="7">
        <f t="shared" si="133"/>
        <v>110.07433090865007</v>
      </c>
      <c r="AI172" s="7">
        <f t="shared" si="133"/>
        <v>110.07433090865007</v>
      </c>
      <c r="AJ172" s="7">
        <f t="shared" si="133"/>
        <v>110.07433090865007</v>
      </c>
      <c r="AK172" s="7">
        <f t="shared" si="133"/>
        <v>110.07433090865007</v>
      </c>
      <c r="AL172" s="7">
        <f t="shared" si="133"/>
        <v>110.07433090865007</v>
      </c>
      <c r="AM172" s="7">
        <f t="shared" si="133"/>
        <v>110.07433090865007</v>
      </c>
      <c r="AN172" s="7">
        <f t="shared" si="133"/>
        <v>110.07433090865007</v>
      </c>
      <c r="AO172" s="7"/>
    </row>
    <row r="173" spans="1:42" outlineLevel="1">
      <c r="B173" s="96" t="s">
        <v>417</v>
      </c>
      <c r="E173" s="59" t="s">
        <v>346</v>
      </c>
      <c r="H173" s="177"/>
      <c r="I173" s="177"/>
      <c r="J173" s="177"/>
      <c r="K173" s="177"/>
      <c r="L173" s="177"/>
      <c r="M173" s="177"/>
      <c r="N173" s="177"/>
      <c r="O173" s="177"/>
      <c r="P173" s="177"/>
      <c r="Q173" s="177"/>
      <c r="R173" s="177"/>
      <c r="S173" s="177"/>
      <c r="T173" s="177"/>
      <c r="U173" s="177"/>
      <c r="V173" s="177"/>
      <c r="W173" s="177"/>
      <c r="X173" s="177"/>
      <c r="Y173" s="177">
        <v>3.71</v>
      </c>
      <c r="Z173" s="177" cm="1">
        <f t="array" ref="Z173">INDEX(QRT!$1:$1048576,MATCH(Model!$B173,QRT!$A:$A,0),MATCH(Model!Z$3,QRT!$4:$4,0)+3)</f>
        <v>1.552</v>
      </c>
      <c r="AA173" s="177" cm="1">
        <f t="array" ref="AA173">INDEX(QRT!$1:$1048576,MATCH(Model!$B173,QRT!$A:$A,0),MATCH(Model!AA$3,QRT!$4:$4,0)+3)</f>
        <v>2.0630000000000002</v>
      </c>
      <c r="AB173" s="177" cm="1">
        <f t="array" ref="AB173">INDEX(QRT!$1:$1048576,MATCH(Model!$B173,QRT!$A:$A,0),MATCH(Model!AB$3,QRT!$4:$4,0)+3)</f>
        <v>3.5379999999999998</v>
      </c>
      <c r="AC173" s="177" cm="1">
        <f t="array" ref="AC173">INDEX(QRT!$1:$1048576,MATCH(Model!$B173,QRT!$A:$A,0),MATCH(Model!AC$3,QRT!$4:$4,0)+3)</f>
        <v>6.0789999999999997</v>
      </c>
      <c r="AD173" s="164" cm="1">
        <f t="array" ref="AD173">INDEX(QRT!$1:$1048576,MATCH(Model!$B173,QRT!$A:$A,0),MATCH(Model!AD$3,QRT!$4:$4,0)+3)</f>
        <v>7.3034114234951693</v>
      </c>
      <c r="AE173" s="164" cm="1">
        <f t="array" ref="AE173">INDEX(QRT!$1:$1048576,MATCH(Model!$B173,QRT!$A:$A,0),MATCH(Model!AE$3,QRT!$4:$4,0)+3)</f>
        <v>9.3088982761189332</v>
      </c>
      <c r="AF173" s="164" cm="1">
        <f t="array" ref="AF173">INDEX(QRT!$1:$1048576,MATCH(Model!$B173,QRT!$A:$A,0),MATCH(Model!AF$3,QRT!$4:$4,0)+3)</f>
        <v>11.536972689173725</v>
      </c>
      <c r="AG173" s="7">
        <f>AG304</f>
        <v>12.813811433151969</v>
      </c>
      <c r="AH173" s="7">
        <f t="shared" ref="AH173:AN173" si="134">AH304</f>
        <v>15.112989340066356</v>
      </c>
      <c r="AI173" s="7">
        <f t="shared" si="134"/>
        <v>17.058670977353994</v>
      </c>
      <c r="AJ173" s="7">
        <f t="shared" si="134"/>
        <v>18.711350699026514</v>
      </c>
      <c r="AK173" s="7">
        <f t="shared" si="134"/>
        <v>19.991589642739708</v>
      </c>
      <c r="AL173" s="7">
        <f t="shared" si="134"/>
        <v>21.191729422904892</v>
      </c>
      <c r="AM173" s="7">
        <f t="shared" si="134"/>
        <v>22.303625055029325</v>
      </c>
      <c r="AN173" s="7">
        <f t="shared" si="134"/>
        <v>23.368991229642162</v>
      </c>
      <c r="AO173" s="7"/>
    </row>
    <row r="174" spans="1:42" outlineLevel="1">
      <c r="B174" s="96" t="s">
        <v>418</v>
      </c>
      <c r="E174" s="59" t="s">
        <v>123</v>
      </c>
      <c r="H174" s="177"/>
      <c r="I174" s="177"/>
      <c r="J174" s="177"/>
      <c r="K174" s="177"/>
      <c r="L174" s="177"/>
      <c r="M174" s="177"/>
      <c r="N174" s="177"/>
      <c r="O174" s="177"/>
      <c r="P174" s="177"/>
      <c r="Q174" s="177"/>
      <c r="R174" s="177"/>
      <c r="S174" s="177"/>
      <c r="T174" s="177"/>
      <c r="U174" s="177"/>
      <c r="V174" s="177"/>
      <c r="W174" s="177"/>
      <c r="X174" s="177"/>
      <c r="Y174" s="177">
        <v>3.431</v>
      </c>
      <c r="Z174" s="177" cm="1">
        <f t="array" ref="Z174">INDEX(QRT!$1:$1048576,MATCH(Model!$B174,QRT!$A:$A,0),MATCH(Model!Z$3,QRT!$4:$4,0)+3)</f>
        <v>9.3729999999999993</v>
      </c>
      <c r="AA174" s="177" cm="1">
        <f t="array" ref="AA174">INDEX(QRT!$1:$1048576,MATCH(Model!$B174,QRT!$A:$A,0),MATCH(Model!AA$3,QRT!$4:$4,0)+3)</f>
        <v>16.994</v>
      </c>
      <c r="AB174" s="177" cm="1">
        <f t="array" ref="AB174">INDEX(QRT!$1:$1048576,MATCH(Model!$B174,QRT!$A:$A,0),MATCH(Model!AB$3,QRT!$4:$4,0)+3)</f>
        <v>30.821000000000002</v>
      </c>
      <c r="AC174" s="177" cm="1">
        <f t="array" ref="AC174">INDEX(QRT!$1:$1048576,MATCH(Model!$B174,QRT!$A:$A,0),MATCH(Model!AC$3,QRT!$4:$4,0)+3)</f>
        <v>29.954000000000001</v>
      </c>
      <c r="AD174" s="164" cm="1">
        <f t="array" ref="AD174">INDEX(QRT!$1:$1048576,MATCH(Model!$B174,QRT!$A:$A,0),MATCH(Model!AD$3,QRT!$4:$4,0)+3)</f>
        <v>40.0423389979875</v>
      </c>
      <c r="AE174" s="164" cm="1">
        <f t="array" ref="AE174">INDEX(QRT!$1:$1048576,MATCH(Model!$B174,QRT!$A:$A,0),MATCH(Model!AE$3,QRT!$4:$4,0)+3)</f>
        <v>40.519943204263242</v>
      </c>
      <c r="AF174" s="164" cm="1">
        <f t="array" ref="AF174">INDEX(QRT!$1:$1048576,MATCH(Model!$B174,QRT!$A:$A,0),MATCH(Model!AF$3,QRT!$4:$4,0)+3)</f>
        <v>41.095374105335885</v>
      </c>
      <c r="AG174" s="7">
        <f t="shared" ref="AG174:AN174" si="135">AF174+AG$208*AF174/SUM(AF$172,AF$174)</f>
        <v>38.630669091349937</v>
      </c>
      <c r="AH174" s="7">
        <f t="shared" si="135"/>
        <v>38.630669091349937</v>
      </c>
      <c r="AI174" s="7">
        <f t="shared" si="135"/>
        <v>38.630669091349937</v>
      </c>
      <c r="AJ174" s="7">
        <f t="shared" si="135"/>
        <v>38.630669091349937</v>
      </c>
      <c r="AK174" s="7">
        <f t="shared" si="135"/>
        <v>38.630669091349937</v>
      </c>
      <c r="AL174" s="7">
        <f t="shared" si="135"/>
        <v>38.630669091349937</v>
      </c>
      <c r="AM174" s="7">
        <f t="shared" si="135"/>
        <v>38.630669091349937</v>
      </c>
      <c r="AN174" s="7">
        <f t="shared" si="135"/>
        <v>38.630669091349937</v>
      </c>
      <c r="AO174" s="7"/>
    </row>
    <row r="175" spans="1:42" s="3" customFormat="1" outlineLevel="1">
      <c r="A175" s="96" t="s">
        <v>174</v>
      </c>
      <c r="B175" s="96"/>
      <c r="C175" s="122"/>
      <c r="E175" s="2" t="s">
        <v>135</v>
      </c>
      <c r="F175" s="2"/>
      <c r="G175" s="2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>
        <f t="shared" ref="Y175:AN175" si="136">SUM(Y170:Y174)</f>
        <v>92.023999999999987</v>
      </c>
      <c r="Z175" s="8">
        <f t="shared" si="136"/>
        <v>196.73699999999999</v>
      </c>
      <c r="AA175" s="8">
        <f t="shared" si="136"/>
        <v>689.87199999999996</v>
      </c>
      <c r="AB175" s="8">
        <f t="shared" si="136"/>
        <v>1129.954</v>
      </c>
      <c r="AC175" s="8">
        <f>SUM(AC170:AC174)</f>
        <v>1953.4189999999999</v>
      </c>
      <c r="AD175" s="8">
        <f t="shared" ca="1" si="136"/>
        <v>1774.0397066643181</v>
      </c>
      <c r="AE175" s="8">
        <f t="shared" ca="1" si="136"/>
        <v>1706.2226796513189</v>
      </c>
      <c r="AF175" s="8">
        <f t="shared" ca="1" si="136"/>
        <v>1656.7826889401483</v>
      </c>
      <c r="AG175" s="8">
        <f t="shared" ca="1" si="136"/>
        <v>1707.7112530748534</v>
      </c>
      <c r="AH175" s="8">
        <f t="shared" ca="1" si="136"/>
        <v>1739.3574750853061</v>
      </c>
      <c r="AI175" s="8">
        <f t="shared" ca="1" si="136"/>
        <v>1875.1186316915828</v>
      </c>
      <c r="AJ175" s="8">
        <f t="shared" ca="1" si="136"/>
        <v>2143.7030120425684</v>
      </c>
      <c r="AK175" s="8">
        <f t="shared" ca="1" si="136"/>
        <v>2579.1646020173725</v>
      </c>
      <c r="AL175" s="8">
        <f t="shared" ca="1" si="136"/>
        <v>3171.4549178037264</v>
      </c>
      <c r="AM175" s="8">
        <f t="shared" ca="1" si="136"/>
        <v>3911.6721114378061</v>
      </c>
      <c r="AN175" s="8">
        <f t="shared" ca="1" si="136"/>
        <v>4809.7122344858162</v>
      </c>
      <c r="AO175" s="53"/>
    </row>
    <row r="176" spans="1:42" outlineLevel="1">
      <c r="A176" s="96" t="s">
        <v>136</v>
      </c>
      <c r="B176" s="96" t="s">
        <v>419</v>
      </c>
      <c r="E176" s="59" t="s">
        <v>136</v>
      </c>
      <c r="H176" s="177"/>
      <c r="I176" s="177"/>
      <c r="J176" s="177"/>
      <c r="K176" s="177"/>
      <c r="L176" s="177"/>
      <c r="M176" s="177"/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>
        <v>51.423000000000002</v>
      </c>
      <c r="Z176" s="177" cm="1">
        <f t="array" ref="Z176">INDEX(QRT!$1:$1048576,MATCH(Model!$B176,QRT!$A:$A,0),MATCH(Model!Z$3,QRT!$4:$4,0)+3)</f>
        <v>73.209999999999994</v>
      </c>
      <c r="AA176" s="177" cm="1">
        <f t="array" ref="AA176">INDEX(QRT!$1:$1048576,MATCH(Model!$B176,QRT!$A:$A,0),MATCH(Model!AA$3,QRT!$4:$4,0)+3)</f>
        <v>101.46599999999999</v>
      </c>
      <c r="AB176" s="177" cm="1">
        <f t="array" ref="AB176">INDEX(QRT!$1:$1048576,MATCH(Model!$B176,QRT!$A:$A,0),MATCH(Model!AB$3,QRT!$4:$4,0)+3)</f>
        <v>123.688</v>
      </c>
      <c r="AC176" s="177" cm="1">
        <f t="array" ref="AC176">INDEX(QRT!$1:$1048576,MATCH(Model!$B176,QRT!$A:$A,0),MATCH(Model!AC$3,QRT!$4:$4,0)+3)</f>
        <v>183.73599999999999</v>
      </c>
      <c r="AD176" s="164" cm="1">
        <f t="array" ref="AD176">INDEX(QRT!$1:$1048576,MATCH(Model!$B176,QRT!$A:$A,0),MATCH(Model!AD$3,QRT!$4:$4,0)+3)</f>
        <v>274.59319079999995</v>
      </c>
      <c r="AE176" s="164" cm="1">
        <f t="array" ref="AE176">INDEX(QRT!$1:$1048576,MATCH(Model!$B176,QRT!$A:$A,0),MATCH(Model!AE$3,QRT!$4:$4,0)+3)</f>
        <v>343.24590861178984</v>
      </c>
      <c r="AF176" s="164" cm="1">
        <f t="array" ref="AF176">INDEX(QRT!$1:$1048576,MATCH(Model!$B176,QRT!$A:$A,0),MATCH(Model!AF$3,QRT!$4:$4,0)+3)</f>
        <v>424.21421739176475</v>
      </c>
      <c r="AG176" s="78">
        <f>AG267</f>
        <v>509.60867887027587</v>
      </c>
      <c r="AH176" s="78">
        <f t="shared" ref="AH176:AN176" si="137">AH267</f>
        <v>604.03933466741546</v>
      </c>
      <c r="AI176" s="78">
        <f t="shared" si="137"/>
        <v>705.09531401654567</v>
      </c>
      <c r="AJ176" s="78">
        <f t="shared" si="137"/>
        <v>810.36627629424902</v>
      </c>
      <c r="AK176" s="78">
        <f t="shared" si="137"/>
        <v>915.14690233613305</v>
      </c>
      <c r="AL176" s="78">
        <f t="shared" si="137"/>
        <v>1015.1727597392508</v>
      </c>
      <c r="AM176" s="78">
        <f t="shared" si="137"/>
        <v>1103.797675539236</v>
      </c>
      <c r="AN176" s="78">
        <f t="shared" si="137"/>
        <v>1175.876026774072</v>
      </c>
      <c r="AO176" s="7"/>
    </row>
    <row r="177" spans="1:41" outlineLevel="1">
      <c r="A177" s="96" t="s">
        <v>223</v>
      </c>
      <c r="B177" s="96" t="s">
        <v>420</v>
      </c>
      <c r="E177" s="59" t="s">
        <v>223</v>
      </c>
      <c r="H177" s="177"/>
      <c r="I177" s="177"/>
      <c r="J177" s="177"/>
      <c r="K177" s="177"/>
      <c r="L177" s="177"/>
      <c r="M177" s="177"/>
      <c r="N177" s="177"/>
      <c r="O177" s="177"/>
      <c r="P177" s="177"/>
      <c r="Q177" s="177"/>
      <c r="R177" s="177"/>
      <c r="S177" s="177"/>
      <c r="T177" s="177"/>
      <c r="U177" s="177"/>
      <c r="V177" s="177"/>
      <c r="W177" s="177"/>
      <c r="X177" s="177"/>
      <c r="Y177" s="177">
        <v>0</v>
      </c>
      <c r="Z177" s="177" cm="1">
        <f t="array" ref="Z177">INDEX(QRT!$1:$1048576,MATCH(Model!$B177,QRT!$A:$A,0),MATCH(Model!Z$3,QRT!$4:$4,0)+3)</f>
        <v>0</v>
      </c>
      <c r="AA177" s="177" cm="1">
        <f t="array" ref="AA177">INDEX(QRT!$1:$1048576,MATCH(Model!$B177,QRT!$A:$A,0),MATCH(Model!AA$3,QRT!$4:$4,0)+3)</f>
        <v>0</v>
      </c>
      <c r="AB177" s="177" cm="1">
        <f t="array" ref="AB177">INDEX(QRT!$1:$1048576,MATCH(Model!$B177,QRT!$A:$A,0),MATCH(Model!AB$3,QRT!$4:$4,0)+3)</f>
        <v>43.148000000000003</v>
      </c>
      <c r="AC177" s="177" cm="1">
        <f t="array" ref="AC177">INDEX(QRT!$1:$1048576,MATCH(Model!$B177,QRT!$A:$A,0),MATCH(Model!AC$3,QRT!$4:$4,0)+3)</f>
        <v>130.31399999999999</v>
      </c>
      <c r="AD177" s="164" cm="1">
        <f t="array" ref="AD177">INDEX(QRT!$1:$1048576,MATCH(Model!$B177,QRT!$A:$A,0),MATCH(Model!AD$3,QRT!$4:$4,0)+3)</f>
        <v>144.77286957751406</v>
      </c>
      <c r="AE177" s="164" cm="1">
        <f t="array" ref="AE177">INDEX(QRT!$1:$1048576,MATCH(Model!$B177,QRT!$A:$A,0),MATCH(Model!AE$3,QRT!$4:$4,0)+3)</f>
        <v>183.43223199598125</v>
      </c>
      <c r="AF177" s="164" cm="1">
        <f t="array" ref="AF177">INDEX(QRT!$1:$1048576,MATCH(Model!$B177,QRT!$A:$A,0),MATCH(Model!AF$3,QRT!$4:$4,0)+3)</f>
        <v>224.5506714519818</v>
      </c>
      <c r="AG177" s="78">
        <f>AG277</f>
        <v>302.62875214488133</v>
      </c>
      <c r="AH177" s="78">
        <f t="shared" ref="AH177:AN177" si="138">AH277</f>
        <v>344.26502220146961</v>
      </c>
      <c r="AI177" s="78">
        <f t="shared" si="138"/>
        <v>429.68466691353069</v>
      </c>
      <c r="AJ177" s="78">
        <f t="shared" si="138"/>
        <v>475.41019901445418</v>
      </c>
      <c r="AK177" s="78">
        <f t="shared" si="138"/>
        <v>562.74659811439426</v>
      </c>
      <c r="AL177" s="78">
        <f t="shared" si="138"/>
        <v>604.68808529587693</v>
      </c>
      <c r="AM177" s="78">
        <f t="shared" si="138"/>
        <v>685.66942948263693</v>
      </c>
      <c r="AN177" s="78">
        <f t="shared" si="138"/>
        <v>716.39369022275798</v>
      </c>
      <c r="AO177" s="7"/>
    </row>
    <row r="178" spans="1:41" outlineLevel="1">
      <c r="A178" s="96" t="s">
        <v>137</v>
      </c>
      <c r="B178" s="96" t="s">
        <v>421</v>
      </c>
      <c r="E178" s="59" t="s">
        <v>137</v>
      </c>
      <c r="H178" s="177"/>
      <c r="I178" s="177"/>
      <c r="J178" s="177"/>
      <c r="K178" s="177"/>
      <c r="L178" s="177"/>
      <c r="M178" s="177"/>
      <c r="N178" s="177"/>
      <c r="O178" s="177"/>
      <c r="P178" s="177"/>
      <c r="Q178" s="177"/>
      <c r="R178" s="177"/>
      <c r="S178" s="177"/>
      <c r="T178" s="177"/>
      <c r="U178" s="177"/>
      <c r="V178" s="177"/>
      <c r="W178" s="177"/>
      <c r="X178" s="177"/>
      <c r="Y178" s="177">
        <v>4.0830000000000002</v>
      </c>
      <c r="Z178" s="177" cm="1">
        <f t="array" ref="Z178">INDEX(QRT!$1:$1048576,MATCH(Model!$B178,QRT!$A:$A,0),MATCH(Model!Z$3,QRT!$4:$4,0)+3)</f>
        <v>4.0830000000000002</v>
      </c>
      <c r="AA178" s="177" cm="1">
        <f t="array" ref="AA178">INDEX(QRT!$1:$1048576,MATCH(Model!$B178,QRT!$A:$A,0),MATCH(Model!AA$3,QRT!$4:$4,0)+3)</f>
        <v>4.0830000000000002</v>
      </c>
      <c r="AB178" s="177" cm="1">
        <f t="array" ref="AB178">INDEX(QRT!$1:$1048576,MATCH(Model!$B178,QRT!$A:$A,0),MATCH(Model!AB$3,QRT!$4:$4,0)+3)</f>
        <v>17.167000000000002</v>
      </c>
      <c r="AC178" s="177" cm="1">
        <f t="array" ref="AC178">INDEX(QRT!$1:$1048576,MATCH(Model!$B178,QRT!$A:$A,0),MATCH(Model!AC$3,QRT!$4:$4,0)+3)</f>
        <v>23.53</v>
      </c>
      <c r="AD178" s="164" cm="1">
        <f t="array" ref="AD178">INDEX(QRT!$1:$1048576,MATCH(Model!$B178,QRT!$A:$A,0),MATCH(Model!AD$3,QRT!$4:$4,0)+3)</f>
        <v>149.12200000000001</v>
      </c>
      <c r="AE178" s="164" cm="1">
        <f t="array" ref="AE178">INDEX(QRT!$1:$1048576,MATCH(Model!$B178,QRT!$A:$A,0),MATCH(Model!AE$3,QRT!$4:$4,0)+3)</f>
        <v>149.12200000000001</v>
      </c>
      <c r="AF178" s="164" cm="1">
        <f t="array" ref="AF178">INDEX(QRT!$1:$1048576,MATCH(Model!$B178,QRT!$A:$A,0),MATCH(Model!AF$3,QRT!$4:$4,0)+3)</f>
        <v>149.12200000000001</v>
      </c>
      <c r="AG178" s="7">
        <f>AF178</f>
        <v>149.12200000000001</v>
      </c>
      <c r="AH178" s="7">
        <f t="shared" ref="AH178:AN178" si="139">AG178</f>
        <v>149.12200000000001</v>
      </c>
      <c r="AI178" s="7">
        <f t="shared" si="139"/>
        <v>149.12200000000001</v>
      </c>
      <c r="AJ178" s="7">
        <f t="shared" si="139"/>
        <v>149.12200000000001</v>
      </c>
      <c r="AK178" s="7">
        <f t="shared" si="139"/>
        <v>149.12200000000001</v>
      </c>
      <c r="AL178" s="7">
        <f t="shared" si="139"/>
        <v>149.12200000000001</v>
      </c>
      <c r="AM178" s="7">
        <f t="shared" si="139"/>
        <v>149.12200000000001</v>
      </c>
      <c r="AN178" s="7">
        <f t="shared" si="139"/>
        <v>149.12200000000001</v>
      </c>
      <c r="AO178" s="7"/>
    </row>
    <row r="179" spans="1:41" outlineLevel="1">
      <c r="A179" s="96" t="s">
        <v>138</v>
      </c>
      <c r="B179" s="96" t="s">
        <v>422</v>
      </c>
      <c r="E179" s="59" t="s">
        <v>138</v>
      </c>
      <c r="H179" s="177"/>
      <c r="I179" s="177"/>
      <c r="J179" s="177"/>
      <c r="K179" s="177"/>
      <c r="L179" s="177"/>
      <c r="M179" s="177"/>
      <c r="N179" s="177"/>
      <c r="O179" s="177"/>
      <c r="P179" s="177"/>
      <c r="Q179" s="177"/>
      <c r="R179" s="177"/>
      <c r="S179" s="177"/>
      <c r="T179" s="177"/>
      <c r="U179" s="177"/>
      <c r="V179" s="177"/>
      <c r="W179" s="177"/>
      <c r="X179" s="177"/>
      <c r="Y179" s="177">
        <v>0.67300000000000004</v>
      </c>
      <c r="Z179" s="177" cm="1">
        <f t="array" ref="Z179">INDEX(QRT!$1:$1048576,MATCH(Model!$B179,QRT!$A:$A,0),MATCH(Model!Z$3,QRT!$4:$4,0)+3)</f>
        <v>0.156</v>
      </c>
      <c r="AA179" s="177" cm="1">
        <f t="array" ref="AA179">INDEX(QRT!$1:$1048576,MATCH(Model!$B179,QRT!$A:$A,0),MATCH(Model!AA$3,QRT!$4:$4,0)+3)</f>
        <v>3.1E-2</v>
      </c>
      <c r="AB179" s="177" cm="1">
        <f t="array" ref="AB179">INDEX(QRT!$1:$1048576,MATCH(Model!$B179,QRT!$A:$A,0),MATCH(Model!AB$3,QRT!$4:$4,0)+3)</f>
        <v>2.8</v>
      </c>
      <c r="AC179" s="177" cm="1">
        <f t="array" ref="AC179">INDEX(QRT!$1:$1048576,MATCH(Model!$B179,QRT!$A:$A,0),MATCH(Model!AC$3,QRT!$4:$4,0)+3)</f>
        <v>1.254</v>
      </c>
      <c r="AD179" s="164" cm="1">
        <f t="array" ref="AD179">INDEX(QRT!$1:$1048576,MATCH(Model!$B179,QRT!$A:$A,0),MATCH(Model!AD$3,QRT!$4:$4,0)+3)</f>
        <v>32.658000000000008</v>
      </c>
      <c r="AE179" s="164" cm="1">
        <f t="array" ref="AE179">INDEX(QRT!$1:$1048576,MATCH(Model!$B179,QRT!$A:$A,0),MATCH(Model!AE$3,QRT!$4:$4,0)+3)</f>
        <v>13.458000000000006</v>
      </c>
      <c r="AF179" s="164" cm="1">
        <f t="array" ref="AF179">INDEX(QRT!$1:$1048576,MATCH(Model!$B179,QRT!$A:$A,0),MATCH(Model!AF$3,QRT!$4:$4,0)+3)</f>
        <v>0</v>
      </c>
      <c r="AG179" s="7">
        <f>AG294</f>
        <v>0</v>
      </c>
      <c r="AH179" s="7">
        <f t="shared" ref="AH179:AN179" si="140">AH294</f>
        <v>0</v>
      </c>
      <c r="AI179" s="7">
        <f t="shared" si="140"/>
        <v>0</v>
      </c>
      <c r="AJ179" s="7">
        <f t="shared" si="140"/>
        <v>0</v>
      </c>
      <c r="AK179" s="7">
        <f t="shared" si="140"/>
        <v>0</v>
      </c>
      <c r="AL179" s="7">
        <f t="shared" si="140"/>
        <v>0</v>
      </c>
      <c r="AM179" s="7">
        <f t="shared" si="140"/>
        <v>0</v>
      </c>
      <c r="AN179" s="7">
        <f t="shared" si="140"/>
        <v>0</v>
      </c>
      <c r="AO179" s="7"/>
    </row>
    <row r="180" spans="1:41" outlineLevel="1">
      <c r="A180" s="96"/>
      <c r="B180" s="96" t="s">
        <v>423</v>
      </c>
      <c r="E180" s="59" t="s">
        <v>347</v>
      </c>
      <c r="H180" s="177"/>
      <c r="I180" s="177"/>
      <c r="J180" s="177"/>
      <c r="K180" s="177"/>
      <c r="L180" s="177"/>
      <c r="M180" s="177"/>
      <c r="N180" s="177"/>
      <c r="O180" s="177"/>
      <c r="P180" s="177"/>
      <c r="Q180" s="177"/>
      <c r="R180" s="177"/>
      <c r="S180" s="177"/>
      <c r="T180" s="177"/>
      <c r="U180" s="177"/>
      <c r="V180" s="177"/>
      <c r="W180" s="177"/>
      <c r="X180" s="177"/>
      <c r="Y180" s="177">
        <v>10.765000000000001</v>
      </c>
      <c r="Z180" s="177" cm="1">
        <f t="array" ref="Z180">INDEX(QRT!$1:$1048576,MATCH(Model!$B180,QRT!$A:$A,0),MATCH(Model!Z$3,QRT!$4:$4,0)+3)</f>
        <v>15.94</v>
      </c>
      <c r="AA180" s="177" cm="1">
        <f t="array" ref="AA180">INDEX(QRT!$1:$1048576,MATCH(Model!$B180,QRT!$A:$A,0),MATCH(Model!AA$3,QRT!$4:$4,0)+3)</f>
        <v>25.184000000000001</v>
      </c>
      <c r="AB180" s="177" cm="1">
        <f t="array" ref="AB180">INDEX(QRT!$1:$1048576,MATCH(Model!$B180,QRT!$A:$A,0),MATCH(Model!AB$3,QRT!$4:$4,0)+3)</f>
        <v>44.176000000000002</v>
      </c>
      <c r="AC180" s="177" cm="1">
        <f t="array" ref="AC180">INDEX(QRT!$1:$1048576,MATCH(Model!$B180,QRT!$A:$A,0),MATCH(Model!AC$3,QRT!$4:$4,0)+3)</f>
        <v>70.319999999999993</v>
      </c>
      <c r="AD180" s="164" cm="1">
        <f t="array" ref="AD180">INDEX(QRT!$1:$1048576,MATCH(Model!$B180,QRT!$A:$A,0),MATCH(Model!AD$3,QRT!$4:$4,0)+3)</f>
        <v>91.292642793689609</v>
      </c>
      <c r="AE180" s="164" cm="1">
        <f t="array" ref="AE180">INDEX(QRT!$1:$1048576,MATCH(Model!$B180,QRT!$A:$A,0),MATCH(Model!AE$3,QRT!$4:$4,0)+3)</f>
        <v>116.36122845148665</v>
      </c>
      <c r="AF180" s="164" cm="1">
        <f t="array" ref="AF180">INDEX(QRT!$1:$1048576,MATCH(Model!$B180,QRT!$A:$A,0),MATCH(Model!AF$3,QRT!$4:$4,0)+3)</f>
        <v>144.21215861467155</v>
      </c>
      <c r="AG180" s="7">
        <f>AG301</f>
        <v>160.1726429143996</v>
      </c>
      <c r="AH180" s="7">
        <f t="shared" ref="AH180:AN180" si="141">AH301</f>
        <v>188.91236675082945</v>
      </c>
      <c r="AI180" s="7">
        <f t="shared" si="141"/>
        <v>213.23338721692494</v>
      </c>
      <c r="AJ180" s="7">
        <f t="shared" si="141"/>
        <v>233.89188373783142</v>
      </c>
      <c r="AK180" s="7">
        <f t="shared" si="141"/>
        <v>249.89487053424637</v>
      </c>
      <c r="AL180" s="7">
        <f t="shared" si="141"/>
        <v>264.89661778631114</v>
      </c>
      <c r="AM180" s="7">
        <f t="shared" si="141"/>
        <v>278.79531318786655</v>
      </c>
      <c r="AN180" s="7">
        <f t="shared" si="141"/>
        <v>292.11239037052701</v>
      </c>
      <c r="AO180" s="7"/>
    </row>
    <row r="181" spans="1:41" outlineLevel="1">
      <c r="B181" s="96" t="s">
        <v>424</v>
      </c>
      <c r="E181" s="59" t="s">
        <v>123</v>
      </c>
      <c r="H181" s="177"/>
      <c r="I181" s="177"/>
      <c r="J181" s="177"/>
      <c r="K181" s="177"/>
      <c r="L181" s="177"/>
      <c r="M181" s="177"/>
      <c r="N181" s="177"/>
      <c r="O181" s="177"/>
      <c r="P181" s="177"/>
      <c r="Q181" s="177"/>
      <c r="R181" s="177"/>
      <c r="S181" s="177"/>
      <c r="T181" s="177"/>
      <c r="U181" s="177"/>
      <c r="V181" s="177"/>
      <c r="W181" s="177"/>
      <c r="X181" s="177"/>
      <c r="Y181" s="177">
        <f>2.437+1.738</f>
        <v>4.1749999999999998</v>
      </c>
      <c r="Z181" s="177" cm="1">
        <f t="array" ref="Z181">INDEX(QRT!$1:$1048576,MATCH(Model!$B181,QRT!$A:$A,0),MATCH(Model!Z$3,QRT!$4:$4,0)+3)</f>
        <v>8.2540000000000013</v>
      </c>
      <c r="AA181" s="177" cm="1">
        <f t="array" ref="AA181">INDEX(QRT!$1:$1048576,MATCH(Model!$B181,QRT!$A:$A,0),MATCH(Model!AA$3,QRT!$4:$4,0)+3)</f>
        <v>10.188000000000001</v>
      </c>
      <c r="AB181" s="177" cm="1">
        <f t="array" ref="AB181">INDEX(QRT!$1:$1048576,MATCH(Model!$B181,QRT!$A:$A,0),MATCH(Model!AB$3,QRT!$4:$4,0)+3)</f>
        <v>19.718</v>
      </c>
      <c r="AC181" s="177" cm="1">
        <f t="array" ref="AC181">INDEX(QRT!$1:$1048576,MATCH(Model!$B181,QRT!$A:$A,0),MATCH(Model!AC$3,QRT!$4:$4,0)+3)</f>
        <v>9.4980000000000011</v>
      </c>
      <c r="AD181" s="164" cm="1">
        <f t="array" ref="AD181">INDEX(QRT!$1:$1048576,MATCH(Model!$B181,QRT!$A:$A,0),MATCH(Model!AD$3,QRT!$4:$4,0)+3)</f>
        <v>5.6349999999999998</v>
      </c>
      <c r="AE181" s="164" cm="1">
        <f t="array" ref="AE181">INDEX(QRT!$1:$1048576,MATCH(Model!$B181,QRT!$A:$A,0),MATCH(Model!AE$3,QRT!$4:$4,0)+3)</f>
        <v>5.6349999999999998</v>
      </c>
      <c r="AF181" s="164" cm="1">
        <f t="array" ref="AF181">INDEX(QRT!$1:$1048576,MATCH(Model!$B181,QRT!$A:$A,0),MATCH(Model!AF$3,QRT!$4:$4,0)+3)</f>
        <v>5.6349999999999998</v>
      </c>
      <c r="AG181" s="63">
        <f t="shared" ref="AG181:AN181" si="142">AF181</f>
        <v>5.6349999999999998</v>
      </c>
      <c r="AH181" s="63">
        <f t="shared" si="142"/>
        <v>5.6349999999999998</v>
      </c>
      <c r="AI181" s="63">
        <f t="shared" si="142"/>
        <v>5.6349999999999998</v>
      </c>
      <c r="AJ181" s="63">
        <f t="shared" si="142"/>
        <v>5.6349999999999998</v>
      </c>
      <c r="AK181" s="63">
        <f t="shared" si="142"/>
        <v>5.6349999999999998</v>
      </c>
      <c r="AL181" s="63">
        <f t="shared" si="142"/>
        <v>5.6349999999999998</v>
      </c>
      <c r="AM181" s="63">
        <f t="shared" si="142"/>
        <v>5.6349999999999998</v>
      </c>
      <c r="AN181" s="63">
        <f t="shared" si="142"/>
        <v>5.6349999999999998</v>
      </c>
      <c r="AO181" s="7"/>
    </row>
    <row r="182" spans="1:41" s="3" customFormat="1" outlineLevel="1">
      <c r="A182" s="96" t="s">
        <v>176</v>
      </c>
      <c r="B182" s="96"/>
      <c r="C182" s="122"/>
      <c r="E182" s="2" t="s">
        <v>139</v>
      </c>
      <c r="F182" s="2"/>
      <c r="G182" s="2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>
        <f t="shared" ref="Y182:AN182" si="143">SUM(Y175:Y181)</f>
        <v>163.14300000000003</v>
      </c>
      <c r="Z182" s="8">
        <f t="shared" si="143"/>
        <v>298.38000000000005</v>
      </c>
      <c r="AA182" s="8">
        <f t="shared" si="143"/>
        <v>830.82399999999984</v>
      </c>
      <c r="AB182" s="8">
        <f t="shared" si="143"/>
        <v>1380.6509999999998</v>
      </c>
      <c r="AC182" s="8">
        <f>SUM(AC175:AC181)</f>
        <v>2372.0709999999999</v>
      </c>
      <c r="AD182" s="8">
        <f t="shared" ca="1" si="143"/>
        <v>2472.1134098355215</v>
      </c>
      <c r="AE182" s="8">
        <f t="shared" ca="1" si="143"/>
        <v>2517.4770487105766</v>
      </c>
      <c r="AF182" s="8">
        <f t="shared" ca="1" si="143"/>
        <v>2604.5167363985665</v>
      </c>
      <c r="AG182" s="8">
        <f t="shared" ca="1" si="143"/>
        <v>2834.87832700441</v>
      </c>
      <c r="AH182" s="8">
        <f t="shared" ca="1" si="143"/>
        <v>3031.3311987050201</v>
      </c>
      <c r="AI182" s="8">
        <f t="shared" ca="1" si="143"/>
        <v>3377.8889998385839</v>
      </c>
      <c r="AJ182" s="8">
        <f t="shared" ca="1" si="143"/>
        <v>3818.128371089103</v>
      </c>
      <c r="AK182" s="8">
        <f t="shared" ca="1" si="143"/>
        <v>4461.7099730021464</v>
      </c>
      <c r="AL182" s="8">
        <f t="shared" ca="1" si="143"/>
        <v>5210.9693806251653</v>
      </c>
      <c r="AM182" s="8">
        <f t="shared" ca="1" si="143"/>
        <v>6134.6915296475463</v>
      </c>
      <c r="AN182" s="8">
        <f t="shared" ca="1" si="143"/>
        <v>7148.8513418531729</v>
      </c>
      <c r="AO182" s="53"/>
    </row>
    <row r="183" spans="1:41" outlineLevel="1">
      <c r="B183" s="96"/>
      <c r="H183" s="7"/>
      <c r="I183" s="7"/>
      <c r="J183" s="7"/>
      <c r="K183" s="7"/>
      <c r="L183" s="7"/>
      <c r="M183" s="7"/>
      <c r="N183" s="7"/>
      <c r="O183" s="7"/>
      <c r="P183" s="7"/>
      <c r="Q183" s="7"/>
      <c r="R183" s="7"/>
      <c r="S183" s="7"/>
      <c r="T183" s="7"/>
      <c r="U183" s="7"/>
      <c r="V183" s="45"/>
      <c r="W183" s="45"/>
      <c r="X183" s="7"/>
      <c r="Y183" s="7"/>
      <c r="Z183" s="57"/>
      <c r="AA183" s="57"/>
      <c r="AB183" s="57"/>
      <c r="AC183" s="57"/>
      <c r="AD183" s="7"/>
      <c r="AE183" s="7"/>
      <c r="AF183" s="7"/>
      <c r="AG183" s="7"/>
      <c r="AH183" s="7"/>
      <c r="AI183" s="7"/>
      <c r="AJ183" s="7"/>
      <c r="AK183" s="7"/>
      <c r="AL183" s="7"/>
      <c r="AM183" s="7"/>
      <c r="AN183" s="7"/>
      <c r="AO183" s="7"/>
    </row>
    <row r="184" spans="1:41" outlineLevel="1">
      <c r="A184" s="96" t="s">
        <v>177</v>
      </c>
      <c r="B184" s="96" t="s">
        <v>429</v>
      </c>
      <c r="E184" s="59" t="s">
        <v>140</v>
      </c>
      <c r="H184" s="177"/>
      <c r="I184" s="177"/>
      <c r="J184" s="177"/>
      <c r="K184" s="177"/>
      <c r="L184" s="177"/>
      <c r="M184" s="177"/>
      <c r="N184" s="177"/>
      <c r="O184" s="177"/>
      <c r="P184" s="177"/>
      <c r="Q184" s="177"/>
      <c r="R184" s="177"/>
      <c r="S184" s="177"/>
      <c r="T184" s="177"/>
      <c r="U184" s="177"/>
      <c r="V184" s="177"/>
      <c r="W184" s="177"/>
      <c r="X184" s="177"/>
      <c r="Y184" s="177">
        <v>0.35599999999999998</v>
      </c>
      <c r="Z184" s="177" cm="1">
        <f t="array" ref="Z184">INDEX(QRT!$1:$1048576,MATCH(Model!$B184,QRT!$A:$A,0),MATCH(Model!Z$3,QRT!$4:$4,0)+3)</f>
        <v>0.255</v>
      </c>
      <c r="AA184" s="177" cm="1">
        <f t="array" ref="AA184">INDEX(QRT!$1:$1048576,MATCH(Model!$B184,QRT!$A:$A,0),MATCH(Model!AA$3,QRT!$4:$4,0)+3)</f>
        <v>0</v>
      </c>
      <c r="AB184" s="177" cm="1">
        <f t="array" ref="AB184">INDEX(QRT!$1:$1048576,MATCH(Model!$B184,QRT!$A:$A,0),MATCH(Model!AB$3,QRT!$4:$4,0)+3)</f>
        <v>0</v>
      </c>
      <c r="AC184" s="177" cm="1">
        <f t="array" ref="AC184">INDEX(QRT!$1:$1048576,MATCH(Model!$B184,QRT!$A:$A,0),MATCH(Model!AC$3,QRT!$4:$4,0)+3)</f>
        <v>12.117000000000001</v>
      </c>
      <c r="AD184" s="164" cm="1">
        <f t="array" ref="AD184">INDEX(QRT!$1:$1048576,MATCH(Model!$B184,QRT!$A:$A,0),MATCH(Model!AD$3,QRT!$4:$4,0)+3)</f>
        <v>0</v>
      </c>
      <c r="AE184" s="164" cm="1">
        <f t="array" ref="AE184">INDEX(QRT!$1:$1048576,MATCH(Model!$B184,QRT!$A:$A,0),MATCH(Model!AE$3,QRT!$4:$4,0)+3)</f>
        <v>0</v>
      </c>
      <c r="AF184" s="164" cm="1">
        <f t="array" ref="AF184">INDEX(QRT!$1:$1048576,MATCH(Model!$B184,QRT!$A:$A,0),MATCH(Model!AF$3,QRT!$4:$4,0)+3)</f>
        <v>0</v>
      </c>
      <c r="AG184" s="63">
        <f t="shared" ref="AG184:AN184" si="144">AF184</f>
        <v>0</v>
      </c>
      <c r="AH184" s="63">
        <f t="shared" si="144"/>
        <v>0</v>
      </c>
      <c r="AI184" s="63">
        <f t="shared" si="144"/>
        <v>0</v>
      </c>
      <c r="AJ184" s="63">
        <f t="shared" si="144"/>
        <v>0</v>
      </c>
      <c r="AK184" s="63">
        <f t="shared" si="144"/>
        <v>0</v>
      </c>
      <c r="AL184" s="63">
        <f t="shared" si="144"/>
        <v>0</v>
      </c>
      <c r="AM184" s="63">
        <f t="shared" si="144"/>
        <v>0</v>
      </c>
      <c r="AN184" s="63">
        <f t="shared" si="144"/>
        <v>0</v>
      </c>
      <c r="AO184" s="7"/>
    </row>
    <row r="185" spans="1:41" outlineLevel="1">
      <c r="A185" s="96"/>
      <c r="B185" s="96" t="s">
        <v>425</v>
      </c>
      <c r="E185" s="59" t="s">
        <v>141</v>
      </c>
      <c r="H185" s="177"/>
      <c r="I185" s="177"/>
      <c r="J185" s="177"/>
      <c r="K185" s="177"/>
      <c r="L185" s="177"/>
      <c r="M185" s="177"/>
      <c r="N185" s="177"/>
      <c r="O185" s="177"/>
      <c r="P185" s="177"/>
      <c r="Q185" s="177"/>
      <c r="R185" s="177"/>
      <c r="S185" s="177"/>
      <c r="T185" s="177"/>
      <c r="U185" s="177"/>
      <c r="V185" s="177"/>
      <c r="W185" s="177"/>
      <c r="X185" s="177"/>
      <c r="Y185" s="177">
        <f>4.725+8.893</f>
        <v>13.618</v>
      </c>
      <c r="Z185" s="177" cm="1">
        <f t="array" ref="Z185">INDEX(QRT!$1:$1048576,MATCH(Model!$B185,QRT!$A:$A,0),MATCH(Model!Z$3,QRT!$4:$4,0)+3)</f>
        <v>29.984000000000002</v>
      </c>
      <c r="AA185" s="177" cm="1">
        <f t="array" ref="AA185">INDEX(QRT!$1:$1048576,MATCH(Model!$B185,QRT!$A:$A,0),MATCH(Model!AA$3,QRT!$4:$4,0)+3)</f>
        <v>39.777000000000001</v>
      </c>
      <c r="AB185" s="177" cm="1">
        <f t="array" ref="AB185">INDEX(QRT!$1:$1048576,MATCH(Model!$B185,QRT!$A:$A,0),MATCH(Model!AB$3,QRT!$4:$4,0)+3)</f>
        <v>60.111999999999995</v>
      </c>
      <c r="AC185" s="177" cm="1">
        <f t="array" ref="AC185">INDEX(QRT!$1:$1048576,MATCH(Model!$B185,QRT!$A:$A,0),MATCH(Model!AC$3,QRT!$4:$4,0)+3)</f>
        <v>130.07599999999999</v>
      </c>
      <c r="AD185" s="164" cm="1">
        <f t="array" ref="AD185">INDEX(QRT!$1:$1048576,MATCH(Model!$B185,QRT!$A:$A,0),MATCH(Model!AD$3,QRT!$4:$4,0)+3)</f>
        <v>145.55500000000001</v>
      </c>
      <c r="AE185" s="164" cm="1">
        <f t="array" ref="AE185">INDEX(QRT!$1:$1048576,MATCH(Model!$B185,QRT!$A:$A,0),MATCH(Model!AE$3,QRT!$4:$4,0)+3)</f>
        <v>145.55500000000001</v>
      </c>
      <c r="AF185" s="164" cm="1">
        <f t="array" ref="AF185">INDEX(QRT!$1:$1048576,MATCH(Model!$B185,QRT!$A:$A,0),MATCH(Model!AF$3,QRT!$4:$4,0)+3)</f>
        <v>145.55500000000001</v>
      </c>
      <c r="AG185" s="63">
        <f t="shared" ref="AG185:AN185" si="145">AF185</f>
        <v>145.55500000000001</v>
      </c>
      <c r="AH185" s="63">
        <f t="shared" si="145"/>
        <v>145.55500000000001</v>
      </c>
      <c r="AI185" s="63">
        <f t="shared" si="145"/>
        <v>145.55500000000001</v>
      </c>
      <c r="AJ185" s="63">
        <f t="shared" si="145"/>
        <v>145.55500000000001</v>
      </c>
      <c r="AK185" s="63">
        <f t="shared" si="145"/>
        <v>145.55500000000001</v>
      </c>
      <c r="AL185" s="63">
        <f t="shared" si="145"/>
        <v>145.55500000000001</v>
      </c>
      <c r="AM185" s="63">
        <f t="shared" si="145"/>
        <v>145.55500000000001</v>
      </c>
      <c r="AN185" s="63">
        <f t="shared" si="145"/>
        <v>145.55500000000001</v>
      </c>
      <c r="AO185" s="7"/>
    </row>
    <row r="186" spans="1:41" outlineLevel="1">
      <c r="B186" s="96" t="s">
        <v>430</v>
      </c>
      <c r="E186" s="59" t="s">
        <v>349</v>
      </c>
      <c r="H186" s="177"/>
      <c r="I186" s="177"/>
      <c r="J186" s="177"/>
      <c r="K186" s="177"/>
      <c r="L186" s="177"/>
      <c r="M186" s="177"/>
      <c r="N186" s="177"/>
      <c r="O186" s="177"/>
      <c r="P186" s="177"/>
      <c r="Q186" s="177"/>
      <c r="R186" s="177"/>
      <c r="S186" s="177"/>
      <c r="T186" s="177"/>
      <c r="U186" s="177"/>
      <c r="V186" s="177"/>
      <c r="W186" s="177"/>
      <c r="X186" s="177"/>
      <c r="Y186" s="177">
        <v>0</v>
      </c>
      <c r="Z186" s="177" cm="1">
        <f t="array" ref="Z186">INDEX(QRT!$1:$1048576,MATCH(Model!$B186,QRT!$A:$A,0),MATCH(Model!Z$3,QRT!$4:$4,0)+3)</f>
        <v>0</v>
      </c>
      <c r="AA186" s="177" cm="1">
        <f t="array" ref="AA186">INDEX(QRT!$1:$1048576,MATCH(Model!$B186,QRT!$A:$A,0),MATCH(Model!AA$3,QRT!$4:$4,0)+3)</f>
        <v>0</v>
      </c>
      <c r="AB186" s="177" cm="1">
        <f t="array" ref="AB186">INDEX(QRT!$1:$1048576,MATCH(Model!$B186,QRT!$A:$A,0),MATCH(Model!AB$3,QRT!$4:$4,0)+3)</f>
        <v>17.716999999999999</v>
      </c>
      <c r="AC186" s="177" cm="1">
        <f t="array" ref="AC186">INDEX(QRT!$1:$1048576,MATCH(Model!$B186,QRT!$A:$A,0),MATCH(Model!AC$3,QRT!$4:$4,0)+3)</f>
        <v>25.175000000000001</v>
      </c>
      <c r="AD186" s="164" cm="1">
        <f t="array" ref="AD186">INDEX(QRT!$1:$1048576,MATCH(Model!$B186,QRT!$A:$A,0),MATCH(Model!AD$3,QRT!$4:$4,0)+3)</f>
        <v>29.616408589446596</v>
      </c>
      <c r="AE186" s="164" cm="1">
        <f t="array" ref="AE186">INDEX(QRT!$1:$1048576,MATCH(Model!$B186,QRT!$A:$A,0),MATCH(Model!AE$3,QRT!$4:$4,0)+3)</f>
        <v>39.294061799146021</v>
      </c>
      <c r="AF186" s="164" cm="1">
        <f t="array" ref="AF186">INDEX(QRT!$1:$1048576,MATCH(Model!$B186,QRT!$A:$A,0),MATCH(Model!AF$3,QRT!$4:$4,0)+3)</f>
        <v>50.292046898065955</v>
      </c>
      <c r="AG186" s="63">
        <f>AG284</f>
        <v>66.98777565371374</v>
      </c>
      <c r="AH186" s="63">
        <f t="shared" ref="AH186:AN186" si="146">AH284</f>
        <v>75.397612990024442</v>
      </c>
      <c r="AI186" s="63">
        <f t="shared" si="146"/>
        <v>93.08501443551836</v>
      </c>
      <c r="AJ186" s="63">
        <f t="shared" si="146"/>
        <v>101.92720171247164</v>
      </c>
      <c r="AK186" s="63">
        <f t="shared" si="146"/>
        <v>119.38790005008269</v>
      </c>
      <c r="AL186" s="63">
        <f t="shared" si="146"/>
        <v>126.97989581952511</v>
      </c>
      <c r="AM186" s="63">
        <f t="shared" si="146"/>
        <v>142.50437566673818</v>
      </c>
      <c r="AN186" s="63">
        <f t="shared" si="146"/>
        <v>147.38735122093789</v>
      </c>
      <c r="AO186" s="7"/>
    </row>
    <row r="187" spans="1:41" outlineLevel="1">
      <c r="B187" s="96" t="s">
        <v>431</v>
      </c>
      <c r="E187" s="59" t="s">
        <v>350</v>
      </c>
      <c r="H187" s="177"/>
      <c r="I187" s="177"/>
      <c r="J187" s="177"/>
      <c r="K187" s="177"/>
      <c r="L187" s="177"/>
      <c r="M187" s="177"/>
      <c r="N187" s="177"/>
      <c r="O187" s="177"/>
      <c r="P187" s="177"/>
      <c r="Q187" s="177"/>
      <c r="R187" s="177"/>
      <c r="S187" s="177"/>
      <c r="T187" s="177"/>
      <c r="U187" s="177"/>
      <c r="V187" s="177"/>
      <c r="W187" s="177"/>
      <c r="X187" s="177"/>
      <c r="Y187" s="177">
        <v>11.927</v>
      </c>
      <c r="Z187" s="177" cm="1">
        <f t="array" ref="Z187">INDEX(QRT!$1:$1048576,MATCH(Model!$B187,QRT!$A:$A,0),MATCH(Model!Z$3,QRT!$4:$4,0)+3)</f>
        <v>16.817</v>
      </c>
      <c r="AA187" s="177" cm="1">
        <f t="array" ref="AA187">INDEX(QRT!$1:$1048576,MATCH(Model!$B187,QRT!$A:$A,0),MATCH(Model!AA$3,QRT!$4:$4,0)+3)</f>
        <v>30.843</v>
      </c>
      <c r="AB187" s="177" cm="1">
        <f t="array" ref="AB187">INDEX(QRT!$1:$1048576,MATCH(Model!$B187,QRT!$A:$A,0),MATCH(Model!AB$3,QRT!$4:$4,0)+3)</f>
        <v>54.945</v>
      </c>
      <c r="AC187" s="177" cm="1">
        <f t="array" ref="AC187">INDEX(QRT!$1:$1048576,MATCH(Model!$B187,QRT!$A:$A,0),MATCH(Model!AC$3,QRT!$4:$4,0)+3)</f>
        <v>116.54600000000001</v>
      </c>
      <c r="AD187" s="164" cm="1">
        <f t="array" ref="AD187">INDEX(QRT!$1:$1048576,MATCH(Model!$B187,QRT!$A:$A,0),MATCH(Model!AD$3,QRT!$4:$4,0)+3)</f>
        <v>173.85911574950728</v>
      </c>
      <c r="AE187" s="164" cm="1">
        <f t="array" ref="AE187">INDEX(QRT!$1:$1048576,MATCH(Model!$B187,QRT!$A:$A,0),MATCH(Model!AE$3,QRT!$4:$4,0)+3)</f>
        <v>218.86222653181173</v>
      </c>
      <c r="AF187" s="164" cm="1">
        <f t="array" ref="AF187">INDEX(QRT!$1:$1048576,MATCH(Model!$B187,QRT!$A:$A,0),MATCH(Model!AF$3,QRT!$4:$4,0)+3)</f>
        <v>267.49627616028198</v>
      </c>
      <c r="AG187" s="63">
        <f>AG311</f>
        <v>313.01278276063749</v>
      </c>
      <c r="AH187" s="63">
        <f t="shared" ref="AH187:AN187" si="147">AH311</f>
        <v>338.52280140582354</v>
      </c>
      <c r="AI187" s="63">
        <f t="shared" si="147"/>
        <v>356.53393544898995</v>
      </c>
      <c r="AJ187" s="63">
        <f t="shared" si="147"/>
        <v>367.69478928324395</v>
      </c>
      <c r="AK187" s="63">
        <f t="shared" si="147"/>
        <v>374.24625610783266</v>
      </c>
      <c r="AL187" s="63">
        <f t="shared" si="147"/>
        <v>378.08964178628111</v>
      </c>
      <c r="AM187" s="63">
        <f t="shared" si="147"/>
        <v>383.07488719987134</v>
      </c>
      <c r="AN187" s="63">
        <f t="shared" si="147"/>
        <v>392.67687609673504</v>
      </c>
      <c r="AO187" s="7"/>
    </row>
    <row r="188" spans="1:41" outlineLevel="1">
      <c r="B188" s="96" t="s">
        <v>428</v>
      </c>
      <c r="E188" s="59" t="s">
        <v>123</v>
      </c>
      <c r="H188" s="177"/>
      <c r="I188" s="177"/>
      <c r="J188" s="177"/>
      <c r="K188" s="177"/>
      <c r="L188" s="177"/>
      <c r="M188" s="177"/>
      <c r="N188" s="177"/>
      <c r="O188" s="177"/>
      <c r="P188" s="177"/>
      <c r="Q188" s="177"/>
      <c r="R188" s="177"/>
      <c r="S188" s="177"/>
      <c r="T188" s="177"/>
      <c r="U188" s="177"/>
      <c r="V188" s="177"/>
      <c r="W188" s="177"/>
      <c r="X188" s="177"/>
      <c r="Y188" s="177">
        <v>1.262</v>
      </c>
      <c r="Z188" s="177" cm="1">
        <f t="array" ref="Z188">INDEX(QRT!$1:$1048576,MATCH(Model!$B188,QRT!$A:$A,0),MATCH(Model!Z$3,QRT!$4:$4,0)+3)</f>
        <v>14.323</v>
      </c>
      <c r="AA188" s="177" cm="1">
        <f t="array" ref="AA188">INDEX(QRT!$1:$1048576,MATCH(Model!$B188,QRT!$A:$A,0),MATCH(Model!AA$3,QRT!$4:$4,0)+3)</f>
        <v>13.263</v>
      </c>
      <c r="AB188" s="177" cm="1">
        <f t="array" ref="AB188">INDEX(QRT!$1:$1048576,MATCH(Model!$B188,QRT!$A:$A,0),MATCH(Model!AB$3,QRT!$4:$4,0)+3)</f>
        <v>8.6029999999999998</v>
      </c>
      <c r="AC188" s="177" cm="1">
        <f t="array" ref="AC188">INDEX(QRT!$1:$1048576,MATCH(Model!$B188,QRT!$A:$A,0),MATCH(Model!AC$3,QRT!$4:$4,0)+3)</f>
        <v>4.6509999999999998</v>
      </c>
      <c r="AD188" s="164" cm="1">
        <f t="array" ref="AD188">INDEX(QRT!$1:$1048576,MATCH(Model!$B188,QRT!$A:$A,0),MATCH(Model!AD$3,QRT!$4:$4,0)+3)</f>
        <v>3.15</v>
      </c>
      <c r="AE188" s="164" cm="1">
        <f t="array" ref="AE188">INDEX(QRT!$1:$1048576,MATCH(Model!$B188,QRT!$A:$A,0),MATCH(Model!AE$3,QRT!$4:$4,0)+3)</f>
        <v>3.15</v>
      </c>
      <c r="AF188" s="164" cm="1">
        <f t="array" ref="AF188">INDEX(QRT!$1:$1048576,MATCH(Model!$B188,QRT!$A:$A,0),MATCH(Model!AF$3,QRT!$4:$4,0)+3)</f>
        <v>3.15</v>
      </c>
      <c r="AG188" s="63">
        <f t="shared" ref="AG188:AN188" si="148">AF188</f>
        <v>3.15</v>
      </c>
      <c r="AH188" s="63">
        <f t="shared" si="148"/>
        <v>3.15</v>
      </c>
      <c r="AI188" s="63">
        <f t="shared" si="148"/>
        <v>3.15</v>
      </c>
      <c r="AJ188" s="63">
        <f t="shared" si="148"/>
        <v>3.15</v>
      </c>
      <c r="AK188" s="63">
        <f t="shared" si="148"/>
        <v>3.15</v>
      </c>
      <c r="AL188" s="63">
        <f t="shared" si="148"/>
        <v>3.15</v>
      </c>
      <c r="AM188" s="63">
        <f t="shared" si="148"/>
        <v>3.15</v>
      </c>
      <c r="AN188" s="63">
        <f t="shared" si="148"/>
        <v>3.15</v>
      </c>
      <c r="AO188" s="7"/>
    </row>
    <row r="189" spans="1:41" s="3" customFormat="1" outlineLevel="1">
      <c r="A189" s="96" t="s">
        <v>178</v>
      </c>
      <c r="B189" s="96"/>
      <c r="C189" s="122"/>
      <c r="E189" s="2" t="s">
        <v>142</v>
      </c>
      <c r="F189" s="2"/>
      <c r="G189" s="2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>
        <f>SUM(Y184:Y188)</f>
        <v>27.163</v>
      </c>
      <c r="Z189" s="8">
        <f>SUM(Z184:Z188)</f>
        <v>61.378999999999998</v>
      </c>
      <c r="AA189" s="8">
        <f>SUM(AA184:AA188)</f>
        <v>83.88300000000001</v>
      </c>
      <c r="AB189" s="8">
        <f>SUM(AB184:AB188)</f>
        <v>141.37700000000001</v>
      </c>
      <c r="AC189" s="8">
        <f>SUM(AC184:AC188)</f>
        <v>288.565</v>
      </c>
      <c r="AD189" s="8">
        <f t="shared" ref="AD189:AN189" si="149">SUM(AD184:AD188)</f>
        <v>352.18052433895389</v>
      </c>
      <c r="AE189" s="8">
        <f t="shared" si="149"/>
        <v>406.86128833095773</v>
      </c>
      <c r="AF189" s="8">
        <f t="shared" si="149"/>
        <v>466.49332305834793</v>
      </c>
      <c r="AG189" s="8">
        <f t="shared" si="149"/>
        <v>528.70555841435123</v>
      </c>
      <c r="AH189" s="8">
        <f t="shared" si="149"/>
        <v>562.625414395848</v>
      </c>
      <c r="AI189" s="8">
        <f t="shared" si="149"/>
        <v>598.32394988450835</v>
      </c>
      <c r="AJ189" s="8">
        <f t="shared" si="149"/>
        <v>618.32699099571562</v>
      </c>
      <c r="AK189" s="8">
        <f t="shared" si="149"/>
        <v>642.33915615791534</v>
      </c>
      <c r="AL189" s="8">
        <f t="shared" si="149"/>
        <v>653.77453760580613</v>
      </c>
      <c r="AM189" s="8">
        <f t="shared" si="149"/>
        <v>674.28426286660954</v>
      </c>
      <c r="AN189" s="8">
        <f t="shared" si="149"/>
        <v>688.76922731767297</v>
      </c>
      <c r="AO189" s="53"/>
    </row>
    <row r="190" spans="1:41" outlineLevel="1">
      <c r="A190" s="96" t="s">
        <v>180</v>
      </c>
      <c r="B190" s="96" t="s">
        <v>432</v>
      </c>
      <c r="E190" s="59" t="s">
        <v>351</v>
      </c>
      <c r="H190" s="177"/>
      <c r="I190" s="177"/>
      <c r="J190" s="177"/>
      <c r="K190" s="177"/>
      <c r="L190" s="177"/>
      <c r="M190" s="177"/>
      <c r="N190" s="177"/>
      <c r="O190" s="177"/>
      <c r="P190" s="177"/>
      <c r="Q190" s="177"/>
      <c r="R190" s="177"/>
      <c r="S190" s="177"/>
      <c r="T190" s="177"/>
      <c r="U190" s="177"/>
      <c r="V190" s="177"/>
      <c r="W190" s="177"/>
      <c r="X190" s="177"/>
      <c r="Y190" s="177">
        <f>0.255+10.313</f>
        <v>10.568000000000001</v>
      </c>
      <c r="Z190" s="177" cm="1">
        <f t="array" ref="Z190">INDEX(QRT!$1:$1048576,MATCH(Model!$B190,QRT!$A:$A,0),MATCH(Model!Z$3,QRT!$4:$4,0)+3)</f>
        <v>10.443</v>
      </c>
      <c r="AA190" s="177" cm="1">
        <f t="array" ref="AA190">INDEX(QRT!$1:$1048576,MATCH(Model!$B190,QRT!$A:$A,0),MATCH(Model!AA$3,QRT!$4:$4,0)+3)</f>
        <v>10.506</v>
      </c>
      <c r="AB190" s="177" cm="1">
        <f t="array" ref="AB190">INDEX(QRT!$1:$1048576,MATCH(Model!$B190,QRT!$A:$A,0),MATCH(Model!AB$3,QRT!$4:$4,0)+3)</f>
        <v>383.27499999999998</v>
      </c>
      <c r="AC190" s="177" cm="1">
        <f t="array" ref="AC190">INDEX(QRT!$1:$1048576,MATCH(Model!$B190,QRT!$A:$A,0),MATCH(Model!AC$3,QRT!$4:$4,0)+3)</f>
        <v>1146.877</v>
      </c>
      <c r="AD190" s="164" cm="1">
        <f t="array" ref="AD190">INDEX(QRT!$1:$1048576,MATCH(Model!$B190,QRT!$A:$A,0),MATCH(Model!AD$3,QRT!$4:$4,0)+3)</f>
        <v>1460.8051991260136</v>
      </c>
      <c r="AE190" s="164" cm="1">
        <f t="array" ref="AE190">INDEX(QRT!$1:$1048576,MATCH(Model!$B190,QRT!$A:$A,0),MATCH(Model!AE$3,QRT!$4:$4,0)+3)</f>
        <v>1516.8092400601597</v>
      </c>
      <c r="AF190" s="164" cm="1">
        <f t="array" ref="AF190">INDEX(QRT!$1:$1048576,MATCH(Model!$B190,QRT!$A:$A,0),MATCH(Model!AF$3,QRT!$4:$4,0)+3)</f>
        <v>1575.8418776321173</v>
      </c>
      <c r="AG190" s="63">
        <f t="shared" ref="AG190:AN190" si="150">AG225-AG184</f>
        <v>1644.763540884584</v>
      </c>
      <c r="AH190" s="63">
        <f t="shared" si="150"/>
        <v>1644.763540884584</v>
      </c>
      <c r="AI190" s="63">
        <f t="shared" si="150"/>
        <v>1644.763540884584</v>
      </c>
      <c r="AJ190" s="63">
        <f t="shared" si="150"/>
        <v>1644.763540884584</v>
      </c>
      <c r="AK190" s="63">
        <f t="shared" si="150"/>
        <v>1644.763540884584</v>
      </c>
      <c r="AL190" s="63">
        <f t="shared" si="150"/>
        <v>1644.763540884584</v>
      </c>
      <c r="AM190" s="63">
        <f t="shared" si="150"/>
        <v>1644.763540884584</v>
      </c>
      <c r="AN190" s="63">
        <f t="shared" si="150"/>
        <v>1644.763540884584</v>
      </c>
      <c r="AO190" s="7"/>
    </row>
    <row r="191" spans="1:41" outlineLevel="1">
      <c r="B191" s="96" t="s">
        <v>426</v>
      </c>
      <c r="E191" s="59" t="s">
        <v>349</v>
      </c>
      <c r="H191" s="177"/>
      <c r="I191" s="177"/>
      <c r="J191" s="177"/>
      <c r="K191" s="177"/>
      <c r="L191" s="177"/>
      <c r="M191" s="177"/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>
        <v>0</v>
      </c>
      <c r="Z191" s="177" cm="1">
        <f t="array" ref="Z191">INDEX(QRT!$1:$1048576,MATCH(Model!$B191,QRT!$A:$A,0),MATCH(Model!Z$3,QRT!$4:$4,0)+3)</f>
        <v>0</v>
      </c>
      <c r="AA191" s="177" cm="1">
        <f t="array" ref="AA191">INDEX(QRT!$1:$1048576,MATCH(Model!$B191,QRT!$A:$A,0),MATCH(Model!AA$3,QRT!$4:$4,0)+3)</f>
        <v>0</v>
      </c>
      <c r="AB191" s="177" cm="1">
        <f t="array" ref="AB191">INDEX(QRT!$1:$1048576,MATCH(Model!$B191,QRT!$A:$A,0),MATCH(Model!AB$3,QRT!$4:$4,0)+3)</f>
        <v>27.309000000000001</v>
      </c>
      <c r="AC191" s="177" cm="1">
        <f t="array" ref="AC191">INDEX(QRT!$1:$1048576,MATCH(Model!$B191,QRT!$A:$A,0),MATCH(Model!AC$3,QRT!$4:$4,0)+3)</f>
        <v>109.03700000000001</v>
      </c>
      <c r="AD191" s="164" cm="1">
        <f t="array" ref="AD191">INDEX(QRT!$1:$1048576,MATCH(Model!$B191,QRT!$A:$A,0),MATCH(Model!AD$3,QRT!$4:$4,0)+3)</f>
        <v>116.63746098806746</v>
      </c>
      <c r="AE191" s="164" cm="1">
        <f t="array" ref="AE191">INDEX(QRT!$1:$1048576,MATCH(Model!$B191,QRT!$A:$A,0),MATCH(Model!AE$3,QRT!$4:$4,0)+3)</f>
        <v>145.61917019683523</v>
      </c>
      <c r="AF191" s="164" cm="1">
        <f t="array" ref="AF191">INDEX(QRT!$1:$1048576,MATCH(Model!$B191,QRT!$A:$A,0),MATCH(Model!AF$3,QRT!$4:$4,0)+3)</f>
        <v>175.73962455391583</v>
      </c>
      <c r="AG191" s="63">
        <f>AG285</f>
        <v>237.12197649116757</v>
      </c>
      <c r="AH191" s="63">
        <f t="shared" ref="AH191:AN191" si="151">AH285</f>
        <v>270.34840921144519</v>
      </c>
      <c r="AI191" s="63">
        <f t="shared" si="151"/>
        <v>338.08065247801233</v>
      </c>
      <c r="AJ191" s="63">
        <f t="shared" si="151"/>
        <v>374.96399730198254</v>
      </c>
      <c r="AK191" s="63">
        <f t="shared" si="151"/>
        <v>444.83969806431156</v>
      </c>
      <c r="AL191" s="63">
        <f t="shared" si="151"/>
        <v>479.18918947635183</v>
      </c>
      <c r="AM191" s="63">
        <f t="shared" si="151"/>
        <v>544.64605381589877</v>
      </c>
      <c r="AN191" s="63">
        <f t="shared" si="151"/>
        <v>570.48733900182015</v>
      </c>
      <c r="AO191" s="7"/>
    </row>
    <row r="192" spans="1:41" outlineLevel="1">
      <c r="B192" s="96" t="s">
        <v>427</v>
      </c>
      <c r="E192" s="59" t="s">
        <v>350</v>
      </c>
      <c r="H192" s="177"/>
      <c r="I192" s="177"/>
      <c r="J192" s="177"/>
      <c r="K192" s="177"/>
      <c r="L192" s="177"/>
      <c r="M192" s="177"/>
      <c r="N192" s="177"/>
      <c r="O192" s="177"/>
      <c r="P192" s="177"/>
      <c r="Q192" s="177"/>
      <c r="R192" s="177"/>
      <c r="S192" s="177"/>
      <c r="T192" s="177"/>
      <c r="U192" s="177"/>
      <c r="V192" s="177"/>
      <c r="W192" s="177"/>
      <c r="X192" s="177"/>
      <c r="Y192" s="177">
        <v>0.20699999999999999</v>
      </c>
      <c r="Z192" s="177" cm="1">
        <f t="array" ref="Z192">INDEX(QRT!$1:$1048576,MATCH(Model!$B192,QRT!$A:$A,0),MATCH(Model!Z$3,QRT!$4:$4,0)+3)</f>
        <v>0.22</v>
      </c>
      <c r="AA192" s="177" cm="1">
        <f t="array" ref="AA192">INDEX(QRT!$1:$1048576,MATCH(Model!$B192,QRT!$A:$A,0),MATCH(Model!AA$3,QRT!$4:$4,0)+3)</f>
        <v>0.80400000000000005</v>
      </c>
      <c r="AB192" s="177" cm="1">
        <f t="array" ref="AB192">INDEX(QRT!$1:$1048576,MATCH(Model!$B192,QRT!$A:$A,0),MATCH(Model!AB$3,QRT!$4:$4,0)+3)</f>
        <v>1.891</v>
      </c>
      <c r="AC192" s="177" cm="1">
        <f t="array" ref="AC192">INDEX(QRT!$1:$1048576,MATCH(Model!$B192,QRT!$A:$A,0),MATCH(Model!AC$3,QRT!$4:$4,0)+3)</f>
        <v>4.68</v>
      </c>
      <c r="AD192" s="164" cm="1">
        <f t="array" ref="AD192">INDEX(QRT!$1:$1048576,MATCH(Model!$B192,QRT!$A:$A,0),MATCH(Model!AD$3,QRT!$4:$4,0)+3)</f>
        <v>9.150479776289858</v>
      </c>
      <c r="AE192" s="164" cm="1">
        <f t="array" ref="AE192">INDEX(QRT!$1:$1048576,MATCH(Model!$B192,QRT!$A:$A,0),MATCH(Model!AE$3,QRT!$4:$4,0)+3)</f>
        <v>11.519064554305881</v>
      </c>
      <c r="AF192" s="164" cm="1">
        <f t="array" ref="AF192">INDEX(QRT!$1:$1048576,MATCH(Model!$B192,QRT!$A:$A,0),MATCH(Model!AF$3,QRT!$4:$4,0)+3)</f>
        <v>14.078751376856946</v>
      </c>
      <c r="AG192" s="63">
        <f>AG312</f>
        <v>16.474356987401972</v>
      </c>
      <c r="AH192" s="63">
        <f t="shared" ref="AH192:AN192" si="152">AH312</f>
        <v>17.816989547674922</v>
      </c>
      <c r="AI192" s="63">
        <f t="shared" si="152"/>
        <v>18.764943970999472</v>
      </c>
      <c r="AJ192" s="63">
        <f t="shared" si="152"/>
        <v>19.35235733069705</v>
      </c>
      <c r="AK192" s="63">
        <f t="shared" si="152"/>
        <v>19.697171374096456</v>
      </c>
      <c r="AL192" s="63">
        <f t="shared" si="152"/>
        <v>19.8994548308569</v>
      </c>
      <c r="AM192" s="63">
        <f t="shared" si="152"/>
        <v>20.161836168414283</v>
      </c>
      <c r="AN192" s="63">
        <f t="shared" si="152"/>
        <v>20.667204005091321</v>
      </c>
      <c r="AO192" s="7"/>
    </row>
    <row r="193" spans="1:44" outlineLevel="1">
      <c r="A193" s="96"/>
      <c r="B193" s="96" t="s">
        <v>433</v>
      </c>
      <c r="E193" s="59" t="s">
        <v>121</v>
      </c>
      <c r="H193" s="177"/>
      <c r="I193" s="177"/>
      <c r="J193" s="177"/>
      <c r="K193" s="177"/>
      <c r="L193" s="177"/>
      <c r="M193" s="177"/>
      <c r="N193" s="177"/>
      <c r="O193" s="177"/>
      <c r="P193" s="177"/>
      <c r="Q193" s="177"/>
      <c r="R193" s="177"/>
      <c r="S193" s="177"/>
      <c r="T193" s="177"/>
      <c r="U193" s="177"/>
      <c r="V193" s="177"/>
      <c r="W193" s="177"/>
      <c r="X193" s="177"/>
      <c r="Y193" s="177">
        <v>0</v>
      </c>
      <c r="Z193" s="177" cm="1">
        <f t="array" ref="Z193">INDEX(QRT!$1:$1048576,MATCH(Model!$B193,QRT!$A:$A,0),MATCH(Model!Z$3,QRT!$4:$4,0)+3)</f>
        <v>0</v>
      </c>
      <c r="AA193" s="177" cm="1">
        <f t="array" ref="AA193">INDEX(QRT!$1:$1048576,MATCH(Model!$B193,QRT!$A:$A,0),MATCH(Model!AA$3,QRT!$4:$4,0)+3)</f>
        <v>0</v>
      </c>
      <c r="AB193" s="177" cm="1">
        <f t="array" ref="AB193">INDEX(QRT!$1:$1048576,MATCH(Model!$B193,QRT!$A:$A,0),MATCH(Model!AB$3,QRT!$4:$4,0)+3)</f>
        <v>0</v>
      </c>
      <c r="AC193" s="177" cm="1">
        <f t="array" ref="AC193">INDEX(QRT!$1:$1048576,MATCH(Model!$B193,QRT!$A:$A,0),MATCH(Model!AC$3,QRT!$4:$4,0)+3)</f>
        <v>0</v>
      </c>
      <c r="AD193" s="164" cm="1">
        <f t="array" aca="1" ref="AD193" ca="1">INDEX(QRT!$1:$1048576,MATCH(Model!$B193,QRT!$A:$A,0),MATCH(Model!AD$3,QRT!$4:$4,0)+3)</f>
        <v>-15.877577747928079</v>
      </c>
      <c r="AE193" s="164" cm="1">
        <f t="array" aca="1" ref="AE193" ca="1">INDEX(QRT!$1:$1048576,MATCH(Model!$B193,QRT!$A:$A,0),MATCH(Model!AE$3,QRT!$4:$4,0)+3)</f>
        <v>-54.724076805381273</v>
      </c>
      <c r="AF193" s="164" cm="1">
        <f t="array" aca="1" ref="AF193" ca="1">INDEX(QRT!$1:$1048576,MATCH(Model!$B193,QRT!$A:$A,0),MATCH(Model!AF$3,QRT!$4:$4,0)+3)</f>
        <v>-100.67892473168419</v>
      </c>
      <c r="AG193" s="78">
        <f t="shared" ref="AG193:AN193" ca="1" si="153">AF193+AG137</f>
        <v>-131.13437386033968</v>
      </c>
      <c r="AH193" s="78">
        <f t="shared" ca="1" si="153"/>
        <v>-147.0387185523314</v>
      </c>
      <c r="AI193" s="78">
        <f t="shared" ca="1" si="153"/>
        <v>-148.01415691143788</v>
      </c>
      <c r="AJ193" s="78">
        <f t="shared" ca="1" si="153"/>
        <v>-135.46384818232289</v>
      </c>
      <c r="AK193" s="78">
        <f t="shared" ca="1" si="153"/>
        <v>-114.03722176390241</v>
      </c>
      <c r="AL193" s="78">
        <f t="shared" ca="1" si="153"/>
        <v>-93.840701847335893</v>
      </c>
      <c r="AM193" s="78">
        <f t="shared" ca="1" si="153"/>
        <v>-85.442062172415902</v>
      </c>
      <c r="AN193" s="78">
        <f t="shared" ca="1" si="153"/>
        <v>-85.442062172415902</v>
      </c>
      <c r="AO193" s="7"/>
    </row>
    <row r="194" spans="1:44" outlineLevel="1">
      <c r="B194" s="96" t="s">
        <v>434</v>
      </c>
      <c r="E194" s="59" t="s">
        <v>123</v>
      </c>
      <c r="H194" s="177"/>
      <c r="I194" s="177"/>
      <c r="J194" s="177"/>
      <c r="K194" s="177"/>
      <c r="L194" s="177"/>
      <c r="M194" s="177"/>
      <c r="N194" s="177"/>
      <c r="O194" s="177"/>
      <c r="P194" s="177"/>
      <c r="Q194" s="177"/>
      <c r="R194" s="177"/>
      <c r="S194" s="177"/>
      <c r="T194" s="177"/>
      <c r="U194" s="177"/>
      <c r="V194" s="177"/>
      <c r="W194" s="177"/>
      <c r="X194" s="177"/>
      <c r="Y194" s="177">
        <f>0.398+3.095</f>
        <v>3.4930000000000003</v>
      </c>
      <c r="Z194" s="177" cm="1">
        <f t="array" ref="Z194">INDEX(QRT!$1:$1048576,MATCH(Model!$B194,QRT!$A:$A,0),MATCH(Model!Z$3,QRT!$4:$4,0)+3)</f>
        <v>8.3219999999999992</v>
      </c>
      <c r="AA194" s="177" cm="1">
        <f t="array" ref="AA194">INDEX(QRT!$1:$1048576,MATCH(Model!$B194,QRT!$A:$A,0),MATCH(Model!AA$3,QRT!$4:$4,0)+3)</f>
        <v>9.8030000000000008</v>
      </c>
      <c r="AB194" s="177" cm="1">
        <f t="array" ref="AB194">INDEX(QRT!$1:$1048576,MATCH(Model!$B194,QRT!$A:$A,0),MATCH(Model!AB$3,QRT!$4:$4,0)+3)</f>
        <v>9.859</v>
      </c>
      <c r="AC194" s="177" cm="1">
        <f t="array" ref="AC194">INDEX(QRT!$1:$1048576,MATCH(Model!$B194,QRT!$A:$A,0),MATCH(Model!AC$3,QRT!$4:$4,0)+3)</f>
        <v>7.1139999999999999</v>
      </c>
      <c r="AD194" s="164" cm="1">
        <f t="array" ref="AD194">INDEX(QRT!$1:$1048576,MATCH(Model!$B194,QRT!$A:$A,0),MATCH(Model!AD$3,QRT!$4:$4,0)+3)</f>
        <v>9.0990000000000002</v>
      </c>
      <c r="AE194" s="164" cm="1">
        <f t="array" ref="AE194">INDEX(QRT!$1:$1048576,MATCH(Model!$B194,QRT!$A:$A,0),MATCH(Model!AE$3,QRT!$4:$4,0)+3)</f>
        <v>9.0990000000000002</v>
      </c>
      <c r="AF194" s="164" cm="1">
        <f t="array" ref="AF194">INDEX(QRT!$1:$1048576,MATCH(Model!$B194,QRT!$A:$A,0),MATCH(Model!AF$3,QRT!$4:$4,0)+3)</f>
        <v>9.0990000000000002</v>
      </c>
      <c r="AG194" s="63">
        <f>AF194</f>
        <v>9.0990000000000002</v>
      </c>
      <c r="AH194" s="63">
        <f t="shared" ref="AH194:AN194" si="154">AG194</f>
        <v>9.0990000000000002</v>
      </c>
      <c r="AI194" s="63">
        <f t="shared" si="154"/>
        <v>9.0990000000000002</v>
      </c>
      <c r="AJ194" s="63">
        <f t="shared" si="154"/>
        <v>9.0990000000000002</v>
      </c>
      <c r="AK194" s="63">
        <f t="shared" si="154"/>
        <v>9.0990000000000002</v>
      </c>
      <c r="AL194" s="63">
        <f t="shared" si="154"/>
        <v>9.0990000000000002</v>
      </c>
      <c r="AM194" s="63">
        <f t="shared" si="154"/>
        <v>9.0990000000000002</v>
      </c>
      <c r="AN194" s="63">
        <f t="shared" si="154"/>
        <v>9.0990000000000002</v>
      </c>
      <c r="AO194" s="7"/>
    </row>
    <row r="195" spans="1:44" s="3" customFormat="1" outlineLevel="1">
      <c r="A195" s="96" t="s">
        <v>179</v>
      </c>
      <c r="B195" s="96"/>
      <c r="C195" s="122"/>
      <c r="E195" s="2" t="s">
        <v>143</v>
      </c>
      <c r="F195" s="2"/>
      <c r="G195" s="2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>
        <f t="shared" ref="Y195:AN195" si="155">SUM(Y189:Y194)</f>
        <v>41.431000000000004</v>
      </c>
      <c r="Z195" s="8">
        <f t="shared" si="155"/>
        <v>80.364000000000004</v>
      </c>
      <c r="AA195" s="8">
        <f t="shared" si="155"/>
        <v>104.99600000000001</v>
      </c>
      <c r="AB195" s="8">
        <f t="shared" si="155"/>
        <v>563.71100000000001</v>
      </c>
      <c r="AC195" s="8">
        <f>SUM(AC189:AC194)</f>
        <v>1556.2730000000001</v>
      </c>
      <c r="AD195" s="8">
        <f t="shared" ca="1" si="155"/>
        <v>1931.9950864813966</v>
      </c>
      <c r="AE195" s="8">
        <f t="shared" ca="1" si="155"/>
        <v>2035.1836863368769</v>
      </c>
      <c r="AF195" s="8">
        <f t="shared" ca="1" si="155"/>
        <v>2140.5736518895537</v>
      </c>
      <c r="AG195" s="8">
        <f t="shared" ca="1" si="155"/>
        <v>2305.0300589171657</v>
      </c>
      <c r="AH195" s="8">
        <f t="shared" ca="1" si="155"/>
        <v>2357.6146354872208</v>
      </c>
      <c r="AI195" s="8">
        <f t="shared" ca="1" si="155"/>
        <v>2461.0179303066661</v>
      </c>
      <c r="AJ195" s="8">
        <f t="shared" ca="1" si="155"/>
        <v>2531.0420383306564</v>
      </c>
      <c r="AK195" s="8">
        <f t="shared" ca="1" si="155"/>
        <v>2646.7013447170048</v>
      </c>
      <c r="AL195" s="8">
        <f t="shared" ca="1" si="155"/>
        <v>2712.885020950263</v>
      </c>
      <c r="AM195" s="8">
        <f t="shared" ca="1" si="155"/>
        <v>2807.5126315630905</v>
      </c>
      <c r="AN195" s="8">
        <f t="shared" ca="1" si="155"/>
        <v>2848.3442490367529</v>
      </c>
      <c r="AO195" s="53"/>
    </row>
    <row r="196" spans="1:44" outlineLevel="1">
      <c r="A196" s="96" t="s">
        <v>181</v>
      </c>
      <c r="B196" s="96" t="s">
        <v>435</v>
      </c>
      <c r="E196" s="59" t="s">
        <v>144</v>
      </c>
      <c r="H196" s="177"/>
      <c r="I196" s="177"/>
      <c r="J196" s="177"/>
      <c r="K196" s="177"/>
      <c r="L196" s="177"/>
      <c r="M196" s="177"/>
      <c r="N196" s="177"/>
      <c r="O196" s="177"/>
      <c r="P196" s="177"/>
      <c r="Q196" s="177"/>
      <c r="R196" s="177"/>
      <c r="S196" s="177"/>
      <c r="T196" s="177"/>
      <c r="U196" s="177"/>
      <c r="V196" s="177"/>
      <c r="W196" s="177"/>
      <c r="X196" s="177"/>
      <c r="Y196" s="177">
        <v>7.9000000000000001E-2</v>
      </c>
      <c r="Z196" s="177" cm="1">
        <f t="array" ref="Z196">INDEX(QRT!$1:$1048576,MATCH(Model!$B196,QRT!$A:$A,0),MATCH(Model!Z$3,QRT!$4:$4,0)+3)</f>
        <v>8.5000000000000006E-2</v>
      </c>
      <c r="AA196" s="177" cm="1">
        <f t="array" ref="AA196">INDEX(QRT!$1:$1048576,MATCH(Model!$B196,QRT!$A:$A,0),MATCH(Model!AA$3,QRT!$4:$4,0)+3)</f>
        <v>0.29399999999999998</v>
      </c>
      <c r="AB196" s="177" cm="1">
        <f t="array" ref="AB196">INDEX(QRT!$1:$1048576,MATCH(Model!$B196,QRT!$A:$A,0),MATCH(Model!AB$3,QRT!$4:$4,0)+3)</f>
        <v>0.30399999999999999</v>
      </c>
      <c r="AC196" s="177" cm="1">
        <f t="array" ref="AC196">INDEX(QRT!$1:$1048576,MATCH(Model!$B196,QRT!$A:$A,0),MATCH(Model!AC$3,QRT!$4:$4,0)+3)</f>
        <v>0.32100000000000001</v>
      </c>
      <c r="AD196" s="164" cm="1">
        <f t="array" ref="AD196">INDEX(QRT!$1:$1048576,MATCH(Model!$B196,QRT!$A:$A,0),MATCH(Model!AD$3,QRT!$4:$4,0)+3)</f>
        <v>0.32499999999999996</v>
      </c>
      <c r="AE196" s="164" cm="1">
        <f t="array" ref="AE196">INDEX(QRT!$1:$1048576,MATCH(Model!$B196,QRT!$A:$A,0),MATCH(Model!AE$3,QRT!$4:$4,0)+3)</f>
        <v>0.32499999999999996</v>
      </c>
      <c r="AF196" s="164" cm="1">
        <f t="array" ref="AF196">INDEX(QRT!$1:$1048576,MATCH(Model!$B196,QRT!$A:$A,0),MATCH(Model!AF$3,QRT!$4:$4,0)+3)</f>
        <v>0.32499999999999996</v>
      </c>
      <c r="AG196" s="7">
        <f t="shared" ref="AG196:AN196" si="156">AF196+AG160</f>
        <v>0.32499999999999996</v>
      </c>
      <c r="AH196" s="7">
        <f t="shared" si="156"/>
        <v>0.32499999999999996</v>
      </c>
      <c r="AI196" s="7">
        <f t="shared" si="156"/>
        <v>0.32499999999999996</v>
      </c>
      <c r="AJ196" s="7">
        <f t="shared" si="156"/>
        <v>0.32499999999999996</v>
      </c>
      <c r="AK196" s="7">
        <f t="shared" si="156"/>
        <v>0.32499999999999996</v>
      </c>
      <c r="AL196" s="7">
        <f t="shared" si="156"/>
        <v>0.32499999999999996</v>
      </c>
      <c r="AM196" s="7">
        <f t="shared" si="156"/>
        <v>0.32499999999999996</v>
      </c>
      <c r="AN196" s="7">
        <f t="shared" si="156"/>
        <v>0.32499999999999996</v>
      </c>
      <c r="AO196" s="7"/>
    </row>
    <row r="197" spans="1:44" outlineLevel="1">
      <c r="A197" s="96"/>
      <c r="B197" s="96" t="s">
        <v>436</v>
      </c>
      <c r="E197" s="59" t="s">
        <v>362</v>
      </c>
      <c r="H197" s="177"/>
      <c r="I197" s="177"/>
      <c r="J197" s="177"/>
      <c r="K197" s="177"/>
      <c r="L197" s="177"/>
      <c r="M197" s="177"/>
      <c r="N197" s="177"/>
      <c r="O197" s="177"/>
      <c r="P197" s="177"/>
      <c r="Q197" s="177"/>
      <c r="R197" s="177"/>
      <c r="S197" s="177"/>
      <c r="T197" s="177"/>
      <c r="U197" s="177"/>
      <c r="V197" s="177"/>
      <c r="W197" s="177"/>
      <c r="X197" s="177"/>
      <c r="Y197" s="177">
        <v>181.54599999999999</v>
      </c>
      <c r="Z197" s="177" cm="1">
        <f t="array" ref="Z197">INDEX(QRT!$1:$1048576,MATCH(Model!$B197,QRT!$A:$A,0),MATCH(Model!Z$3,QRT!$4:$4,0)+3)</f>
        <v>331.52100000000002</v>
      </c>
      <c r="AA197" s="177" cm="1">
        <f t="array" ref="AA197">INDEX(QRT!$1:$1048576,MATCH(Model!$B197,QRT!$A:$A,0),MATCH(Model!AA$3,QRT!$4:$4,0)+3)</f>
        <v>0</v>
      </c>
      <c r="AB197" s="177" cm="1">
        <f t="array" ref="AB197">INDEX(QRT!$1:$1048576,MATCH(Model!$B197,QRT!$A:$A,0),MATCH(Model!AB$3,QRT!$4:$4,0)+3)</f>
        <v>0</v>
      </c>
      <c r="AC197" s="177" cm="1">
        <f t="array" ref="AC197">INDEX(QRT!$1:$1048576,MATCH(Model!$B197,QRT!$A:$A,0),MATCH(Model!AC$3,QRT!$4:$4,0)+3)</f>
        <v>0</v>
      </c>
      <c r="AD197" s="164" cm="1">
        <f t="array" ref="AD197">INDEX(QRT!$1:$1048576,MATCH(Model!$B197,QRT!$A:$A,0),MATCH(Model!AD$3,QRT!$4:$4,0)+3)</f>
        <v>0</v>
      </c>
      <c r="AE197" s="164" cm="1">
        <f t="array" ref="AE197">INDEX(QRT!$1:$1048576,MATCH(Model!$B197,QRT!$A:$A,0),MATCH(Model!AE$3,QRT!$4:$4,0)+3)</f>
        <v>0</v>
      </c>
      <c r="AF197" s="164" cm="1">
        <f t="array" ref="AF197">INDEX(QRT!$1:$1048576,MATCH(Model!$B197,QRT!$A:$A,0),MATCH(Model!AF$3,QRT!$4:$4,0)+3)</f>
        <v>0</v>
      </c>
      <c r="AG197" s="7">
        <f t="shared" ref="AG197:AN197" si="157">AF197</f>
        <v>0</v>
      </c>
      <c r="AH197" s="7">
        <f t="shared" si="157"/>
        <v>0</v>
      </c>
      <c r="AI197" s="7">
        <f t="shared" si="157"/>
        <v>0</v>
      </c>
      <c r="AJ197" s="7">
        <f t="shared" si="157"/>
        <v>0</v>
      </c>
      <c r="AK197" s="7">
        <f t="shared" si="157"/>
        <v>0</v>
      </c>
      <c r="AL197" s="7">
        <f t="shared" si="157"/>
        <v>0</v>
      </c>
      <c r="AM197" s="7">
        <f t="shared" si="157"/>
        <v>0</v>
      </c>
      <c r="AN197" s="7">
        <f t="shared" si="157"/>
        <v>0</v>
      </c>
      <c r="AO197" s="7"/>
    </row>
    <row r="198" spans="1:44" outlineLevel="1">
      <c r="A198" s="96" t="s">
        <v>145</v>
      </c>
      <c r="B198" s="96" t="s">
        <v>437</v>
      </c>
      <c r="E198" s="59" t="s">
        <v>145</v>
      </c>
      <c r="H198" s="177"/>
      <c r="I198" s="177"/>
      <c r="J198" s="177"/>
      <c r="K198" s="177"/>
      <c r="L198" s="177"/>
      <c r="M198" s="177"/>
      <c r="N198" s="177"/>
      <c r="O198" s="177"/>
      <c r="P198" s="177"/>
      <c r="Q198" s="177"/>
      <c r="R198" s="177"/>
      <c r="S198" s="177"/>
      <c r="T198" s="177"/>
      <c r="U198" s="177"/>
      <c r="V198" s="177"/>
      <c r="W198" s="177"/>
      <c r="X198" s="177"/>
      <c r="Y198" s="177">
        <f>48.907-108.714-0.106</f>
        <v>-59.913000000000004</v>
      </c>
      <c r="Z198" s="177" cm="1">
        <f t="array" ref="Z198">INDEX(QRT!$1:$1048576,MATCH(Model!$B198,QRT!$A:$A,0),MATCH(Model!Z$3,QRT!$4:$4,0)+3)</f>
        <v>-113.58999999999999</v>
      </c>
      <c r="AA198" s="177" cm="1">
        <f t="array" ref="AA198">INDEX(QRT!$1:$1048576,MATCH(Model!$B198,QRT!$A:$A,0),MATCH(Model!AA$3,QRT!$4:$4,0)+3)</f>
        <v>725.53400000000011</v>
      </c>
      <c r="AB198" s="177" cm="1">
        <f t="array" ref="AB198">INDEX(QRT!$1:$1048576,MATCH(Model!$B198,QRT!$A:$A,0),MATCH(Model!AB$3,QRT!$4:$4,0)+3)</f>
        <v>816.63599999999997</v>
      </c>
      <c r="AC198" s="177" cm="1">
        <f t="array" ref="AC198">INDEX(QRT!$1:$1048576,MATCH(Model!$B198,QRT!$A:$A,0),MATCH(Model!AC$3,QRT!$4:$4,0)+3)</f>
        <v>815.47700000000009</v>
      </c>
      <c r="AD198" s="164" cm="1">
        <f t="array" aca="1" ref="AD198" ca="1">INDEX(QRT!$1:$1048576,MATCH(Model!$B198,QRT!$A:$A,0),MATCH(Model!AD$3,QRT!$4:$4,0)+3)</f>
        <v>539.79332335412494</v>
      </c>
      <c r="AE198" s="164" cm="1">
        <f t="array" aca="1" ref="AE198" ca="1">INDEX(QRT!$1:$1048576,MATCH(Model!$B198,QRT!$A:$A,0),MATCH(Model!AE$3,QRT!$4:$4,0)+3)</f>
        <v>481.96836237369968</v>
      </c>
      <c r="AF198" s="164" cm="1">
        <f t="array" aca="1" ref="AF198" ca="1">INDEX(QRT!$1:$1048576,MATCH(Model!$B198,QRT!$A:$A,0),MATCH(Model!AF$3,QRT!$4:$4,0)+3)</f>
        <v>463.61808450901293</v>
      </c>
      <c r="AG198" s="78">
        <f t="shared" ref="AG198:AN198" ca="1" si="158">AF198+AG161+AG124+AG138</f>
        <v>529.52326808724501</v>
      </c>
      <c r="AH198" s="78">
        <f t="shared" ca="1" si="158"/>
        <v>673.3915632177999</v>
      </c>
      <c r="AI198" s="78">
        <f t="shared" ca="1" si="158"/>
        <v>916.54606953191762</v>
      </c>
      <c r="AJ198" s="78">
        <f t="shared" ca="1" si="158"/>
        <v>1286.7613327584468</v>
      </c>
      <c r="AK198" s="78">
        <f t="shared" ca="1" si="158"/>
        <v>1814.6836282851414</v>
      </c>
      <c r="AL198" s="78">
        <f t="shared" ca="1" si="158"/>
        <v>2497.7593596749016</v>
      </c>
      <c r="AM198" s="78">
        <f t="shared" ca="1" si="158"/>
        <v>3326.8538980844542</v>
      </c>
      <c r="AN198" s="78">
        <f t="shared" ca="1" si="158"/>
        <v>4300.1820928164198</v>
      </c>
      <c r="AO198" s="7"/>
    </row>
    <row r="199" spans="1:44" outlineLevel="1">
      <c r="A199" s="96" t="s">
        <v>114</v>
      </c>
      <c r="B199" s="96"/>
      <c r="E199" s="59" t="s">
        <v>114</v>
      </c>
      <c r="H199" s="177"/>
      <c r="I199" s="177"/>
      <c r="J199" s="177"/>
      <c r="K199" s="177"/>
      <c r="L199" s="177"/>
      <c r="M199" s="177"/>
      <c r="N199" s="177"/>
      <c r="O199" s="177"/>
      <c r="P199" s="177"/>
      <c r="Q199" s="177"/>
      <c r="R199" s="177"/>
      <c r="S199" s="177"/>
      <c r="T199" s="177"/>
      <c r="U199" s="177"/>
      <c r="V199" s="177"/>
      <c r="W199" s="177"/>
      <c r="X199" s="177"/>
      <c r="Y199" s="177">
        <v>0</v>
      </c>
      <c r="Z199" s="177">
        <v>0</v>
      </c>
      <c r="AA199" s="177">
        <v>0</v>
      </c>
      <c r="AB199" s="177">
        <v>0</v>
      </c>
      <c r="AC199" s="177">
        <v>0</v>
      </c>
      <c r="AD199" s="141">
        <v>0</v>
      </c>
      <c r="AE199" s="141">
        <v>0</v>
      </c>
      <c r="AF199" s="141">
        <v>0</v>
      </c>
      <c r="AG199" s="141">
        <f t="shared" ref="AG199:AN199" si="159">AF199</f>
        <v>0</v>
      </c>
      <c r="AH199" s="141">
        <f t="shared" si="159"/>
        <v>0</v>
      </c>
      <c r="AI199" s="141">
        <f t="shared" si="159"/>
        <v>0</v>
      </c>
      <c r="AJ199" s="141">
        <f t="shared" si="159"/>
        <v>0</v>
      </c>
      <c r="AK199" s="141">
        <f t="shared" si="159"/>
        <v>0</v>
      </c>
      <c r="AL199" s="141">
        <f t="shared" si="159"/>
        <v>0</v>
      </c>
      <c r="AM199" s="141">
        <f t="shared" si="159"/>
        <v>0</v>
      </c>
      <c r="AN199" s="141">
        <f t="shared" si="159"/>
        <v>0</v>
      </c>
      <c r="AO199" s="7"/>
      <c r="AP199" s="7"/>
      <c r="AQ199" s="7"/>
    </row>
    <row r="200" spans="1:44" s="3" customFormat="1" outlineLevel="1">
      <c r="A200" s="96"/>
      <c r="B200" s="96"/>
      <c r="C200" s="122"/>
      <c r="E200" s="2" t="s">
        <v>146</v>
      </c>
      <c r="F200" s="2"/>
      <c r="G200" s="2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>
        <f t="shared" ref="Y200:AN200" si="160">SUM(Y195:Y199)</f>
        <v>163.14299999999997</v>
      </c>
      <c r="Z200" s="8">
        <f t="shared" si="160"/>
        <v>298.38000000000005</v>
      </c>
      <c r="AA200" s="8">
        <f t="shared" si="160"/>
        <v>830.82400000000007</v>
      </c>
      <c r="AB200" s="8">
        <f t="shared" si="160"/>
        <v>1380.6509999999998</v>
      </c>
      <c r="AC200" s="8">
        <f>SUM(AC195:AC199)</f>
        <v>2372.0709999999999</v>
      </c>
      <c r="AD200" s="8">
        <f t="shared" ca="1" si="160"/>
        <v>2472.1134098355215</v>
      </c>
      <c r="AE200" s="8">
        <f t="shared" ca="1" si="160"/>
        <v>2517.4770487105766</v>
      </c>
      <c r="AF200" s="8">
        <f t="shared" ca="1" si="160"/>
        <v>2604.5167363985665</v>
      </c>
      <c r="AG200" s="8">
        <f t="shared" ca="1" si="160"/>
        <v>2834.8783270044105</v>
      </c>
      <c r="AH200" s="8">
        <f t="shared" ca="1" si="160"/>
        <v>3031.3311987050206</v>
      </c>
      <c r="AI200" s="8">
        <f t="shared" ca="1" si="160"/>
        <v>3377.8889998385835</v>
      </c>
      <c r="AJ200" s="8">
        <f t="shared" ca="1" si="160"/>
        <v>3818.128371089103</v>
      </c>
      <c r="AK200" s="8">
        <f t="shared" ca="1" si="160"/>
        <v>4461.7099730021455</v>
      </c>
      <c r="AL200" s="8">
        <f t="shared" ca="1" si="160"/>
        <v>5210.9693806251644</v>
      </c>
      <c r="AM200" s="8">
        <f t="shared" ca="1" si="160"/>
        <v>6134.6915296475445</v>
      </c>
      <c r="AN200" s="8">
        <f t="shared" ca="1" si="160"/>
        <v>7148.8513418531729</v>
      </c>
      <c r="AO200" s="53"/>
    </row>
    <row r="201" spans="1:44" s="83" customFormat="1" outlineLevel="1">
      <c r="A201" s="98"/>
      <c r="B201" s="98"/>
      <c r="C201" s="124"/>
      <c r="E201" s="73" t="s">
        <v>116</v>
      </c>
      <c r="F201" s="81"/>
      <c r="G201" s="81"/>
      <c r="H201" s="57"/>
      <c r="I201" s="57"/>
      <c r="J201" s="57"/>
      <c r="K201" s="57"/>
      <c r="L201" s="57"/>
      <c r="M201" s="57"/>
      <c r="N201" s="57"/>
      <c r="O201" s="57"/>
      <c r="P201" s="57"/>
      <c r="Q201" s="57"/>
      <c r="R201" s="57"/>
      <c r="S201" s="57"/>
      <c r="T201" s="57"/>
      <c r="U201" s="57"/>
      <c r="V201" s="57"/>
      <c r="W201" s="57"/>
      <c r="X201" s="57"/>
      <c r="Y201" s="74" t="b">
        <f t="shared" ref="Y201:AN201" si="161">ABS(Y200-Y182)&lt;1</f>
        <v>1</v>
      </c>
      <c r="Z201" s="74" t="b">
        <f t="shared" si="161"/>
        <v>1</v>
      </c>
      <c r="AA201" s="74" t="b">
        <f t="shared" si="161"/>
        <v>1</v>
      </c>
      <c r="AB201" s="74" t="b">
        <f t="shared" si="161"/>
        <v>1</v>
      </c>
      <c r="AC201" s="74" t="b">
        <f t="shared" si="161"/>
        <v>1</v>
      </c>
      <c r="AD201" s="74" t="b">
        <f t="shared" ca="1" si="161"/>
        <v>1</v>
      </c>
      <c r="AE201" s="74" t="b">
        <f t="shared" ca="1" si="161"/>
        <v>1</v>
      </c>
      <c r="AF201" s="74" t="b">
        <f t="shared" ca="1" si="161"/>
        <v>1</v>
      </c>
      <c r="AG201" s="74" t="b">
        <f t="shared" ca="1" si="161"/>
        <v>1</v>
      </c>
      <c r="AH201" s="74" t="b">
        <f t="shared" ca="1" si="161"/>
        <v>1</v>
      </c>
      <c r="AI201" s="74" t="b">
        <f t="shared" ca="1" si="161"/>
        <v>1</v>
      </c>
      <c r="AJ201" s="74" t="b">
        <f t="shared" ca="1" si="161"/>
        <v>1</v>
      </c>
      <c r="AK201" s="74" t="b">
        <f t="shared" ca="1" si="161"/>
        <v>1</v>
      </c>
      <c r="AL201" s="74" t="b">
        <f t="shared" ca="1" si="161"/>
        <v>1</v>
      </c>
      <c r="AM201" s="74" t="b">
        <f t="shared" ca="1" si="161"/>
        <v>1</v>
      </c>
      <c r="AN201" s="74" t="b">
        <f t="shared" ca="1" si="161"/>
        <v>1</v>
      </c>
      <c r="AO201" s="82"/>
    </row>
    <row r="202" spans="1:44" outlineLevel="1">
      <c r="H202" s="57"/>
      <c r="I202" s="57"/>
      <c r="J202" s="57"/>
      <c r="K202" s="57"/>
      <c r="L202" s="57"/>
      <c r="M202" s="57"/>
      <c r="N202" s="57"/>
      <c r="O202" s="57"/>
      <c r="P202" s="57"/>
      <c r="Q202" s="57"/>
      <c r="R202" s="57"/>
      <c r="S202" s="57"/>
      <c r="T202" s="57"/>
      <c r="U202" s="57"/>
      <c r="V202" s="57"/>
      <c r="W202" s="57"/>
      <c r="X202" s="57"/>
      <c r="Y202" s="57"/>
      <c r="Z202" s="57"/>
      <c r="AA202" s="7"/>
      <c r="AB202" s="7"/>
      <c r="AC202" s="7"/>
      <c r="AD202" s="7"/>
      <c r="AE202" s="7"/>
      <c r="AF202" s="7"/>
      <c r="AG202" s="7"/>
      <c r="AH202" s="7"/>
      <c r="AI202" s="7"/>
      <c r="AJ202" s="7"/>
      <c r="AK202" s="7"/>
      <c r="AL202" s="7"/>
      <c r="AM202" s="7"/>
      <c r="AN202" s="7"/>
      <c r="AO202" s="7"/>
      <c r="AP202" s="57"/>
      <c r="AQ202" s="57"/>
    </row>
    <row r="203" spans="1:44" outlineLevel="1">
      <c r="B203"/>
      <c r="C203"/>
      <c r="E203" t="s">
        <v>147</v>
      </c>
      <c r="G203" s="7"/>
      <c r="H203" s="7"/>
      <c r="I203" s="7"/>
      <c r="J203" s="7"/>
      <c r="K203" s="7"/>
      <c r="L203" s="7"/>
      <c r="M203" s="7"/>
      <c r="N203" s="7"/>
      <c r="O203" s="7"/>
      <c r="P203" s="7"/>
      <c r="Q203" s="7"/>
      <c r="R203" s="7"/>
      <c r="S203" s="7"/>
      <c r="T203" s="7"/>
      <c r="U203" s="7"/>
      <c r="V203" s="7"/>
      <c r="W203" s="7"/>
      <c r="X203" s="7"/>
      <c r="Y203" s="7">
        <f t="shared" ref="Y203:AN203" si="162">SUM(Y172:Y174)-SUM(Y185:Y188)</f>
        <v>-8.1900000000000013</v>
      </c>
      <c r="Z203" s="7">
        <f t="shared" si="162"/>
        <v>-25.044000000000004</v>
      </c>
      <c r="AA203" s="7">
        <f t="shared" si="162"/>
        <v>-30.95900000000001</v>
      </c>
      <c r="AB203" s="7">
        <f t="shared" si="162"/>
        <v>-43.519000000000005</v>
      </c>
      <c r="AC203" s="7">
        <f t="shared" si="162"/>
        <v>-144.87200000000004</v>
      </c>
      <c r="AD203" s="7">
        <f t="shared" si="162"/>
        <v>-190.73802703488195</v>
      </c>
      <c r="AE203" s="7">
        <f t="shared" si="162"/>
        <v>-241.57481327662086</v>
      </c>
      <c r="AF203" s="7">
        <f t="shared" si="162"/>
        <v>-296.76370835505105</v>
      </c>
      <c r="AG203" s="7">
        <f t="shared" si="162"/>
        <v>-367.18674698119924</v>
      </c>
      <c r="AH203" s="7">
        <f t="shared" si="162"/>
        <v>-398.80742505578166</v>
      </c>
      <c r="AI203" s="7">
        <f t="shared" si="162"/>
        <v>-432.56027890715438</v>
      </c>
      <c r="AJ203" s="7">
        <f t="shared" si="162"/>
        <v>-450.91064029668905</v>
      </c>
      <c r="AK203" s="7">
        <f t="shared" si="162"/>
        <v>-473.64256651517564</v>
      </c>
      <c r="AL203" s="7">
        <f t="shared" si="162"/>
        <v>-483.87780818290122</v>
      </c>
      <c r="AM203" s="7">
        <f t="shared" si="162"/>
        <v>-503.27563781158017</v>
      </c>
      <c r="AN203" s="7">
        <f t="shared" si="162"/>
        <v>-516.69523608803081</v>
      </c>
    </row>
    <row r="204" spans="1:44" outlineLevel="1">
      <c r="B204"/>
      <c r="C204"/>
      <c r="D204" s="59"/>
      <c r="E204" s="59" t="s">
        <v>213</v>
      </c>
      <c r="G204" s="76"/>
      <c r="H204" s="76"/>
      <c r="I204" s="76"/>
      <c r="J204" s="76"/>
      <c r="K204" s="76"/>
      <c r="L204" s="76"/>
      <c r="M204" s="76"/>
      <c r="N204" s="76"/>
      <c r="O204" s="76"/>
      <c r="P204" s="76"/>
      <c r="Q204" s="76"/>
      <c r="R204" s="76"/>
      <c r="S204" s="76"/>
      <c r="T204" s="76"/>
      <c r="U204" s="76"/>
      <c r="V204" s="76"/>
      <c r="W204" s="76"/>
      <c r="X204" s="76"/>
      <c r="Y204" s="76">
        <f t="shared" ref="Y204:AN204" si="163">IFERROR(+Y203/(Y104),"na")</f>
        <v>-6.0704888262980393E-2</v>
      </c>
      <c r="Z204" s="76">
        <f t="shared" si="163"/>
        <v>-0.12998121178778665</v>
      </c>
      <c r="AA204" s="76">
        <f t="shared" si="163"/>
        <v>-0.10786281190988846</v>
      </c>
      <c r="AB204" s="76">
        <f t="shared" si="163"/>
        <v>-0.10095833748976359</v>
      </c>
      <c r="AC204" s="76">
        <f t="shared" si="163"/>
        <v>-0.22069814419294792</v>
      </c>
      <c r="AD204" s="76">
        <f t="shared" si="163"/>
        <v>-0.19602817534540282</v>
      </c>
      <c r="AE204" s="76">
        <f t="shared" si="163"/>
        <v>-0.18474191153719763</v>
      </c>
      <c r="AF204" s="76">
        <f t="shared" si="163"/>
        <v>-0.17292652614269186</v>
      </c>
      <c r="AG204" s="76">
        <f t="shared" si="163"/>
        <v>-0.16716285828120128</v>
      </c>
      <c r="AH204" s="76">
        <f t="shared" si="163"/>
        <v>-0.14549305627228498</v>
      </c>
      <c r="AI204" s="76">
        <f t="shared" si="163"/>
        <v>-0.12966473934657569</v>
      </c>
      <c r="AJ204" s="76">
        <f t="shared" si="163"/>
        <v>-0.11358767998560841</v>
      </c>
      <c r="AK204" s="76">
        <f t="shared" si="163"/>
        <v>-0.10219644584789198</v>
      </c>
      <c r="AL204" s="76">
        <f t="shared" si="163"/>
        <v>-9.1185502121001724E-2</v>
      </c>
      <c r="AM204" s="76">
        <f t="shared" si="163"/>
        <v>-8.4246060895736052E-2</v>
      </c>
      <c r="AN204" s="76">
        <f t="shared" si="163"/>
        <v>-7.8127288644236806E-2</v>
      </c>
    </row>
    <row r="205" spans="1:44" outlineLevel="1">
      <c r="B205"/>
      <c r="C205"/>
      <c r="E205" t="s">
        <v>549</v>
      </c>
      <c r="G205" s="76"/>
      <c r="H205" s="76"/>
      <c r="I205" s="76"/>
      <c r="J205" s="76"/>
      <c r="K205" s="7"/>
      <c r="L205" s="7"/>
      <c r="M205" s="7"/>
      <c r="N205" s="7"/>
      <c r="O205" s="7"/>
      <c r="P205" s="7"/>
      <c r="Q205" s="7"/>
      <c r="R205" s="7"/>
      <c r="S205" s="7"/>
      <c r="T205" s="7"/>
      <c r="U205" s="7"/>
      <c r="V205" s="7"/>
      <c r="W205" s="7"/>
      <c r="X205" s="7"/>
      <c r="Y205" s="7">
        <f t="shared" ref="Y205:AF205" si="164">+(Y172+Y174-Y185-Y188)</f>
        <v>2.6999999999999691E-2</v>
      </c>
      <c r="Z205" s="7">
        <f t="shared" si="164"/>
        <v>-9.7790000000000035</v>
      </c>
      <c r="AA205" s="7">
        <f t="shared" si="164"/>
        <v>-2.1790000000000038</v>
      </c>
      <c r="AB205" s="7">
        <f t="shared" si="164"/>
        <v>25.605000000000011</v>
      </c>
      <c r="AC205" s="7">
        <f t="shared" si="164"/>
        <v>-9.2299999999999791</v>
      </c>
      <c r="AD205" s="7">
        <f t="shared" si="164"/>
        <v>5.4340858805767649</v>
      </c>
      <c r="AE205" s="7">
        <f t="shared" si="164"/>
        <v>7.2725767782179442</v>
      </c>
      <c r="AF205" s="7">
        <f t="shared" si="164"/>
        <v>9.4876420141231446</v>
      </c>
      <c r="AG205" s="58">
        <f t="shared" ref="AG205:AN205" si="165">+(AG104)*AG206</f>
        <v>0</v>
      </c>
      <c r="AH205" s="58">
        <f t="shared" si="165"/>
        <v>0</v>
      </c>
      <c r="AI205" s="58">
        <f t="shared" si="165"/>
        <v>0</v>
      </c>
      <c r="AJ205" s="58">
        <f t="shared" si="165"/>
        <v>0</v>
      </c>
      <c r="AK205" s="58">
        <f t="shared" si="165"/>
        <v>0</v>
      </c>
      <c r="AL205" s="58">
        <f t="shared" si="165"/>
        <v>0</v>
      </c>
      <c r="AM205" s="58">
        <f t="shared" si="165"/>
        <v>0</v>
      </c>
      <c r="AN205" s="58">
        <f t="shared" si="165"/>
        <v>0</v>
      </c>
      <c r="AR205" s="7"/>
    </row>
    <row r="206" spans="1:44" outlineLevel="1">
      <c r="B206"/>
      <c r="C206"/>
      <c r="D206" s="59"/>
      <c r="E206" s="59" t="s">
        <v>550</v>
      </c>
      <c r="G206" s="76"/>
      <c r="H206" s="76"/>
      <c r="I206" s="76"/>
      <c r="J206" s="76"/>
      <c r="K206" s="76"/>
      <c r="L206" s="76"/>
      <c r="M206" s="76"/>
      <c r="N206" s="76"/>
      <c r="O206" s="76"/>
      <c r="P206" s="76"/>
      <c r="Q206" s="76"/>
      <c r="R206" s="76"/>
      <c r="S206" s="76"/>
      <c r="T206" s="76"/>
      <c r="U206" s="76"/>
      <c r="V206" s="76"/>
      <c r="W206" s="76"/>
      <c r="X206" s="76"/>
      <c r="Y206" s="76">
        <f t="shared" ref="Y206:AF206" si="166">Y205/(Y104)</f>
        <v>2.001260052625704E-4</v>
      </c>
      <c r="Z206" s="76">
        <f t="shared" si="166"/>
        <v>-5.0754123545470611E-2</v>
      </c>
      <c r="AA206" s="76">
        <f t="shared" si="166"/>
        <v>-7.5917525485851376E-3</v>
      </c>
      <c r="AB206" s="76">
        <f t="shared" si="166"/>
        <v>5.9400221315411603E-2</v>
      </c>
      <c r="AC206" s="76">
        <f t="shared" si="166"/>
        <v>-1.4060990880921808E-2</v>
      </c>
      <c r="AD206" s="76">
        <f t="shared" si="166"/>
        <v>5.5848010824022572E-3</v>
      </c>
      <c r="AE206" s="76">
        <f t="shared" si="166"/>
        <v>5.5616300291643165E-3</v>
      </c>
      <c r="AF206" s="76">
        <f t="shared" si="166"/>
        <v>5.5285229581538307E-3</v>
      </c>
      <c r="AG206" s="166">
        <v>0</v>
      </c>
      <c r="AH206" s="166">
        <v>0</v>
      </c>
      <c r="AI206" s="166">
        <v>0</v>
      </c>
      <c r="AJ206" s="166">
        <v>0</v>
      </c>
      <c r="AK206" s="166">
        <v>0</v>
      </c>
      <c r="AL206" s="166">
        <v>0</v>
      </c>
      <c r="AM206" s="166">
        <v>0</v>
      </c>
      <c r="AN206" s="166">
        <v>0</v>
      </c>
    </row>
    <row r="207" spans="1:44" outlineLevel="1">
      <c r="B207"/>
      <c r="C207"/>
      <c r="G207" s="57"/>
      <c r="H207" s="57"/>
      <c r="I207" s="57"/>
      <c r="J207" s="57"/>
      <c r="K207" s="57"/>
      <c r="L207" s="57"/>
      <c r="M207" s="57"/>
      <c r="N207" s="57"/>
      <c r="O207" s="57"/>
      <c r="P207" s="57"/>
      <c r="Q207" s="57"/>
      <c r="R207" s="57"/>
      <c r="S207" s="57"/>
      <c r="T207" s="57"/>
      <c r="U207" s="7"/>
      <c r="V207" s="7"/>
      <c r="W207" s="7"/>
      <c r="X207" s="7"/>
      <c r="Y207" s="7"/>
      <c r="Z207" s="7"/>
      <c r="AA207" s="7"/>
      <c r="AB207" s="7"/>
      <c r="AC207" s="7"/>
      <c r="AD207" s="7"/>
      <c r="AE207" s="7"/>
      <c r="AF207" s="7"/>
      <c r="AG207" s="7"/>
      <c r="AH207" s="7"/>
      <c r="AI207" s="7"/>
      <c r="AJ207" s="7"/>
      <c r="AK207" s="7"/>
      <c r="AL207" s="7"/>
      <c r="AM207" s="7"/>
    </row>
    <row r="208" spans="1:44" outlineLevel="1">
      <c r="B208"/>
      <c r="C208"/>
      <c r="E208" t="s">
        <v>551</v>
      </c>
      <c r="G208" s="7"/>
      <c r="H208" s="7"/>
      <c r="I208" s="7"/>
      <c r="J208" s="7"/>
      <c r="K208" s="7"/>
      <c r="L208" s="7"/>
      <c r="M208" s="7"/>
      <c r="N208" s="7"/>
      <c r="O208" s="7"/>
      <c r="P208" s="7"/>
      <c r="Q208" s="7"/>
      <c r="R208" s="7"/>
      <c r="S208" s="7"/>
      <c r="T208" s="7"/>
      <c r="U208" s="7"/>
      <c r="V208" s="7"/>
      <c r="W208" s="7"/>
      <c r="X208" s="7"/>
      <c r="Y208" s="7"/>
      <c r="Z208" s="7">
        <f>(+Z205-Y205)</f>
        <v>-9.8060000000000027</v>
      </c>
      <c r="AA208" s="7">
        <f>+AA205-Z205</f>
        <v>7.6</v>
      </c>
      <c r="AB208" s="7">
        <f>+AB205-AA205</f>
        <v>27.784000000000013</v>
      </c>
      <c r="AC208" s="7">
        <f>+AC205-AB205</f>
        <v>-34.834999999999994</v>
      </c>
      <c r="AD208" s="7">
        <f>+AD205-AC205</f>
        <v>14.664085880576744</v>
      </c>
      <c r="AE208" s="7">
        <f>+AE205-AD205</f>
        <v>1.8384908976411793</v>
      </c>
      <c r="AF208" s="7">
        <f t="shared" ref="AF208:AN208" si="167">+AF205-AE205</f>
        <v>2.2150652359052003</v>
      </c>
      <c r="AG208" s="7">
        <f t="shared" si="167"/>
        <v>-9.4876420141231446</v>
      </c>
      <c r="AH208" s="7">
        <f t="shared" si="167"/>
        <v>0</v>
      </c>
      <c r="AI208" s="7">
        <f t="shared" si="167"/>
        <v>0</v>
      </c>
      <c r="AJ208" s="7">
        <f t="shared" si="167"/>
        <v>0</v>
      </c>
      <c r="AK208" s="7">
        <f t="shared" si="167"/>
        <v>0</v>
      </c>
      <c r="AL208" s="7">
        <f t="shared" si="167"/>
        <v>0</v>
      </c>
      <c r="AM208" s="7">
        <f t="shared" si="167"/>
        <v>0</v>
      </c>
      <c r="AN208" s="7">
        <f t="shared" si="167"/>
        <v>0</v>
      </c>
    </row>
    <row r="209" spans="1:41" outlineLevel="1">
      <c r="B209"/>
      <c r="C209"/>
      <c r="E209" t="s">
        <v>552</v>
      </c>
      <c r="G209" s="7"/>
      <c r="H209" s="7"/>
      <c r="I209" s="7"/>
      <c r="J209" s="7"/>
      <c r="K209" s="7"/>
      <c r="L209" s="7"/>
      <c r="M209" s="7"/>
      <c r="N209" s="7"/>
      <c r="O209" s="7"/>
      <c r="P209" s="7"/>
      <c r="Q209" s="7"/>
      <c r="R209" s="7"/>
      <c r="S209" s="7"/>
      <c r="T209" s="7"/>
      <c r="U209" s="7"/>
      <c r="V209" s="7"/>
      <c r="W209" s="7"/>
      <c r="X209" s="7"/>
      <c r="Y209" s="7"/>
      <c r="Z209" s="7">
        <f t="shared" ref="Z209:AN209" si="168">-(Z148+(Z173-Y173))</f>
        <v>6.4160000000000004</v>
      </c>
      <c r="AA209" s="7">
        <f t="shared" si="168"/>
        <v>6.9279999999999999</v>
      </c>
      <c r="AB209" s="7">
        <f t="shared" si="168"/>
        <v>27.744999999999997</v>
      </c>
      <c r="AC209" s="7">
        <f t="shared" si="168"/>
        <v>-20.024000000000004</v>
      </c>
      <c r="AD209" s="7">
        <f t="shared" si="168"/>
        <v>42.728085880576771</v>
      </c>
      <c r="AE209" s="7">
        <f t="shared" si="168"/>
        <v>1.8384908976411767</v>
      </c>
      <c r="AF209" s="7">
        <f t="shared" si="168"/>
        <v>2.2150652359052074</v>
      </c>
      <c r="AG209" s="7">
        <f t="shared" si="168"/>
        <v>-9.4876420141231517</v>
      </c>
      <c r="AH209" s="7">
        <f t="shared" si="168"/>
        <v>7.1054273576010019E-15</v>
      </c>
      <c r="AI209" s="7">
        <f t="shared" si="168"/>
        <v>-3.5527136788005009E-15</v>
      </c>
      <c r="AJ209" s="7">
        <f t="shared" si="168"/>
        <v>2.1316282072803006E-14</v>
      </c>
      <c r="AK209" s="7">
        <f t="shared" si="168"/>
        <v>-7.1054273576010019E-15</v>
      </c>
      <c r="AL209" s="7">
        <f t="shared" si="168"/>
        <v>3.5527136788005009E-15</v>
      </c>
      <c r="AM209" s="7">
        <f t="shared" si="168"/>
        <v>-3.5527136788005009E-15</v>
      </c>
      <c r="AN209" s="7">
        <f t="shared" si="168"/>
        <v>-1.7763568394002505E-14</v>
      </c>
    </row>
    <row r="210" spans="1:41" outlineLevel="1">
      <c r="B210"/>
      <c r="C210"/>
      <c r="D210" s="73"/>
      <c r="E210" s="73" t="s">
        <v>208</v>
      </c>
      <c r="G210" s="7"/>
      <c r="H210" s="7"/>
      <c r="I210" s="7"/>
      <c r="J210" s="7"/>
      <c r="K210" s="7"/>
      <c r="L210" s="7"/>
      <c r="M210" s="7"/>
      <c r="N210" s="7"/>
      <c r="O210" s="7"/>
      <c r="P210" s="7"/>
      <c r="Q210" s="7"/>
      <c r="R210" s="7"/>
      <c r="S210" s="7"/>
      <c r="T210" s="7"/>
      <c r="U210" s="7"/>
      <c r="V210" s="7"/>
      <c r="W210" s="7"/>
      <c r="X210" s="7"/>
      <c r="Y210" s="7"/>
      <c r="Z210" s="7">
        <f t="shared" ref="Z210:AF210" si="169">Z208-Z209</f>
        <v>-16.222000000000001</v>
      </c>
      <c r="AA210" s="7">
        <f t="shared" si="169"/>
        <v>0.67199999999999971</v>
      </c>
      <c r="AB210" s="7">
        <f t="shared" si="169"/>
        <v>3.9000000000015689E-2</v>
      </c>
      <c r="AC210" s="7">
        <f t="shared" si="169"/>
        <v>-14.810999999999989</v>
      </c>
      <c r="AD210" s="7">
        <f t="shared" si="169"/>
        <v>-28.064000000000028</v>
      </c>
      <c r="AE210" s="7">
        <f t="shared" si="169"/>
        <v>2.6645352591003757E-15</v>
      </c>
      <c r="AF210" s="7">
        <f t="shared" si="169"/>
        <v>-7.1054273576010019E-15</v>
      </c>
      <c r="AG210" s="7">
        <f t="shared" ref="AG210:AN210" si="170">AG208-AG209</f>
        <v>0</v>
      </c>
      <c r="AH210" s="7">
        <f t="shared" si="170"/>
        <v>-7.1054273576010019E-15</v>
      </c>
      <c r="AI210" s="7">
        <f t="shared" si="170"/>
        <v>3.5527136788005009E-15</v>
      </c>
      <c r="AJ210" s="7">
        <f t="shared" si="170"/>
        <v>-2.1316282072803006E-14</v>
      </c>
      <c r="AK210" s="7">
        <f t="shared" si="170"/>
        <v>7.1054273576010019E-15</v>
      </c>
      <c r="AL210" s="7">
        <f t="shared" si="170"/>
        <v>-3.5527136788005009E-15</v>
      </c>
      <c r="AM210" s="7">
        <f t="shared" si="170"/>
        <v>3.5527136788005009E-15</v>
      </c>
      <c r="AN210" s="7">
        <f t="shared" si="170"/>
        <v>1.7763568394002505E-14</v>
      </c>
    </row>
    <row r="211" spans="1:41">
      <c r="A211" s="96"/>
      <c r="B211"/>
      <c r="C211"/>
      <c r="G211" s="7"/>
      <c r="H211" s="7"/>
      <c r="I211" s="7"/>
      <c r="J211" s="7"/>
      <c r="K211" s="57"/>
      <c r="L211" s="57"/>
      <c r="M211" s="57"/>
      <c r="N211" s="57"/>
      <c r="O211" s="57"/>
      <c r="P211" s="57"/>
      <c r="Q211" s="57"/>
      <c r="R211" s="57"/>
      <c r="S211" s="57"/>
      <c r="T211" s="57"/>
      <c r="U211" s="7"/>
      <c r="V211" s="7"/>
      <c r="W211" s="7"/>
      <c r="X211" s="7"/>
      <c r="Y211" s="7"/>
      <c r="Z211" s="7"/>
      <c r="AA211" s="7"/>
      <c r="AB211" s="7"/>
      <c r="AC211" s="7"/>
      <c r="AD211" s="7"/>
      <c r="AE211" s="7"/>
      <c r="AF211" s="7"/>
      <c r="AG211" s="248"/>
      <c r="AH211" s="247"/>
      <c r="AI211" s="247"/>
      <c r="AJ211" s="247"/>
      <c r="AK211" s="7"/>
      <c r="AL211" s="7"/>
      <c r="AM211" s="7"/>
    </row>
    <row r="212" spans="1:41">
      <c r="A212" s="96"/>
      <c r="B212"/>
      <c r="D212" s="269"/>
      <c r="E212" s="91" t="s">
        <v>569</v>
      </c>
      <c r="F212" s="90"/>
      <c r="G212" s="90"/>
      <c r="H212" s="90"/>
      <c r="I212" s="90"/>
      <c r="J212" s="90"/>
      <c r="K212" s="90"/>
      <c r="L212" s="90"/>
      <c r="M212" s="90"/>
      <c r="N212" s="153"/>
      <c r="O212" s="153"/>
      <c r="P212" s="153"/>
      <c r="Q212" s="153"/>
      <c r="R212" s="153"/>
      <c r="S212" s="153"/>
      <c r="T212" s="153"/>
      <c r="U212" s="153"/>
      <c r="V212" s="153"/>
      <c r="W212" s="153"/>
      <c r="X212" s="153"/>
      <c r="Y212" s="153"/>
      <c r="Z212" s="90"/>
      <c r="AA212" s="90"/>
      <c r="AB212" s="90"/>
      <c r="AC212" s="90"/>
      <c r="AD212" s="90"/>
      <c r="AE212" s="90"/>
      <c r="AF212" s="90"/>
      <c r="AG212" s="90"/>
      <c r="AH212" s="90"/>
      <c r="AI212" s="90"/>
      <c r="AJ212" s="90"/>
      <c r="AK212" s="90"/>
      <c r="AL212" s="90"/>
      <c r="AM212" s="90"/>
      <c r="AN212" s="90"/>
    </row>
    <row r="213" spans="1:41" ht="5.0999999999999996" customHeight="1">
      <c r="A213" s="96"/>
      <c r="B213" s="52"/>
      <c r="C213" s="121"/>
      <c r="D213" s="270"/>
      <c r="E213" s="52"/>
      <c r="F213" s="52"/>
      <c r="G213" s="52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  <c r="Z213" s="52"/>
      <c r="AA213" s="52"/>
      <c r="AB213" s="52"/>
      <c r="AC213" s="52"/>
      <c r="AD213" s="52"/>
      <c r="AE213" s="52"/>
      <c r="AF213" s="52"/>
      <c r="AG213" s="52"/>
      <c r="AH213" s="52"/>
      <c r="AI213" s="52"/>
      <c r="AJ213" s="52"/>
      <c r="AK213" s="52"/>
      <c r="AL213" s="52"/>
      <c r="AM213" s="52"/>
      <c r="AN213" s="52"/>
    </row>
    <row r="214" spans="1:41" s="3" customFormat="1" outlineLevel="1">
      <c r="A214" s="96"/>
      <c r="C214" s="122"/>
      <c r="D214" s="271"/>
      <c r="E214" s="249" t="s">
        <v>565</v>
      </c>
      <c r="G214" s="273"/>
      <c r="H214" s="53">
        <f t="shared" ref="H214:AL214" si="171">G216</f>
        <v>0</v>
      </c>
      <c r="I214" s="53">
        <f t="shared" si="171"/>
        <v>0</v>
      </c>
      <c r="J214" s="53">
        <f t="shared" si="171"/>
        <v>0</v>
      </c>
      <c r="K214" s="53">
        <f t="shared" si="171"/>
        <v>0</v>
      </c>
      <c r="L214" s="53">
        <f t="shared" si="171"/>
        <v>0</v>
      </c>
      <c r="M214" s="53">
        <f t="shared" si="171"/>
        <v>0</v>
      </c>
      <c r="N214" s="53">
        <f t="shared" si="171"/>
        <v>0</v>
      </c>
      <c r="O214" s="53">
        <f t="shared" si="171"/>
        <v>0</v>
      </c>
      <c r="P214" s="53">
        <f t="shared" si="171"/>
        <v>0</v>
      </c>
      <c r="Q214" s="53">
        <f t="shared" si="171"/>
        <v>0</v>
      </c>
      <c r="R214" s="53">
        <f t="shared" si="171"/>
        <v>0</v>
      </c>
      <c r="S214" s="53">
        <f t="shared" si="171"/>
        <v>0</v>
      </c>
      <c r="T214" s="53">
        <f t="shared" si="171"/>
        <v>0</v>
      </c>
      <c r="U214" s="53">
        <f t="shared" si="171"/>
        <v>0</v>
      </c>
      <c r="V214" s="53">
        <f t="shared" si="171"/>
        <v>0</v>
      </c>
      <c r="W214" s="53">
        <f t="shared" si="171"/>
        <v>0</v>
      </c>
      <c r="X214" s="53">
        <f t="shared" si="171"/>
        <v>0</v>
      </c>
      <c r="Y214" s="53">
        <f t="shared" si="171"/>
        <v>0</v>
      </c>
      <c r="Z214" s="53">
        <f t="shared" si="171"/>
        <v>0</v>
      </c>
      <c r="AA214" s="53">
        <f t="shared" si="171"/>
        <v>91.542000000000002</v>
      </c>
      <c r="AB214" s="53">
        <f t="shared" si="171"/>
        <v>300.173</v>
      </c>
      <c r="AC214" s="53">
        <f t="shared" si="171"/>
        <v>308.64</v>
      </c>
      <c r="AD214" s="53">
        <f t="shared" si="171"/>
        <v>323.61200000000002</v>
      </c>
      <c r="AE214" s="53">
        <f t="shared" si="171"/>
        <v>328.60500197652965</v>
      </c>
      <c r="AF214" s="53">
        <f t="shared" si="171"/>
        <v>331.12383396112892</v>
      </c>
      <c r="AG214" s="53">
        <f t="shared" si="171"/>
        <v>333.88038083003772</v>
      </c>
      <c r="AH214" s="53">
        <f t="shared" ca="1" si="171"/>
        <v>336.44108023417897</v>
      </c>
      <c r="AI214" s="53">
        <f t="shared" ca="1" si="171"/>
        <v>338.8025452978178</v>
      </c>
      <c r="AJ214" s="53">
        <f t="shared" ca="1" si="171"/>
        <v>340.96199234220563</v>
      </c>
      <c r="AK214" s="53">
        <f t="shared" ca="1" si="171"/>
        <v>342.91489632632891</v>
      </c>
      <c r="AL214" s="53">
        <f t="shared" ca="1" si="171"/>
        <v>344.6599651466762</v>
      </c>
      <c r="AM214" s="53">
        <f ca="1">AL216</f>
        <v>346.21243509376046</v>
      </c>
      <c r="AN214" s="53">
        <f ca="1">AM216</f>
        <v>347.58194048585608</v>
      </c>
    </row>
    <row r="215" spans="1:41" outlineLevel="1">
      <c r="A215" s="96"/>
      <c r="B215"/>
      <c r="D215" s="272"/>
      <c r="E215" s="185" t="s">
        <v>541</v>
      </c>
      <c r="G215" s="78"/>
      <c r="H215" s="7">
        <f t="shared" ref="H215:Z215" si="172">H216-H214</f>
        <v>0</v>
      </c>
      <c r="I215" s="7">
        <f t="shared" si="172"/>
        <v>0</v>
      </c>
      <c r="J215" s="7">
        <f t="shared" si="172"/>
        <v>0</v>
      </c>
      <c r="K215" s="7">
        <f t="shared" si="172"/>
        <v>0</v>
      </c>
      <c r="L215" s="7">
        <f t="shared" si="172"/>
        <v>0</v>
      </c>
      <c r="M215" s="7">
        <f t="shared" si="172"/>
        <v>0</v>
      </c>
      <c r="N215" s="7">
        <f t="shared" si="172"/>
        <v>0</v>
      </c>
      <c r="O215" s="7">
        <f t="shared" si="172"/>
        <v>0</v>
      </c>
      <c r="P215" s="7">
        <f t="shared" si="172"/>
        <v>0</v>
      </c>
      <c r="Q215" s="7">
        <f t="shared" si="172"/>
        <v>0</v>
      </c>
      <c r="R215" s="7">
        <f t="shared" si="172"/>
        <v>0</v>
      </c>
      <c r="S215" s="7">
        <f t="shared" si="172"/>
        <v>0</v>
      </c>
      <c r="T215" s="7">
        <f t="shared" si="172"/>
        <v>0</v>
      </c>
      <c r="U215" s="7">
        <f t="shared" si="172"/>
        <v>0</v>
      </c>
      <c r="V215" s="7">
        <f t="shared" si="172"/>
        <v>0</v>
      </c>
      <c r="W215" s="7">
        <f t="shared" si="172"/>
        <v>0</v>
      </c>
      <c r="X215" s="7">
        <f t="shared" si="172"/>
        <v>0</v>
      </c>
      <c r="Y215" s="7">
        <f t="shared" si="172"/>
        <v>0</v>
      </c>
      <c r="Z215" s="7">
        <f t="shared" si="172"/>
        <v>91.542000000000002</v>
      </c>
      <c r="AA215" s="7">
        <f t="shared" ref="AA215:AF215" si="173">AA216-AA214</f>
        <v>208.631</v>
      </c>
      <c r="AB215" s="7">
        <f t="shared" si="173"/>
        <v>8.4669999999999845</v>
      </c>
      <c r="AC215" s="7">
        <f t="shared" si="173"/>
        <v>14.972000000000037</v>
      </c>
      <c r="AD215" s="7">
        <f t="shared" si="173"/>
        <v>4.9930019765296265</v>
      </c>
      <c r="AE215" s="7">
        <f t="shared" si="173"/>
        <v>2.5188319845992737</v>
      </c>
      <c r="AF215" s="7">
        <f t="shared" si="173"/>
        <v>2.7565468689087993</v>
      </c>
      <c r="AG215" s="164">
        <f t="shared" ref="AG215:AN215" ca="1" si="174">IFERROR((AG160+AG138)/AG218,0)</f>
        <v>2.5606994041412294</v>
      </c>
      <c r="AH215" s="164">
        <f t="shared" ca="1" si="174"/>
        <v>2.3614650636388568</v>
      </c>
      <c r="AI215" s="164">
        <f t="shared" ca="1" si="174"/>
        <v>2.1594470443878415</v>
      </c>
      <c r="AJ215" s="164">
        <f t="shared" ca="1" si="174"/>
        <v>1.9529039841232696</v>
      </c>
      <c r="AK215" s="164">
        <f t="shared" ca="1" si="174"/>
        <v>1.7450688203472684</v>
      </c>
      <c r="AL215" s="164">
        <f t="shared" ca="1" si="174"/>
        <v>1.5524699470842458</v>
      </c>
      <c r="AM215" s="164">
        <f t="shared" ca="1" si="174"/>
        <v>1.3695053920956053</v>
      </c>
      <c r="AN215" s="164">
        <f t="shared" ca="1" si="174"/>
        <v>1.1842588942335099</v>
      </c>
    </row>
    <row r="216" spans="1:41" s="3" customFormat="1" outlineLevel="1">
      <c r="A216" s="96" t="s">
        <v>566</v>
      </c>
      <c r="B216" s="96" t="s">
        <v>566</v>
      </c>
      <c r="C216" s="122"/>
      <c r="D216" s="271"/>
      <c r="E216" s="250" t="s">
        <v>566</v>
      </c>
      <c r="F216" s="193"/>
      <c r="G216" s="254"/>
      <c r="H216" s="221"/>
      <c r="I216" s="221"/>
      <c r="J216" s="221"/>
      <c r="K216" s="221"/>
      <c r="L216" s="221"/>
      <c r="M216" s="221"/>
      <c r="N216" s="221"/>
      <c r="O216" s="221"/>
      <c r="P216" s="221"/>
      <c r="Q216" s="221"/>
      <c r="R216" s="221"/>
      <c r="S216" s="221"/>
      <c r="T216" s="221"/>
      <c r="U216" s="221"/>
      <c r="V216" s="221"/>
      <c r="W216" s="221"/>
      <c r="X216" s="221"/>
      <c r="Y216" s="221">
        <v>0</v>
      </c>
      <c r="Z216" s="221" cm="1">
        <f t="array" ref="Z216">INDEX(QRT!$1:$1048576,MATCH(Model!$B216,QRT!$A:$A,0),MATCH(Model!Z$3,QRT!$4:$4,0)+3)</f>
        <v>91.542000000000002</v>
      </c>
      <c r="AA216" s="221" cm="1">
        <f t="array" ref="AA216">INDEX(QRT!$1:$1048576,MATCH(Model!$B216,QRT!$A:$A,0),MATCH(Model!AA$3,QRT!$4:$4,0)+3)</f>
        <v>300.173</v>
      </c>
      <c r="AB216" s="221" cm="1">
        <f t="array" ref="AB216">INDEX(QRT!$1:$1048576,MATCH(Model!$B216,QRT!$A:$A,0),MATCH(Model!AB$3,QRT!$4:$4,0)+3)</f>
        <v>308.64</v>
      </c>
      <c r="AC216" s="221" cm="1">
        <f t="array" ref="AC216">INDEX(QRT!$1:$1048576,MATCH(Model!$B216,QRT!$A:$A,0),MATCH(Model!AC$3,QRT!$4:$4,0)+3)</f>
        <v>323.61200000000002</v>
      </c>
      <c r="AD216" s="210" cm="1">
        <f t="array" ref="AD216">INDEX(QRT!$1:$1048576,MATCH(Model!$B216,QRT!$A:$A,0),MATCH(Model!AD$3,QRT!$4:$4,0)+3)</f>
        <v>328.60500197652965</v>
      </c>
      <c r="AE216" s="210" cm="1">
        <f t="array" ref="AE216">INDEX(QRT!$1:$1048576,MATCH(Model!$B216,QRT!$A:$A,0),MATCH(Model!AE$3,QRT!$4:$4,0)+3)</f>
        <v>331.12383396112892</v>
      </c>
      <c r="AF216" s="210" cm="1">
        <f t="array" ref="AF216">INDEX(QRT!$1:$1048576,MATCH(Model!$B216,QRT!$A:$A,0),MATCH(Model!AF$3,QRT!$4:$4,0)+3)</f>
        <v>333.88038083003772</v>
      </c>
      <c r="AG216" s="211">
        <f t="shared" ref="AG216:AL216" ca="1" si="175">SUM(AG214:AG215)</f>
        <v>336.44108023417897</v>
      </c>
      <c r="AH216" s="211">
        <f t="shared" ca="1" si="175"/>
        <v>338.8025452978178</v>
      </c>
      <c r="AI216" s="211">
        <f t="shared" ca="1" si="175"/>
        <v>340.96199234220563</v>
      </c>
      <c r="AJ216" s="211">
        <f t="shared" ca="1" si="175"/>
        <v>342.91489632632891</v>
      </c>
      <c r="AK216" s="211">
        <f t="shared" ca="1" si="175"/>
        <v>344.6599651466762</v>
      </c>
      <c r="AL216" s="211">
        <f t="shared" ca="1" si="175"/>
        <v>346.21243509376046</v>
      </c>
      <c r="AM216" s="211">
        <f ca="1">SUM(AM214:AM215)</f>
        <v>347.58194048585608</v>
      </c>
      <c r="AN216" s="211">
        <f ca="1">SUM(AN214:AN215)</f>
        <v>348.76619938008957</v>
      </c>
    </row>
    <row r="217" spans="1:41" outlineLevel="1">
      <c r="A217" s="96"/>
      <c r="B217" s="96"/>
      <c r="C217" s="78"/>
      <c r="D217" s="205"/>
      <c r="E217" s="7"/>
      <c r="F217" s="7"/>
      <c r="G217" s="7"/>
      <c r="H217" s="7"/>
      <c r="I217" s="7"/>
      <c r="J217" s="7"/>
      <c r="K217" s="7"/>
      <c r="L217" s="7"/>
      <c r="M217" s="7"/>
      <c r="N217" s="7"/>
      <c r="O217" s="7"/>
      <c r="P217" s="7"/>
      <c r="Q217" s="7"/>
      <c r="R217" s="7"/>
      <c r="S217" s="7"/>
      <c r="T217" s="7"/>
      <c r="U217" s="7"/>
      <c r="V217" s="7"/>
      <c r="W217" s="7"/>
      <c r="X217" s="7"/>
      <c r="Y217" s="7"/>
      <c r="Z217" s="7"/>
      <c r="AA217" s="7"/>
      <c r="AB217" s="7"/>
      <c r="AC217" s="7"/>
      <c r="AD217" s="7"/>
      <c r="AE217" s="7"/>
      <c r="AF217" s="7"/>
      <c r="AG217" s="7"/>
      <c r="AH217" s="7"/>
      <c r="AI217" s="7"/>
      <c r="AJ217" s="7"/>
      <c r="AK217" s="7"/>
      <c r="AL217" s="7"/>
      <c r="AM217" s="7"/>
      <c r="AN217" s="7"/>
    </row>
    <row r="218" spans="1:41" outlineLevel="1">
      <c r="A218" s="96"/>
      <c r="B218" s="96" t="s">
        <v>567</v>
      </c>
      <c r="C218" s="78"/>
      <c r="D218" s="205"/>
      <c r="E218" s="7" t="s">
        <v>567</v>
      </c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261"/>
      <c r="R218" s="261"/>
      <c r="S218" s="261"/>
      <c r="T218" s="261"/>
      <c r="U218" s="261"/>
      <c r="V218" s="261"/>
      <c r="W218" s="261"/>
      <c r="X218" s="261"/>
      <c r="Y218" s="261"/>
      <c r="Z218" s="261"/>
      <c r="AA218" s="261">
        <f>AVERAGE(INDEX(QRT!$1:$1048576,MATCH(Model!$B218,QRT!$A:$A,0),MATCH(Model!AA$3,QRT!$4:$4,0)),INDEX(QRT!$1:$1048576,MATCH(Model!$B218,QRT!$A:$A,0),MATCH(Model!AA$3,QRT!$4:$4,0)+1),INDEX(QRT!$1:$1048576,MATCH(Model!$B218,QRT!$A:$A,0),MATCH(Model!AA$3,QRT!$4:$4,0)+2),INDEX(QRT!$1:$1048576,MATCH(Model!$B218,QRT!$A:$A,0),MATCH(Model!AA$3,QRT!$4:$4,0)+3))</f>
        <v>18.185000000000002</v>
      </c>
      <c r="AB218" s="261">
        <f>AVERAGE(INDEX(QRT!$1:$1048576,MATCH(Model!$B218,QRT!$A:$A,0),MATCH(Model!AB$3,QRT!$4:$4,0)),INDEX(QRT!$1:$1048576,MATCH(Model!$B218,QRT!$A:$A,0),MATCH(Model!AB$3,QRT!$4:$4,0)+1),INDEX(QRT!$1:$1048576,MATCH(Model!$B218,QRT!$A:$A,0),MATCH(Model!AB$3,QRT!$4:$4,0)+2),INDEX(QRT!$1:$1048576,MATCH(Model!$B218,QRT!$A:$A,0),MATCH(Model!AB$3,QRT!$4:$4,0)+3))</f>
        <v>37.795000000000002</v>
      </c>
      <c r="AC218" s="261">
        <f>AVERAGE(INDEX(QRT!$1:$1048576,MATCH(Model!$B218,QRT!$A:$A,0),MATCH(Model!AC$3,QRT!$4:$4,0)),INDEX(QRT!$1:$1048576,MATCH(Model!$B218,QRT!$A:$A,0),MATCH(Model!AC$3,QRT!$4:$4,0)+1),INDEX(QRT!$1:$1048576,MATCH(Model!$B218,QRT!$A:$A,0),MATCH(Model!AC$3,QRT!$4:$4,0)+2),INDEX(QRT!$1:$1048576,MATCH(Model!$B218,QRT!$A:$A,0),MATCH(Model!AC$3,QRT!$4:$4,0)+3))</f>
        <v>111.7225</v>
      </c>
      <c r="AD218" s="274">
        <f>AVERAGE(INDEX(QRT!$1:$1048576,MATCH(Model!$B218,QRT!$A:$A,0),MATCH(Model!AD$3,QRT!$4:$4,0)),INDEX(QRT!$1:$1048576,MATCH(Model!$B218,QRT!$A:$A,0),MATCH(Model!AD$3,QRT!$4:$4,0)+1),INDEX(QRT!$1:$1048576,MATCH(Model!$B218,QRT!$A:$A,0),MATCH(Model!AD$3,QRT!$4:$4,0)+2),INDEX(QRT!$1:$1048576,MATCH(Model!$B218,QRT!$A:$A,0),MATCH(Model!AD$3,QRT!$4:$4,0)+3))</f>
        <v>78.947660556190812</v>
      </c>
      <c r="AE218" s="274">
        <f>AVERAGE(INDEX(QRT!$1:$1048576,MATCH(Model!$B218,QRT!$A:$A,0),MATCH(Model!AE$3,QRT!$4:$4,0)),INDEX(QRT!$1:$1048576,MATCH(Model!$B218,QRT!$A:$A,0),MATCH(Model!AE$3,QRT!$4:$4,0)+1),INDEX(QRT!$1:$1048576,MATCH(Model!$B218,QRT!$A:$A,0),MATCH(Model!AE$3,QRT!$4:$4,0)+2),INDEX(QRT!$1:$1048576,MATCH(Model!$B218,QRT!$A:$A,0),MATCH(Model!AE$3,QRT!$4:$4,0)+3))</f>
        <v>64.416934069286867</v>
      </c>
      <c r="AF218" s="274">
        <f>AVERAGE(INDEX(QRT!$1:$1048576,MATCH(Model!$B218,QRT!$A:$A,0),MATCH(Model!AF$3,QRT!$4:$4,0)),INDEX(QRT!$1:$1048576,MATCH(Model!$B218,QRT!$A:$A,0),MATCH(Model!AF$3,QRT!$4:$4,0)+1),INDEX(QRT!$1:$1048576,MATCH(Model!$B218,QRT!$A:$A,0),MATCH(Model!AF$3,QRT!$4:$4,0)+2),INDEX(QRT!$1:$1048576,MATCH(Model!$B218,QRT!$A:$A,0),MATCH(Model!AF$3,QRT!$4:$4,0)+3))</f>
        <v>66.338961953120716</v>
      </c>
      <c r="AG218" s="57">
        <f t="shared" ref="AG218:AN218" ca="1" si="176">+AG219*(AG7/AG214)</f>
        <v>81.907870496852041</v>
      </c>
      <c r="AH218" s="57">
        <f t="shared" ca="1" si="176"/>
        <v>98.581925763688687</v>
      </c>
      <c r="AI218" s="57">
        <f t="shared" ca="1" si="176"/>
        <v>115.69535638079442</v>
      </c>
      <c r="AJ218" s="57">
        <f t="shared" ca="1" si="176"/>
        <v>132.72664594793926</v>
      </c>
      <c r="AK218" s="57">
        <f t="shared" ca="1" si="176"/>
        <v>149.34505520264304</v>
      </c>
      <c r="AL218" s="57">
        <f t="shared" ca="1" si="176"/>
        <v>164.74143334959646</v>
      </c>
      <c r="AM218" s="57">
        <f t="shared" ca="1" si="176"/>
        <v>178.588704580475</v>
      </c>
      <c r="AN218" s="57">
        <f t="shared" ca="1" si="176"/>
        <v>190.27183266152289</v>
      </c>
    </row>
    <row r="219" spans="1:41" outlineLevel="1">
      <c r="A219" s="96"/>
      <c r="B219" s="7"/>
      <c r="C219" s="78"/>
      <c r="D219" s="205"/>
      <c r="E219" s="7" t="s">
        <v>568</v>
      </c>
      <c r="F219" s="7"/>
      <c r="G219" s="7"/>
      <c r="H219" s="7"/>
      <c r="I219" s="7"/>
      <c r="J219" s="7"/>
      <c r="K219" s="7"/>
      <c r="L219" s="7"/>
      <c r="M219" s="7"/>
      <c r="N219" s="7"/>
      <c r="O219" s="7"/>
      <c r="P219" s="7"/>
      <c r="Q219" s="251"/>
      <c r="R219" s="251"/>
      <c r="S219" s="251"/>
      <c r="T219" s="251"/>
      <c r="U219" s="251"/>
      <c r="V219" s="251"/>
      <c r="W219" s="251"/>
      <c r="X219" s="251"/>
      <c r="Y219" s="251"/>
      <c r="Z219" s="251"/>
      <c r="AA219" s="251">
        <f t="shared" ref="AA219:AF219" si="177">AA218/(AA7/AA214)</f>
        <v>5.79987342433681</v>
      </c>
      <c r="AB219" s="251">
        <f t="shared" si="177"/>
        <v>26.318992376913602</v>
      </c>
      <c r="AC219" s="251">
        <f t="shared" si="177"/>
        <v>52.529961336083574</v>
      </c>
      <c r="AD219" s="251">
        <f t="shared" si="177"/>
        <v>26.256999390268156</v>
      </c>
      <c r="AE219" s="251">
        <f t="shared" si="177"/>
        <v>16.18780637404247</v>
      </c>
      <c r="AF219" s="251">
        <f t="shared" si="177"/>
        <v>12.799999165133221</v>
      </c>
      <c r="AG219" s="252">
        <f t="shared" ref="AG219:AL219" ca="1" si="178">AVERAGE(AH219,AF219)</f>
        <v>12.449999269491563</v>
      </c>
      <c r="AH219" s="252">
        <f t="shared" ca="1" si="178"/>
        <v>12.099999373849908</v>
      </c>
      <c r="AI219" s="252">
        <f t="shared" ca="1" si="178"/>
        <v>11.749999478208254</v>
      </c>
      <c r="AJ219" s="252">
        <f t="shared" ca="1" si="178"/>
        <v>11.399999582566601</v>
      </c>
      <c r="AK219" s="252">
        <f t="shared" ca="1" si="178"/>
        <v>11.049999686924949</v>
      </c>
      <c r="AL219" s="252">
        <f t="shared" ca="1" si="178"/>
        <v>10.699999791283298</v>
      </c>
      <c r="AM219" s="252">
        <f ca="1">AVERAGE(AN219,AL219)</f>
        <v>10.349999895641648</v>
      </c>
      <c r="AN219" s="252">
        <v>10</v>
      </c>
    </row>
    <row r="220" spans="1:41">
      <c r="B220"/>
      <c r="C220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57"/>
      <c r="V220" s="57"/>
      <c r="W220" s="57"/>
      <c r="X220" s="57"/>
      <c r="Y220" s="57"/>
      <c r="Z220" s="57"/>
      <c r="AA220" s="57"/>
      <c r="AB220" s="57"/>
      <c r="AC220" s="57"/>
      <c r="AD220" s="57"/>
      <c r="AE220" s="57"/>
      <c r="AF220" s="57"/>
      <c r="AG220" s="57"/>
      <c r="AH220" s="57"/>
      <c r="AI220" s="57"/>
      <c r="AJ220" s="57"/>
      <c r="AK220" s="57"/>
      <c r="AL220" s="57"/>
      <c r="AM220" s="7"/>
    </row>
    <row r="221" spans="1:41">
      <c r="C221" s="120" t="s">
        <v>183</v>
      </c>
      <c r="D221" s="41" t="s">
        <v>183</v>
      </c>
      <c r="E221" s="41"/>
      <c r="F221" s="41"/>
      <c r="G221" s="41"/>
      <c r="H221" s="41"/>
      <c r="I221" s="41"/>
      <c r="J221" s="41"/>
      <c r="K221" s="41"/>
      <c r="L221" s="41"/>
      <c r="M221" s="41"/>
      <c r="N221" s="41"/>
      <c r="O221" s="41"/>
      <c r="P221" s="41"/>
      <c r="Q221" s="41"/>
      <c r="R221" s="41"/>
      <c r="S221" s="41"/>
      <c r="T221" s="41"/>
      <c r="U221" s="41"/>
      <c r="V221" s="41"/>
      <c r="W221" s="41"/>
      <c r="X221" s="41"/>
      <c r="Y221" s="41"/>
      <c r="Z221" s="41"/>
      <c r="AA221" s="41"/>
      <c r="AB221" s="41"/>
      <c r="AC221" s="41"/>
      <c r="AD221" s="41"/>
      <c r="AE221" s="41"/>
      <c r="AF221" s="41"/>
      <c r="AG221" s="41"/>
      <c r="AH221" s="41"/>
      <c r="AI221" s="41"/>
      <c r="AJ221" s="41"/>
      <c r="AK221" s="41"/>
      <c r="AL221" s="41"/>
      <c r="AM221" s="41"/>
      <c r="AN221" s="41"/>
    </row>
    <row r="222" spans="1:41">
      <c r="D222" s="90"/>
      <c r="E222" s="91" t="s">
        <v>150</v>
      </c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  <c r="V222" s="90"/>
      <c r="W222" s="90"/>
      <c r="X222" s="90"/>
      <c r="Y222" s="90"/>
      <c r="Z222" s="90"/>
      <c r="AA222" s="90"/>
      <c r="AB222" s="90"/>
      <c r="AC222" s="90"/>
      <c r="AD222" s="90"/>
      <c r="AE222" s="90"/>
      <c r="AF222" s="153"/>
      <c r="AG222" s="90"/>
      <c r="AH222" s="90"/>
      <c r="AI222" s="90"/>
      <c r="AJ222" s="90"/>
      <c r="AK222" s="90"/>
      <c r="AL222" s="90"/>
      <c r="AM222" s="90"/>
      <c r="AN222" s="90"/>
    </row>
    <row r="223" spans="1:41" ht="5.0999999999999996" customHeight="1"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7"/>
      <c r="V223" s="7"/>
      <c r="W223" s="7"/>
      <c r="X223" s="54"/>
      <c r="Y223" s="54"/>
      <c r="Z223" s="54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7"/>
    </row>
    <row r="224" spans="1:41" ht="15" customHeight="1" outlineLevel="1">
      <c r="B224"/>
      <c r="C224"/>
      <c r="D224" s="275"/>
      <c r="E224" s="59" t="s">
        <v>553</v>
      </c>
      <c r="G224" s="7"/>
      <c r="H224" s="7"/>
      <c r="I224" s="7"/>
      <c r="J224" s="7"/>
      <c r="K224" s="63"/>
      <c r="L224" s="63"/>
      <c r="M224" s="63"/>
      <c r="N224" s="63"/>
      <c r="O224" s="63"/>
      <c r="P224" s="63"/>
      <c r="Q224" s="63"/>
      <c r="R224" s="63"/>
      <c r="S224" s="63"/>
      <c r="T224" s="63"/>
      <c r="U224" s="63"/>
      <c r="V224" s="63"/>
      <c r="W224" s="63"/>
      <c r="X224" s="63"/>
      <c r="Y224" s="63">
        <f t="shared" ref="Y224:AN224" si="179">Y191+Y186</f>
        <v>0</v>
      </c>
      <c r="Z224" s="63">
        <f t="shared" si="179"/>
        <v>0</v>
      </c>
      <c r="AA224" s="63">
        <f t="shared" si="179"/>
        <v>0</v>
      </c>
      <c r="AB224" s="63">
        <f t="shared" si="179"/>
        <v>45.025999999999996</v>
      </c>
      <c r="AC224" s="63">
        <f t="shared" si="179"/>
        <v>134.21200000000002</v>
      </c>
      <c r="AD224" s="63">
        <f t="shared" si="179"/>
        <v>146.25386957751405</v>
      </c>
      <c r="AE224" s="63">
        <f t="shared" si="179"/>
        <v>184.91323199598125</v>
      </c>
      <c r="AF224" s="63">
        <f t="shared" si="179"/>
        <v>226.03167145198179</v>
      </c>
      <c r="AG224" s="63">
        <f t="shared" si="179"/>
        <v>304.10975214488133</v>
      </c>
      <c r="AH224" s="63">
        <f t="shared" si="179"/>
        <v>345.7460222014696</v>
      </c>
      <c r="AI224" s="63">
        <f t="shared" si="179"/>
        <v>431.16566691353069</v>
      </c>
      <c r="AJ224" s="63">
        <f t="shared" si="179"/>
        <v>476.89119901445417</v>
      </c>
      <c r="AK224" s="63">
        <f t="shared" si="179"/>
        <v>564.22759811439425</v>
      </c>
      <c r="AL224" s="63">
        <f t="shared" si="179"/>
        <v>606.16908529587693</v>
      </c>
      <c r="AM224" s="63">
        <f t="shared" si="179"/>
        <v>687.15042948263692</v>
      </c>
      <c r="AN224" s="63">
        <f t="shared" si="179"/>
        <v>717.87469022275809</v>
      </c>
    </row>
    <row r="225" spans="1:40" ht="15" customHeight="1" outlineLevel="1">
      <c r="B225"/>
      <c r="C225"/>
      <c r="D225" s="275"/>
      <c r="E225" s="59" t="s">
        <v>554</v>
      </c>
      <c r="G225" s="7"/>
      <c r="H225" s="7"/>
      <c r="I225" s="7"/>
      <c r="J225" s="7"/>
      <c r="K225" s="63"/>
      <c r="L225" s="63"/>
      <c r="M225" s="63"/>
      <c r="N225" s="63"/>
      <c r="O225" s="63"/>
      <c r="P225" s="63"/>
      <c r="Q225" s="63"/>
      <c r="R225" s="63"/>
      <c r="S225" s="63"/>
      <c r="T225" s="63"/>
      <c r="U225" s="63"/>
      <c r="V225" s="63"/>
      <c r="W225" s="63"/>
      <c r="X225" s="63"/>
      <c r="Y225" s="63">
        <f t="shared" ref="Y225:AF225" si="180">Y190+Y184</f>
        <v>10.924000000000001</v>
      </c>
      <c r="Z225" s="63">
        <f t="shared" si="180"/>
        <v>10.698</v>
      </c>
      <c r="AA225" s="63">
        <f t="shared" si="180"/>
        <v>10.506</v>
      </c>
      <c r="AB225" s="63">
        <f t="shared" si="180"/>
        <v>383.27499999999998</v>
      </c>
      <c r="AC225" s="63">
        <f t="shared" si="180"/>
        <v>1158.9939999999999</v>
      </c>
      <c r="AD225" s="63">
        <f t="shared" si="180"/>
        <v>1460.8051991260136</v>
      </c>
      <c r="AE225" s="63">
        <f t="shared" si="180"/>
        <v>1516.8092400601597</v>
      </c>
      <c r="AF225" s="63">
        <f t="shared" si="180"/>
        <v>1575.8418776321173</v>
      </c>
      <c r="AG225" s="68">
        <f t="shared" ref="AG225:AL225" si="181">AF225-AG244</f>
        <v>1644.763540884584</v>
      </c>
      <c r="AH225" s="68">
        <f t="shared" si="181"/>
        <v>1644.763540884584</v>
      </c>
      <c r="AI225" s="68">
        <f t="shared" si="181"/>
        <v>1644.763540884584</v>
      </c>
      <c r="AJ225" s="68">
        <f t="shared" si="181"/>
        <v>1644.763540884584</v>
      </c>
      <c r="AK225" s="68">
        <f t="shared" si="181"/>
        <v>1644.763540884584</v>
      </c>
      <c r="AL225" s="68">
        <f t="shared" si="181"/>
        <v>1644.763540884584</v>
      </c>
      <c r="AM225" s="68">
        <f>AL225-AM244</f>
        <v>1644.763540884584</v>
      </c>
      <c r="AN225" s="68">
        <f>AM225-AN244</f>
        <v>1644.763540884584</v>
      </c>
    </row>
    <row r="226" spans="1:40" s="3" customFormat="1" outlineLevel="1">
      <c r="A226" s="96" t="s">
        <v>580</v>
      </c>
      <c r="B226"/>
      <c r="C226"/>
      <c r="D226" s="246"/>
      <c r="E226" s="209" t="s">
        <v>151</v>
      </c>
      <c r="F226" s="193"/>
      <c r="G226" s="208"/>
      <c r="H226" s="208"/>
      <c r="I226" s="208"/>
      <c r="J226" s="208"/>
      <c r="K226" s="208"/>
      <c r="L226" s="208"/>
      <c r="M226" s="208"/>
      <c r="N226" s="208"/>
      <c r="O226" s="208"/>
      <c r="P226" s="208"/>
      <c r="Q226" s="208"/>
      <c r="R226" s="208"/>
      <c r="S226" s="208"/>
      <c r="T226" s="208"/>
      <c r="U226" s="208"/>
      <c r="V226" s="208"/>
      <c r="W226" s="208"/>
      <c r="X226" s="208"/>
      <c r="Y226" s="208">
        <f t="shared" ref="Y226:AL226" si="182">SUM(Y224:Y225)</f>
        <v>10.924000000000001</v>
      </c>
      <c r="Z226" s="208">
        <f t="shared" si="182"/>
        <v>10.698</v>
      </c>
      <c r="AA226" s="208">
        <f t="shared" si="182"/>
        <v>10.506</v>
      </c>
      <c r="AB226" s="208">
        <f t="shared" si="182"/>
        <v>428.30099999999999</v>
      </c>
      <c r="AC226" s="208">
        <f t="shared" si="182"/>
        <v>1293.2059999999999</v>
      </c>
      <c r="AD226" s="208">
        <f t="shared" si="182"/>
        <v>1607.0590687035276</v>
      </c>
      <c r="AE226" s="208">
        <f t="shared" si="182"/>
        <v>1701.722472056141</v>
      </c>
      <c r="AF226" s="208">
        <f t="shared" si="182"/>
        <v>1801.8735490840991</v>
      </c>
      <c r="AG226" s="208">
        <f t="shared" si="182"/>
        <v>1948.8732930294655</v>
      </c>
      <c r="AH226" s="208">
        <f t="shared" si="182"/>
        <v>1990.5095630860537</v>
      </c>
      <c r="AI226" s="208">
        <f t="shared" si="182"/>
        <v>2075.9292077981145</v>
      </c>
      <c r="AJ226" s="208">
        <f t="shared" si="182"/>
        <v>2121.6547398990383</v>
      </c>
      <c r="AK226" s="208">
        <f t="shared" si="182"/>
        <v>2208.9911389989784</v>
      </c>
      <c r="AL226" s="208">
        <f t="shared" si="182"/>
        <v>2250.9326261804608</v>
      </c>
      <c r="AM226" s="208">
        <f>SUM(AM224:AM225)</f>
        <v>2331.9139703672208</v>
      </c>
      <c r="AN226" s="208">
        <f>SUM(AN224:AN225)</f>
        <v>2362.6382311073421</v>
      </c>
    </row>
    <row r="227" spans="1:40" s="3" customFormat="1" outlineLevel="1">
      <c r="A227" s="96"/>
      <c r="B227"/>
      <c r="C227"/>
      <c r="D227" s="275"/>
      <c r="E227" s="59" t="s">
        <v>154</v>
      </c>
      <c r="F227"/>
      <c r="G227" s="7"/>
      <c r="H227" s="7"/>
      <c r="I227" s="7"/>
      <c r="J227" s="7"/>
      <c r="K227" s="7"/>
      <c r="L227" s="7"/>
      <c r="M227" s="7"/>
      <c r="N227" s="7"/>
      <c r="O227" s="7"/>
      <c r="P227" s="7"/>
      <c r="Q227" s="7"/>
      <c r="R227" s="7"/>
      <c r="S227" s="7"/>
      <c r="T227" s="7"/>
      <c r="U227" s="7"/>
      <c r="V227" s="7"/>
      <c r="W227" s="7"/>
      <c r="X227" s="7"/>
      <c r="Y227" s="7">
        <f t="shared" ref="Y227:AL227" si="183">AVERAGE(X226:Y226)</f>
        <v>10.924000000000001</v>
      </c>
      <c r="Z227" s="7">
        <f t="shared" si="183"/>
        <v>10.811</v>
      </c>
      <c r="AA227" s="7">
        <f t="shared" si="183"/>
        <v>10.602</v>
      </c>
      <c r="AB227" s="7">
        <f t="shared" si="183"/>
        <v>219.40350000000001</v>
      </c>
      <c r="AC227" s="7">
        <f t="shared" si="183"/>
        <v>860.75349999999992</v>
      </c>
      <c r="AD227" s="7">
        <f t="shared" si="183"/>
        <v>1450.1325343517638</v>
      </c>
      <c r="AE227" s="7">
        <f t="shared" si="183"/>
        <v>1654.3907703798343</v>
      </c>
      <c r="AF227" s="7">
        <f t="shared" si="183"/>
        <v>1751.7980105701199</v>
      </c>
      <c r="AG227" s="7">
        <f t="shared" si="183"/>
        <v>1875.3734210567823</v>
      </c>
      <c r="AH227" s="7">
        <f t="shared" si="183"/>
        <v>1969.6914280577596</v>
      </c>
      <c r="AI227" s="7">
        <f t="shared" si="183"/>
        <v>2033.2193854420841</v>
      </c>
      <c r="AJ227" s="7">
        <f t="shared" si="183"/>
        <v>2098.7919738485762</v>
      </c>
      <c r="AK227" s="7">
        <f t="shared" si="183"/>
        <v>2165.3229394490081</v>
      </c>
      <c r="AL227" s="7">
        <f t="shared" si="183"/>
        <v>2229.9618825897196</v>
      </c>
      <c r="AM227" s="7">
        <f>AVERAGE(AL226:AM226)</f>
        <v>2291.4232982738408</v>
      </c>
      <c r="AN227" s="7">
        <f>AVERAGE(AM226:AN226)</f>
        <v>2347.2761007372815</v>
      </c>
    </row>
    <row r="228" spans="1:40" s="3" customFormat="1" outlineLevel="1">
      <c r="A228" s="96"/>
      <c r="B228"/>
      <c r="C228"/>
      <c r="D228" s="275"/>
      <c r="E228" s="59" t="s">
        <v>155</v>
      </c>
      <c r="F228"/>
      <c r="G228" s="182"/>
      <c r="H228" s="182"/>
      <c r="I228" s="182"/>
      <c r="J228" s="182"/>
      <c r="K228" s="182"/>
      <c r="L228" s="182"/>
      <c r="M228" s="182"/>
      <c r="N228" s="182"/>
      <c r="O228" s="182"/>
      <c r="P228" s="182"/>
      <c r="Q228" s="182"/>
      <c r="R228" s="182"/>
      <c r="S228" s="182"/>
      <c r="T228" s="182"/>
      <c r="U228" s="182"/>
      <c r="V228" s="182"/>
      <c r="W228" s="182"/>
      <c r="X228" s="182"/>
      <c r="Y228" s="182">
        <f>-IFERROR(SUM(Y243:Y244)/AVERAGE(Y227),"na")</f>
        <v>7.8908824606371289E-2</v>
      </c>
      <c r="Z228" s="182">
        <f>-IFERROR(SUM(Z243:Z244)/AVERAGE(Z227),"na")</f>
        <v>9.1758394228101003E-2</v>
      </c>
      <c r="AA228" s="182">
        <f t="shared" ref="AA228:AF228" si="184">-IFERROR(SUM(AA243:AA244)/AVERAGE(AA227),"na")</f>
        <v>0.10488587059045462</v>
      </c>
      <c r="AB228" s="182">
        <f t="shared" si="184"/>
        <v>0.11378122956105986</v>
      </c>
      <c r="AC228" s="182">
        <f t="shared" si="184"/>
        <v>5.7198721817570311E-2</v>
      </c>
      <c r="AD228" s="182">
        <f t="shared" si="184"/>
        <v>2.3645424235039833E-2</v>
      </c>
      <c r="AE228" s="182">
        <f t="shared" si="184"/>
        <v>3.9825601158438063E-2</v>
      </c>
      <c r="AF228" s="182">
        <f t="shared" si="184"/>
        <v>3.964507404980986E-2</v>
      </c>
      <c r="AG228" s="165">
        <f t="shared" ref="AG228:AL228" si="185">MAX(AF228-0.0005,0.045)</f>
        <v>4.4999999999999998E-2</v>
      </c>
      <c r="AH228" s="165">
        <f t="shared" si="185"/>
        <v>4.4999999999999998E-2</v>
      </c>
      <c r="AI228" s="165">
        <f t="shared" si="185"/>
        <v>4.4999999999999998E-2</v>
      </c>
      <c r="AJ228" s="165">
        <f t="shared" si="185"/>
        <v>4.4999999999999998E-2</v>
      </c>
      <c r="AK228" s="165">
        <f t="shared" si="185"/>
        <v>4.4999999999999998E-2</v>
      </c>
      <c r="AL228" s="165">
        <f t="shared" si="185"/>
        <v>4.4999999999999998E-2</v>
      </c>
      <c r="AM228" s="165">
        <f>MAX(AL228-0.0005,0.045)</f>
        <v>4.4999999999999998E-2</v>
      </c>
      <c r="AN228" s="165">
        <f>MAX(AM228-0.0005,0.045)</f>
        <v>4.4999999999999998E-2</v>
      </c>
    </row>
    <row r="229" spans="1:40" s="3" customFormat="1" ht="5.0999999999999996" customHeight="1" outlineLevel="1">
      <c r="A229" s="96"/>
      <c r="B229"/>
      <c r="C229"/>
      <c r="D229" s="275"/>
      <c r="E229" s="59"/>
      <c r="F229"/>
      <c r="G229" s="63"/>
      <c r="H229" s="63"/>
      <c r="I229" s="63"/>
      <c r="J229" s="63"/>
      <c r="K229" s="63"/>
      <c r="L229" s="63"/>
      <c r="M229" s="63"/>
      <c r="N229" s="63"/>
      <c r="O229" s="63"/>
      <c r="P229" s="63"/>
      <c r="Q229" s="63"/>
      <c r="R229" s="63"/>
      <c r="S229" s="63"/>
      <c r="T229" s="63"/>
      <c r="U229" s="63"/>
      <c r="V229" s="85"/>
      <c r="W229" s="85"/>
      <c r="X229" s="85"/>
      <c r="Y229" s="85"/>
      <c r="Z229" s="85"/>
      <c r="AA229" s="85"/>
      <c r="AB229" s="85"/>
      <c r="AC229" s="85"/>
      <c r="AD229" s="85"/>
      <c r="AE229" s="85"/>
      <c r="AF229" s="85"/>
      <c r="AG229" s="85"/>
      <c r="AH229" s="85"/>
      <c r="AI229" s="85"/>
      <c r="AJ229" s="85"/>
      <c r="AK229" s="85"/>
      <c r="AL229" s="85"/>
      <c r="AM229" s="85"/>
      <c r="AN229" s="85"/>
    </row>
    <row r="230" spans="1:40" s="3" customFormat="1" ht="15" customHeight="1" outlineLevel="1">
      <c r="A230" s="96"/>
      <c r="B230"/>
      <c r="C230"/>
      <c r="D230" s="275"/>
      <c r="E230" s="59" t="s">
        <v>216</v>
      </c>
      <c r="F230"/>
      <c r="G230" s="63"/>
      <c r="H230" s="63"/>
      <c r="I230" s="63"/>
      <c r="J230" s="63"/>
      <c r="K230" s="63"/>
      <c r="L230" s="63"/>
      <c r="M230" s="63"/>
      <c r="N230" s="63"/>
      <c r="O230" s="63"/>
      <c r="P230" s="63"/>
      <c r="Q230" s="63"/>
      <c r="R230" s="63"/>
      <c r="S230" s="63"/>
      <c r="T230" s="63"/>
      <c r="U230" s="63"/>
      <c r="V230" s="63"/>
      <c r="W230" s="63"/>
      <c r="X230" s="63"/>
      <c r="Y230" s="63">
        <f t="shared" ref="Y230:AN230" si="186">Y170</f>
        <v>24.443999999999999</v>
      </c>
      <c r="Z230" s="63">
        <f t="shared" si="186"/>
        <v>25.055</v>
      </c>
      <c r="AA230" s="63">
        <f t="shared" si="186"/>
        <v>138.976</v>
      </c>
      <c r="AB230" s="63">
        <f t="shared" si="186"/>
        <v>108.895</v>
      </c>
      <c r="AC230" s="63">
        <f t="shared" si="186"/>
        <v>313.77699999999999</v>
      </c>
      <c r="AD230" s="63">
        <f t="shared" ca="1" si="186"/>
        <v>113.42420936024601</v>
      </c>
      <c r="AE230" s="63">
        <f t="shared" ca="1" si="186"/>
        <v>41.763204596982128</v>
      </c>
      <c r="AF230" s="63">
        <f t="shared" ca="1" si="186"/>
        <v>-12.119925763148466</v>
      </c>
      <c r="AG230" s="63">
        <f t="shared" ca="1" si="186"/>
        <v>47.019441641701214</v>
      </c>
      <c r="AH230" s="63">
        <f t="shared" ca="1" si="186"/>
        <v>76.366485745239601</v>
      </c>
      <c r="AI230" s="63">
        <f t="shared" ca="1" si="186"/>
        <v>210.18196071422861</v>
      </c>
      <c r="AJ230" s="63">
        <f t="shared" ca="1" si="186"/>
        <v>477.11366134354216</v>
      </c>
      <c r="AK230" s="63">
        <f t="shared" ca="1" si="186"/>
        <v>911.29501237463319</v>
      </c>
      <c r="AL230" s="63">
        <f t="shared" ca="1" si="186"/>
        <v>1502.3851883808215</v>
      </c>
      <c r="AM230" s="63">
        <f t="shared" ca="1" si="186"/>
        <v>2241.4904863827769</v>
      </c>
      <c r="AN230" s="63">
        <f t="shared" ca="1" si="186"/>
        <v>3138.4652432561743</v>
      </c>
    </row>
    <row r="231" spans="1:40" s="3" customFormat="1" ht="15" customHeight="1" outlineLevel="1">
      <c r="A231" s="96"/>
      <c r="B231"/>
      <c r="C231"/>
      <c r="D231" s="275"/>
      <c r="E231" s="59" t="s">
        <v>344</v>
      </c>
      <c r="F231"/>
      <c r="G231" s="63"/>
      <c r="H231" s="63"/>
      <c r="I231" s="63"/>
      <c r="J231" s="63"/>
      <c r="K231" s="63"/>
      <c r="L231" s="63"/>
      <c r="M231" s="63"/>
      <c r="N231" s="63"/>
      <c r="O231" s="63"/>
      <c r="P231" s="63"/>
      <c r="Q231" s="63"/>
      <c r="R231" s="63"/>
      <c r="S231" s="63"/>
      <c r="T231" s="63"/>
      <c r="U231" s="63"/>
      <c r="V231" s="63"/>
      <c r="W231" s="63"/>
      <c r="X231" s="63"/>
      <c r="Y231" s="63">
        <f t="shared" ref="Y231:AF231" si="187">Y171</f>
        <v>48.963000000000001</v>
      </c>
      <c r="Z231" s="63">
        <f t="shared" si="187"/>
        <v>135.602</v>
      </c>
      <c r="AA231" s="63">
        <f t="shared" si="187"/>
        <v>497.97199999999998</v>
      </c>
      <c r="AB231" s="63">
        <f t="shared" si="187"/>
        <v>923.20100000000002</v>
      </c>
      <c r="AC231" s="63">
        <f t="shared" si="187"/>
        <v>1508.066</v>
      </c>
      <c r="AD231" s="63">
        <f t="shared" si="187"/>
        <v>1499.173</v>
      </c>
      <c r="AE231" s="63">
        <f t="shared" si="187"/>
        <v>1499.173</v>
      </c>
      <c r="AF231" s="63">
        <f t="shared" si="187"/>
        <v>1499.173</v>
      </c>
      <c r="AG231" s="68">
        <f t="shared" ref="AG231:AL231" si="188">AF231</f>
        <v>1499.173</v>
      </c>
      <c r="AH231" s="68">
        <f t="shared" si="188"/>
        <v>1499.173</v>
      </c>
      <c r="AI231" s="68">
        <f t="shared" si="188"/>
        <v>1499.173</v>
      </c>
      <c r="AJ231" s="68">
        <f t="shared" si="188"/>
        <v>1499.173</v>
      </c>
      <c r="AK231" s="68">
        <f t="shared" si="188"/>
        <v>1499.173</v>
      </c>
      <c r="AL231" s="68">
        <f t="shared" si="188"/>
        <v>1499.173</v>
      </c>
      <c r="AM231" s="68">
        <f>AL231</f>
        <v>1499.173</v>
      </c>
      <c r="AN231" s="68">
        <f>AM231</f>
        <v>1499.173</v>
      </c>
    </row>
    <row r="232" spans="1:40" s="3" customFormat="1" outlineLevel="1">
      <c r="A232" s="96"/>
      <c r="B232"/>
      <c r="C232"/>
      <c r="D232" s="246"/>
      <c r="E232" s="209" t="s">
        <v>561</v>
      </c>
      <c r="F232" s="193"/>
      <c r="G232" s="208"/>
      <c r="H232" s="208"/>
      <c r="I232" s="208"/>
      <c r="J232" s="208"/>
      <c r="K232" s="208"/>
      <c r="L232" s="208"/>
      <c r="M232" s="208"/>
      <c r="N232" s="208"/>
      <c r="O232" s="208"/>
      <c r="P232" s="208"/>
      <c r="Q232" s="208"/>
      <c r="R232" s="208"/>
      <c r="S232" s="208"/>
      <c r="T232" s="208"/>
      <c r="U232" s="208"/>
      <c r="V232" s="208"/>
      <c r="W232" s="208"/>
      <c r="X232" s="208"/>
      <c r="Y232" s="208">
        <f t="shared" ref="Y232:AL232" si="189">SUM(Y230:Y231)</f>
        <v>73.406999999999996</v>
      </c>
      <c r="Z232" s="208">
        <f t="shared" si="189"/>
        <v>160.65700000000001</v>
      </c>
      <c r="AA232" s="208">
        <f t="shared" si="189"/>
        <v>636.94799999999998</v>
      </c>
      <c r="AB232" s="208">
        <f t="shared" si="189"/>
        <v>1032.096</v>
      </c>
      <c r="AC232" s="208">
        <f t="shared" si="189"/>
        <v>1821.8430000000001</v>
      </c>
      <c r="AD232" s="208">
        <f t="shared" ca="1" si="189"/>
        <v>1612.5972093602461</v>
      </c>
      <c r="AE232" s="208">
        <f t="shared" ca="1" si="189"/>
        <v>1540.9362045969822</v>
      </c>
      <c r="AF232" s="208">
        <f t="shared" ca="1" si="189"/>
        <v>1487.0530742368514</v>
      </c>
      <c r="AG232" s="208">
        <f t="shared" ca="1" si="189"/>
        <v>1546.1924416417012</v>
      </c>
      <c r="AH232" s="208">
        <f t="shared" ca="1" si="189"/>
        <v>1575.5394857452395</v>
      </c>
      <c r="AI232" s="208">
        <f t="shared" ca="1" si="189"/>
        <v>1709.3549607142286</v>
      </c>
      <c r="AJ232" s="208">
        <f t="shared" ca="1" si="189"/>
        <v>1976.2866613435422</v>
      </c>
      <c r="AK232" s="208">
        <f t="shared" ca="1" si="189"/>
        <v>2410.468012374633</v>
      </c>
      <c r="AL232" s="208">
        <f t="shared" ca="1" si="189"/>
        <v>3001.5581883808218</v>
      </c>
      <c r="AM232" s="208">
        <f ca="1">SUM(AM230:AM231)</f>
        <v>3740.6634863827767</v>
      </c>
      <c r="AN232" s="208">
        <f ca="1">SUM(AN230:AN231)</f>
        <v>4637.6382432561741</v>
      </c>
    </row>
    <row r="233" spans="1:40" s="3" customFormat="1" outlineLevel="1">
      <c r="A233" s="96"/>
      <c r="B233"/>
      <c r="C233"/>
      <c r="D233" s="275"/>
      <c r="E233" s="59" t="s">
        <v>562</v>
      </c>
      <c r="G233" s="214"/>
      <c r="H233" s="214"/>
      <c r="I233" s="214"/>
      <c r="J233" s="214"/>
      <c r="K233" s="214"/>
      <c r="L233" s="214"/>
      <c r="M233" s="214"/>
      <c r="N233" s="214"/>
      <c r="O233" s="214"/>
      <c r="P233" s="214"/>
      <c r="Q233" s="214"/>
      <c r="R233" s="214"/>
      <c r="S233" s="214"/>
      <c r="T233" s="214"/>
      <c r="U233" s="214"/>
      <c r="V233" s="214"/>
      <c r="W233" s="214"/>
      <c r="X233" s="214"/>
      <c r="Y233" s="214">
        <f t="shared" ref="Y233:AL233" si="190">AVERAGE(Y232,X232)</f>
        <v>73.406999999999996</v>
      </c>
      <c r="Z233" s="214">
        <f t="shared" si="190"/>
        <v>117.03200000000001</v>
      </c>
      <c r="AA233" s="214">
        <f t="shared" si="190"/>
        <v>398.80250000000001</v>
      </c>
      <c r="AB233" s="214">
        <f t="shared" si="190"/>
        <v>834.52199999999993</v>
      </c>
      <c r="AC233" s="214">
        <f t="shared" si="190"/>
        <v>1426.9695000000002</v>
      </c>
      <c r="AD233" s="214">
        <f t="shared" ca="1" si="190"/>
        <v>1717.2201046801231</v>
      </c>
      <c r="AE233" s="214">
        <f t="shared" ca="1" si="190"/>
        <v>1576.7667069786141</v>
      </c>
      <c r="AF233" s="214">
        <f t="shared" ca="1" si="190"/>
        <v>1513.9946394169169</v>
      </c>
      <c r="AG233" s="214">
        <f t="shared" ca="1" si="190"/>
        <v>1516.6227579392762</v>
      </c>
      <c r="AH233" s="214">
        <f t="shared" ca="1" si="190"/>
        <v>1560.8659636934703</v>
      </c>
      <c r="AI233" s="214">
        <f t="shared" ca="1" si="190"/>
        <v>1642.4472232297339</v>
      </c>
      <c r="AJ233" s="214">
        <f t="shared" ca="1" si="190"/>
        <v>1842.8208110288854</v>
      </c>
      <c r="AK233" s="214">
        <f t="shared" ca="1" si="190"/>
        <v>2193.3773368590873</v>
      </c>
      <c r="AL233" s="214">
        <f t="shared" ca="1" si="190"/>
        <v>2706.0131003777274</v>
      </c>
      <c r="AM233" s="214">
        <f ca="1">AVERAGE(AM232,AL232)</f>
        <v>3371.1108373817992</v>
      </c>
      <c r="AN233" s="214">
        <f ca="1">AVERAGE(AN232,AM232)</f>
        <v>4189.1508648194758</v>
      </c>
    </row>
    <row r="234" spans="1:40" s="3" customFormat="1" outlineLevel="1">
      <c r="A234" s="96"/>
      <c r="B234"/>
      <c r="C234"/>
      <c r="D234" s="275"/>
      <c r="E234" s="59" t="s">
        <v>155</v>
      </c>
      <c r="F234"/>
      <c r="G234" s="182"/>
      <c r="H234" s="182"/>
      <c r="I234" s="182"/>
      <c r="J234" s="182"/>
      <c r="K234" s="182"/>
      <c r="L234" s="182"/>
      <c r="M234" s="182"/>
      <c r="N234" s="182"/>
      <c r="O234" s="182"/>
      <c r="P234" s="182"/>
      <c r="Q234" s="182"/>
      <c r="R234" s="182"/>
      <c r="S234" s="182"/>
      <c r="T234" s="182"/>
      <c r="U234" s="182"/>
      <c r="V234" s="182"/>
      <c r="W234" s="182"/>
      <c r="X234" s="182"/>
      <c r="Y234" s="182">
        <f>IFERROR(Y242/Y233,"na")</f>
        <v>1.0380481425477135E-2</v>
      </c>
      <c r="Z234" s="182">
        <f>IFERROR(Z242/Z233,"na")</f>
        <v>1.6192152573655066E-2</v>
      </c>
      <c r="AA234" s="182">
        <f t="shared" ref="AA234:AF234" si="191">IFERROR(AA242/AA233,"na")</f>
        <v>1.45109421330107E-2</v>
      </c>
      <c r="AB234" s="182">
        <f t="shared" si="191"/>
        <v>7.8943395141170634E-3</v>
      </c>
      <c r="AC234" s="182">
        <f t="shared" si="191"/>
        <v>1.3805480775868019E-3</v>
      </c>
      <c r="AD234" s="182">
        <f t="shared" ca="1" si="191"/>
        <v>3.4325981576347714E-3</v>
      </c>
      <c r="AE234" s="182">
        <f t="shared" ca="1" si="191"/>
        <v>3.9173076035572928E-3</v>
      </c>
      <c r="AF234" s="182">
        <f t="shared" ca="1" si="191"/>
        <v>3.909589819022086E-3</v>
      </c>
      <c r="AG234" s="165">
        <f t="shared" ref="AG234:AL234" ca="1" si="192">AF234</f>
        <v>3.909589819022086E-3</v>
      </c>
      <c r="AH234" s="165">
        <f t="shared" ca="1" si="192"/>
        <v>3.909589819022086E-3</v>
      </c>
      <c r="AI234" s="165">
        <f t="shared" ca="1" si="192"/>
        <v>3.909589819022086E-3</v>
      </c>
      <c r="AJ234" s="165">
        <f t="shared" ca="1" si="192"/>
        <v>3.909589819022086E-3</v>
      </c>
      <c r="AK234" s="165">
        <f t="shared" ca="1" si="192"/>
        <v>3.909589819022086E-3</v>
      </c>
      <c r="AL234" s="165">
        <f t="shared" ca="1" si="192"/>
        <v>3.909589819022086E-3</v>
      </c>
      <c r="AM234" s="165">
        <f ca="1">AL234</f>
        <v>3.909589819022086E-3</v>
      </c>
      <c r="AN234" s="165">
        <f ca="1">AM234</f>
        <v>3.909589819022086E-3</v>
      </c>
    </row>
    <row r="235" spans="1:40" s="3" customFormat="1" outlineLevel="1">
      <c r="A235" s="96"/>
      <c r="B235"/>
      <c r="C235"/>
      <c r="D235" s="275"/>
      <c r="E235" s="59" t="s">
        <v>563</v>
      </c>
      <c r="F235"/>
      <c r="G235" s="182"/>
      <c r="H235" s="182"/>
      <c r="I235" s="182"/>
      <c r="J235" s="182"/>
      <c r="K235" s="182"/>
      <c r="L235" s="182"/>
      <c r="M235" s="182"/>
      <c r="N235" s="182"/>
      <c r="O235" s="182"/>
      <c r="P235" s="182"/>
      <c r="Q235" s="182"/>
      <c r="R235" s="182"/>
      <c r="S235" s="182"/>
      <c r="T235" s="182"/>
      <c r="U235" s="182"/>
      <c r="V235" s="182"/>
      <c r="W235" s="182"/>
      <c r="X235" s="182"/>
      <c r="Y235" s="182">
        <f t="shared" ref="Y235:AN235" si="193">IFERROR((Y242+Y141)/Y233,"na")</f>
        <v>1.4984946939665157E-2</v>
      </c>
      <c r="Z235" s="182">
        <f t="shared" si="193"/>
        <v>1.132168979424431E-2</v>
      </c>
      <c r="AA235" s="182">
        <f t="shared" si="193"/>
        <v>9.9949222986315273E-3</v>
      </c>
      <c r="AB235" s="182">
        <f t="shared" si="193"/>
        <v>9.8619329388560176E-3</v>
      </c>
      <c r="AC235" s="182">
        <f t="shared" si="193"/>
        <v>7.2370152270248237E-3</v>
      </c>
      <c r="AD235" s="182">
        <f t="shared" ca="1" si="193"/>
        <v>5.6443123051973963E-3</v>
      </c>
      <c r="AE235" s="182">
        <f t="shared" ca="1" si="193"/>
        <v>3.9173076035572928E-3</v>
      </c>
      <c r="AF235" s="182">
        <f t="shared" ca="1" si="193"/>
        <v>3.909589819022086E-3</v>
      </c>
      <c r="AG235" s="182">
        <f t="shared" ca="1" si="193"/>
        <v>3.8333643148553264E-3</v>
      </c>
      <c r="AH235" s="182">
        <f t="shared" ca="1" si="193"/>
        <v>3.8728362131666256E-3</v>
      </c>
      <c r="AI235" s="182">
        <f t="shared" ca="1" si="193"/>
        <v>3.7503263701979565E-3</v>
      </c>
      <c r="AJ235" s="182">
        <f t="shared" ca="1" si="193"/>
        <v>3.6264387245399381E-3</v>
      </c>
      <c r="AK235" s="182">
        <f t="shared" ca="1" si="193"/>
        <v>3.5226361104478969E-3</v>
      </c>
      <c r="AL235" s="182">
        <f t="shared" ca="1" si="193"/>
        <v>3.4825926005098784E-3</v>
      </c>
      <c r="AM235" s="182">
        <f t="shared" ca="1" si="193"/>
        <v>3.4810072704729023E-3</v>
      </c>
      <c r="AN235" s="182">
        <f t="shared" ca="1" si="193"/>
        <v>3.4910320383937715E-3</v>
      </c>
    </row>
    <row r="236" spans="1:40" s="3" customFormat="1" outlineLevel="1">
      <c r="A236" s="96"/>
      <c r="B236"/>
      <c r="C236"/>
      <c r="D236" s="275"/>
      <c r="E236" s="59"/>
      <c r="F236"/>
      <c r="G236" s="182"/>
      <c r="H236" s="182"/>
      <c r="I236" s="182"/>
      <c r="J236" s="182"/>
      <c r="K236" s="182"/>
      <c r="L236" s="182"/>
      <c r="M236" s="182"/>
      <c r="N236" s="182"/>
      <c r="O236" s="182"/>
      <c r="P236" s="182"/>
      <c r="Q236" s="182"/>
      <c r="R236" s="182"/>
      <c r="S236" s="182"/>
      <c r="T236" s="182"/>
      <c r="U236" s="182"/>
      <c r="V236" s="182"/>
      <c r="W236" s="182"/>
      <c r="X236" s="182"/>
      <c r="Y236" s="182"/>
      <c r="Z236" s="182"/>
      <c r="AA236" s="165"/>
      <c r="AB236" s="165"/>
      <c r="AC236" s="165"/>
      <c r="AD236" s="165"/>
      <c r="AE236" s="165"/>
      <c r="AF236" s="165"/>
      <c r="AG236" s="165"/>
      <c r="AH236" s="165"/>
      <c r="AI236" s="165"/>
      <c r="AJ236" s="165"/>
      <c r="AK236" s="165"/>
      <c r="AL236" s="165"/>
      <c r="AM236" s="165"/>
      <c r="AN236" s="165"/>
    </row>
    <row r="237" spans="1:40" s="3" customFormat="1" outlineLevel="1">
      <c r="A237" s="96"/>
      <c r="B237"/>
      <c r="C237"/>
      <c r="D237" s="275"/>
      <c r="E237" s="59" t="s">
        <v>152</v>
      </c>
      <c r="F237"/>
      <c r="G237" s="7"/>
      <c r="H237" s="7"/>
      <c r="I237" s="7"/>
      <c r="J237" s="7"/>
      <c r="K237" s="7"/>
      <c r="L237" s="7"/>
      <c r="M237" s="7"/>
      <c r="N237" s="7"/>
      <c r="O237" s="7"/>
      <c r="P237" s="7"/>
      <c r="Q237" s="7"/>
      <c r="R237" s="7"/>
      <c r="S237" s="7"/>
      <c r="T237" s="7"/>
      <c r="U237" s="7"/>
      <c r="V237" s="7"/>
      <c r="W237" s="7"/>
      <c r="X237" s="7"/>
      <c r="Y237" s="7">
        <f t="shared" ref="Y237:AF237" si="194">Y226-Y232</f>
        <v>-62.482999999999997</v>
      </c>
      <c r="Z237" s="7">
        <f t="shared" si="194"/>
        <v>-149.959</v>
      </c>
      <c r="AA237" s="7">
        <f t="shared" si="194"/>
        <v>-626.44200000000001</v>
      </c>
      <c r="AB237" s="7">
        <f t="shared" si="194"/>
        <v>-603.79500000000007</v>
      </c>
      <c r="AC237" s="7">
        <f t="shared" si="194"/>
        <v>-528.63700000000017</v>
      </c>
      <c r="AD237" s="7">
        <f t="shared" ca="1" si="194"/>
        <v>-5.5381406567184968</v>
      </c>
      <c r="AE237" s="7">
        <f t="shared" ca="1" si="194"/>
        <v>160.78626745915881</v>
      </c>
      <c r="AF237" s="7">
        <f t="shared" ca="1" si="194"/>
        <v>314.82047484724762</v>
      </c>
      <c r="AG237" s="7">
        <f t="shared" ref="AG237:AL237" ca="1" si="195">AG226-AG232</f>
        <v>402.68085138776428</v>
      </c>
      <c r="AH237" s="7">
        <f t="shared" ca="1" si="195"/>
        <v>414.97007734081421</v>
      </c>
      <c r="AI237" s="7">
        <f t="shared" ca="1" si="195"/>
        <v>366.57424708388589</v>
      </c>
      <c r="AJ237" s="7">
        <f t="shared" ca="1" si="195"/>
        <v>145.36807855549614</v>
      </c>
      <c r="AK237" s="7">
        <f t="shared" ca="1" si="195"/>
        <v>-201.47687337565458</v>
      </c>
      <c r="AL237" s="7">
        <f t="shared" ca="1" si="195"/>
        <v>-750.62556220036095</v>
      </c>
      <c r="AM237" s="7">
        <f ca="1">AM226-AM232</f>
        <v>-1408.7495160155559</v>
      </c>
      <c r="AN237" s="7">
        <f ca="1">AN226-AN232</f>
        <v>-2275.000012148832</v>
      </c>
    </row>
    <row r="238" spans="1:40" s="3" customFormat="1" outlineLevel="1">
      <c r="A238" s="96"/>
      <c r="B238"/>
      <c r="C238"/>
      <c r="D238" s="275"/>
      <c r="E238" s="59" t="s">
        <v>103</v>
      </c>
      <c r="F238"/>
      <c r="G238" s="79"/>
      <c r="H238" s="79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>
        <f t="shared" ref="Y238:AN238" si="196">+Y110</f>
        <v>2.4440000000000097</v>
      </c>
      <c r="Z238" s="79">
        <f t="shared" si="196"/>
        <v>-35.634000000000029</v>
      </c>
      <c r="AA238" s="79">
        <f t="shared" si="196"/>
        <v>-67.645999999999987</v>
      </c>
      <c r="AB238" s="79">
        <f t="shared" si="196"/>
        <v>-33.777999999999992</v>
      </c>
      <c r="AC238" s="79">
        <f t="shared" si="196"/>
        <v>-31.809999999999988</v>
      </c>
      <c r="AD238" s="79">
        <f t="shared" si="196"/>
        <v>-53.980217126009109</v>
      </c>
      <c r="AE238" s="79">
        <f t="shared" si="196"/>
        <v>-7.0251235798969844</v>
      </c>
      <c r="AF238" s="79">
        <f t="shared" si="196"/>
        <v>45.8204536254255</v>
      </c>
      <c r="AG238" s="79">
        <f t="shared" si="196"/>
        <v>129.8177913805651</v>
      </c>
      <c r="AH238" s="79">
        <f t="shared" si="196"/>
        <v>250.80821452474066</v>
      </c>
      <c r="AI238" s="79">
        <f t="shared" si="196"/>
        <v>413.32895069547254</v>
      </c>
      <c r="AJ238" s="79">
        <f t="shared" si="196"/>
        <v>624.43580715599944</v>
      </c>
      <c r="AK238" s="79">
        <f t="shared" si="196"/>
        <v>883.8233671921015</v>
      </c>
      <c r="AL238" s="79">
        <f t="shared" si="196"/>
        <v>1146.738908113884</v>
      </c>
      <c r="AM238" s="79">
        <f t="shared" si="196"/>
        <v>1400.873861051366</v>
      </c>
      <c r="AN238" s="79">
        <f t="shared" si="196"/>
        <v>1659.3280485875962</v>
      </c>
    </row>
    <row r="239" spans="1:40" s="3" customFormat="1" outlineLevel="1">
      <c r="A239" s="96" t="s">
        <v>153</v>
      </c>
      <c r="B239"/>
      <c r="C239"/>
      <c r="D239" s="275"/>
      <c r="E239" s="59" t="s">
        <v>153</v>
      </c>
      <c r="F239"/>
      <c r="G239" s="127"/>
      <c r="H239" s="127"/>
      <c r="I239" s="127"/>
      <c r="J239" s="127"/>
      <c r="K239" s="127"/>
      <c r="L239" s="127"/>
      <c r="M239" s="127"/>
      <c r="N239" s="127"/>
      <c r="O239" s="127"/>
      <c r="P239" s="127"/>
      <c r="Q239" s="127"/>
      <c r="R239" s="127"/>
      <c r="S239" s="127"/>
      <c r="T239" s="127"/>
      <c r="U239" s="127"/>
      <c r="V239" s="127"/>
      <c r="W239" s="127"/>
      <c r="X239" s="127"/>
      <c r="Y239" s="127">
        <f t="shared" ref="Y239:AD239" si="197">IF(OR(Y238&lt;0,Y226/(Y238*4)&gt;20),"na",+Y226/(Y238*4))</f>
        <v>1.1174304418985226</v>
      </c>
      <c r="Z239" s="127" t="str">
        <f t="shared" si="197"/>
        <v>na</v>
      </c>
      <c r="AA239" s="127" t="str">
        <f t="shared" si="197"/>
        <v>na</v>
      </c>
      <c r="AB239" s="127" t="str">
        <f t="shared" si="197"/>
        <v>na</v>
      </c>
      <c r="AC239" s="127" t="str">
        <f t="shared" si="197"/>
        <v>na</v>
      </c>
      <c r="AD239" s="127" t="str">
        <f t="shared" si="197"/>
        <v>na</v>
      </c>
      <c r="AE239" s="127" t="str">
        <f>IF(OR(AE238&lt;0,AE226/(AE238*4)&gt;20),"na",+AE226/(AE238*4))</f>
        <v>na</v>
      </c>
      <c r="AF239" s="127">
        <f>IF(OR(AF238&lt;0,AF226/(AF238*4)&gt;20),"na",+AF226/(AF238*4))</f>
        <v>9.8311638499594096</v>
      </c>
      <c r="AG239" s="127">
        <f t="shared" ref="AG239:AN239" si="198">IF(OR(AG238&lt;0,AG226/(AG238*4)&gt;20),"na",+AG226/(AG238*4))</f>
        <v>3.7530936097123231</v>
      </c>
      <c r="AH239" s="127">
        <f t="shared" si="198"/>
        <v>1.9840952646406467</v>
      </c>
      <c r="AI239" s="127">
        <f t="shared" si="198"/>
        <v>1.2556156569151093</v>
      </c>
      <c r="AJ239" s="127">
        <f t="shared" si="198"/>
        <v>0.84942868249425862</v>
      </c>
      <c r="AK239" s="127">
        <f t="shared" si="198"/>
        <v>0.62483953836186812</v>
      </c>
      <c r="AL239" s="127">
        <f t="shared" si="198"/>
        <v>0.4907247434995286</v>
      </c>
      <c r="AM239" s="127">
        <f t="shared" si="198"/>
        <v>0.41615345164215972</v>
      </c>
      <c r="AN239" s="127">
        <f t="shared" si="198"/>
        <v>0.35596310101525686</v>
      </c>
    </row>
    <row r="240" spans="1:40" s="3" customFormat="1" outlineLevel="1">
      <c r="A240" s="96"/>
      <c r="B240"/>
      <c r="C240"/>
      <c r="D240" s="275"/>
      <c r="E240" s="59" t="s">
        <v>84</v>
      </c>
      <c r="F240"/>
      <c r="G240" s="127"/>
      <c r="H240" s="127"/>
      <c r="I240" s="127"/>
      <c r="J240" s="127"/>
      <c r="K240" s="127"/>
      <c r="L240" s="127"/>
      <c r="M240" s="127"/>
      <c r="N240" s="127"/>
      <c r="O240" s="127"/>
      <c r="P240" s="127"/>
      <c r="Q240" s="127"/>
      <c r="R240" s="127"/>
      <c r="S240" s="127"/>
      <c r="T240" s="127"/>
      <c r="U240" s="127"/>
      <c r="V240" s="127"/>
      <c r="W240" s="127"/>
      <c r="X240" s="127"/>
      <c r="Y240" s="127">
        <f t="shared" ref="Y240:AD240" si="199">IF(OR(Y238&lt;0,Y237/(Y238*4)&gt;20),"na",+Y237/(Y238*4))</f>
        <v>-6.3914689034369632</v>
      </c>
      <c r="Z240" s="127" t="str">
        <f t="shared" si="199"/>
        <v>na</v>
      </c>
      <c r="AA240" s="127" t="str">
        <f t="shared" si="199"/>
        <v>na</v>
      </c>
      <c r="AB240" s="127" t="str">
        <f t="shared" si="199"/>
        <v>na</v>
      </c>
      <c r="AC240" s="127" t="str">
        <f t="shared" si="199"/>
        <v>na</v>
      </c>
      <c r="AD240" s="127" t="str">
        <f t="shared" ca="1" si="199"/>
        <v>na</v>
      </c>
      <c r="AE240" s="127" t="str">
        <f ca="1">IF(OR(AE238&lt;0,AE237/(AE238*4)&gt;20),"na",+AE237/(AE238*4))</f>
        <v>na</v>
      </c>
      <c r="AF240" s="127">
        <f ca="1">IF(OR(AF238&lt;0,AF237/(AF238*4)&gt;20),"na",+AF237/(AF238*4))</f>
        <v>1.7176852799235252</v>
      </c>
      <c r="AG240" s="127">
        <f t="shared" ref="AG240:AN240" ca="1" si="200">IF(OR(AG238&lt;0,AG237/(AG238*4)&gt;20),"na",+AG237/(AG238*4))</f>
        <v>0.77547315954423424</v>
      </c>
      <c r="AH240" s="127">
        <f t="shared" ca="1" si="200"/>
        <v>0.41363286099614571</v>
      </c>
      <c r="AI240" s="127">
        <f t="shared" ca="1" si="200"/>
        <v>0.22172064554580764</v>
      </c>
      <c r="AJ240" s="127">
        <f t="shared" ca="1" si="200"/>
        <v>5.8199768851171764E-2</v>
      </c>
      <c r="AK240" s="127">
        <f t="shared" ca="1" si="200"/>
        <v>-5.6990141032292656E-2</v>
      </c>
      <c r="AL240" s="127">
        <f t="shared" ca="1" si="200"/>
        <v>-0.16364351921985529</v>
      </c>
      <c r="AM240" s="127">
        <f t="shared" ca="1" si="200"/>
        <v>-0.25140548967026177</v>
      </c>
      <c r="AN240" s="127">
        <f t="shared" ca="1" si="200"/>
        <v>-0.34275922926833091</v>
      </c>
    </row>
    <row r="241" spans="1:41" s="3" customFormat="1" outlineLevel="1">
      <c r="A241" s="96"/>
      <c r="B241"/>
      <c r="C241"/>
      <c r="D241" s="275"/>
      <c r="E241" s="59"/>
      <c r="F241"/>
      <c r="G241"/>
      <c r="H241"/>
      <c r="I241"/>
      <c r="J241"/>
      <c r="K241"/>
      <c r="L241"/>
      <c r="M241"/>
      <c r="N241"/>
      <c r="O241"/>
      <c r="P241"/>
      <c r="Q241"/>
      <c r="R241"/>
      <c r="S241"/>
      <c r="T241"/>
      <c r="U241" s="7"/>
      <c r="V241" s="7"/>
      <c r="W241" s="7"/>
      <c r="X241"/>
      <c r="Y241"/>
      <c r="Z241"/>
      <c r="AA241" s="247"/>
      <c r="AB241" s="247"/>
      <c r="AC241" s="247"/>
      <c r="AD241" s="247"/>
      <c r="AE241" s="247"/>
      <c r="AF241" s="247"/>
      <c r="AG241" s="247"/>
      <c r="AH241" s="247"/>
      <c r="AI241" s="247"/>
      <c r="AJ241" s="247"/>
      <c r="AK241" s="247"/>
      <c r="AL241" s="247"/>
      <c r="AM241" s="247"/>
      <c r="AN241" s="247"/>
    </row>
    <row r="242" spans="1:41" s="3" customFormat="1" outlineLevel="1">
      <c r="A242" s="96"/>
      <c r="B242" s="96" t="s">
        <v>395</v>
      </c>
      <c r="C242"/>
      <c r="D242" s="275"/>
      <c r="E242" s="59" t="s">
        <v>106</v>
      </c>
      <c r="F242"/>
      <c r="G242" s="277"/>
      <c r="H242" s="181"/>
      <c r="I242" s="181"/>
      <c r="J242" s="181"/>
      <c r="K242" s="181"/>
      <c r="L242" s="181"/>
      <c r="M242" s="181"/>
      <c r="N242" s="181"/>
      <c r="O242" s="181"/>
      <c r="P242" s="181"/>
      <c r="Q242" s="181"/>
      <c r="R242" s="181"/>
      <c r="S242" s="181"/>
      <c r="T242" s="181"/>
      <c r="U242" s="181"/>
      <c r="V242" s="181"/>
      <c r="W242" s="181"/>
      <c r="X242" s="181">
        <v>0.626</v>
      </c>
      <c r="Y242" s="181">
        <v>0.76200000000000001</v>
      </c>
      <c r="Z242" s="181" cm="1">
        <f t="array" ref="Z242">INDEX(QRT!$1:$1048576,MATCH(Model!$B242,QRT!$A:$A,0),MATCH(Model!Z$3,QRT!$4:$4,0))+INDEX(QRT!$1:$1048576,MATCH(Model!$B242,QRT!$A:$A,0),MATCH(Model!Z$3,QRT!$4:$4,0)+1)+INDEX(QRT!$1:$1048576,MATCH(Model!$B242,QRT!$A:$A,0),MATCH(Model!Z$3,QRT!$4:$4,0)+2)+INDEX(QRT!$1:$1048576,MATCH(Model!$B242,QRT!$A:$A,0),MATCH(Model!Z$3,QRT!$4:$4,0)+3)</f>
        <v>1.895</v>
      </c>
      <c r="AA242" s="181" cm="1">
        <f t="array" ref="AA242">INDEX(QRT!$1:$1048576,MATCH(Model!$B242,QRT!$A:$A,0),MATCH(Model!AA$3,QRT!$4:$4,0))+INDEX(QRT!$1:$1048576,MATCH(Model!$B242,QRT!$A:$A,0),MATCH(Model!AA$3,QRT!$4:$4,0)+1)+INDEX(QRT!$1:$1048576,MATCH(Model!$B242,QRT!$A:$A,0),MATCH(Model!AA$3,QRT!$4:$4,0)+2)+INDEX(QRT!$1:$1048576,MATCH(Model!$B242,QRT!$A:$A,0),MATCH(Model!AA$3,QRT!$4:$4,0)+3)</f>
        <v>5.7869999999999999</v>
      </c>
      <c r="AB242" s="181" cm="1">
        <f t="array" ref="AB242">INDEX(QRT!$1:$1048576,MATCH(Model!$B242,QRT!$A:$A,0),MATCH(Model!AB$3,QRT!$4:$4,0))+INDEX(QRT!$1:$1048576,MATCH(Model!$B242,QRT!$A:$A,0),MATCH(Model!AB$3,QRT!$4:$4,0)+1)+INDEX(QRT!$1:$1048576,MATCH(Model!$B242,QRT!$A:$A,0),MATCH(Model!AB$3,QRT!$4:$4,0)+2)+INDEX(QRT!$1:$1048576,MATCH(Model!$B242,QRT!$A:$A,0),MATCH(Model!AB$3,QRT!$4:$4,0)+3)</f>
        <v>6.5880000000000001</v>
      </c>
      <c r="AC242" s="181" cm="1">
        <f t="array" ref="AC242">INDEX(QRT!$1:$1048576,MATCH(Model!$B242,QRT!$A:$A,0),MATCH(Model!AC$3,QRT!$4:$4,0))+INDEX(QRT!$1:$1048576,MATCH(Model!$B242,QRT!$A:$A,0),MATCH(Model!AC$3,QRT!$4:$4,0)+1)+INDEX(QRT!$1:$1048576,MATCH(Model!$B242,QRT!$A:$A,0),MATCH(Model!AC$3,QRT!$4:$4,0)+2)+INDEX(QRT!$1:$1048576,MATCH(Model!$B242,QRT!$A:$A,0),MATCH(Model!AC$3,QRT!$4:$4,0)+3)</f>
        <v>1.9700000000000002</v>
      </c>
      <c r="AD242" s="164" cm="1">
        <f t="array" ref="AD242">INDEX(QRT!$1:$1048576,MATCH(Model!$B242,QRT!$A:$A,0),MATCH(Model!AD$3,QRT!$4:$4,0))+INDEX(QRT!$1:$1048576,MATCH(Model!$B242,QRT!$A:$A,0),MATCH(Model!AD$3,QRT!$4:$4,0)+1)+INDEX(QRT!$1:$1048576,MATCH(Model!$B242,QRT!$A:$A,0),MATCH(Model!AD$3,QRT!$4:$4,0)+2)+INDEX(QRT!$1:$1048576,MATCH(Model!$B242,QRT!$A:$A,0),MATCH(Model!AD$3,QRT!$4:$4,0)+3)</f>
        <v>5.8945265675783798</v>
      </c>
      <c r="AE242" s="164" cm="1">
        <f t="array" aca="1" ref="AE242" ca="1">INDEX(QRT!$1:$1048576,MATCH(Model!$B242,QRT!$A:$A,0),MATCH(Model!AE$3,QRT!$4:$4,0))+INDEX(QRT!$1:$1048576,MATCH(Model!$B242,QRT!$A:$A,0),MATCH(Model!AE$3,QRT!$4:$4,0)+1)+INDEX(QRT!$1:$1048576,MATCH(Model!$B242,QRT!$A:$A,0),MATCH(Model!AE$3,QRT!$4:$4,0)+2)+INDEX(QRT!$1:$1048576,MATCH(Model!$B242,QRT!$A:$A,0),MATCH(Model!AE$3,QRT!$4:$4,0)+3)</f>
        <v>6.1766802102833189</v>
      </c>
      <c r="AF242" s="164" cm="1">
        <f t="array" aca="1" ref="AF242" ca="1">INDEX(QRT!$1:$1048576,MATCH(Model!$B242,QRT!$A:$A,0),MATCH(Model!AF$3,QRT!$4:$4,0))+INDEX(QRT!$1:$1048576,MATCH(Model!$B242,QRT!$A:$A,0),MATCH(Model!AF$3,QRT!$4:$4,0)+1)+INDEX(QRT!$1:$1048576,MATCH(Model!$B242,QRT!$A:$A,0),MATCH(Model!AF$3,QRT!$4:$4,0)+2)+INDEX(QRT!$1:$1048576,MATCH(Model!$B242,QRT!$A:$A,0),MATCH(Model!AF$3,QRT!$4:$4,0)+3)</f>
        <v>5.919098028318392</v>
      </c>
      <c r="AG242" s="7">
        <f ca="1">IFERROR(AF232*AG234,0)</f>
        <v>5.8137675593818887</v>
      </c>
      <c r="AH242" s="7">
        <f t="shared" ref="AH242:AN242" ca="1" si="201">IFERROR(AG232*AH234,0)</f>
        <v>6.0449782280912956</v>
      </c>
      <c r="AI242" s="7">
        <f t="shared" ca="1" si="201"/>
        <v>6.1597131329368811</v>
      </c>
      <c r="AJ242" s="7">
        <f t="shared" ca="1" si="201"/>
        <v>6.6828767515032457</v>
      </c>
      <c r="AK242" s="7">
        <f t="shared" ca="1" si="201"/>
        <v>7.7264702106578618</v>
      </c>
      <c r="AL242" s="7">
        <f t="shared" ca="1" si="201"/>
        <v>9.4239412002582679</v>
      </c>
      <c r="AM242" s="7">
        <f t="shared" ca="1" si="201"/>
        <v>11.734861334496037</v>
      </c>
      <c r="AN242" s="7">
        <f t="shared" ca="1" si="201"/>
        <v>14.624459882749765</v>
      </c>
    </row>
    <row r="243" spans="1:41" s="3" customFormat="1" outlineLevel="1">
      <c r="A243" s="96"/>
      <c r="B243" s="96" t="s">
        <v>396</v>
      </c>
      <c r="C243"/>
      <c r="D243" s="275"/>
      <c r="E243" s="59" t="s">
        <v>107</v>
      </c>
      <c r="F243"/>
      <c r="G243" s="277"/>
      <c r="H243" s="181"/>
      <c r="I243" s="181"/>
      <c r="J243" s="181"/>
      <c r="K243" s="181"/>
      <c r="L243" s="181"/>
      <c r="M243" s="181"/>
      <c r="N243" s="181"/>
      <c r="O243" s="181"/>
      <c r="P243" s="181"/>
      <c r="Q243" s="181"/>
      <c r="R243" s="181"/>
      <c r="S243" s="181"/>
      <c r="T243" s="181"/>
      <c r="U243" s="181"/>
      <c r="V243" s="181"/>
      <c r="W243" s="181"/>
      <c r="X243" s="181">
        <v>-0.65400000000000003</v>
      </c>
      <c r="Y243" s="181">
        <v>-0.86199999999999999</v>
      </c>
      <c r="Z243" s="181" cm="1">
        <f t="array" ref="Z243">INDEX(QRT!$1:$1048576,MATCH(Model!$B243,QRT!$A:$A,0),MATCH(Model!Z$3,QRT!$4:$4,0))+INDEX(QRT!$1:$1048576,MATCH(Model!$B243,QRT!$A:$A,0),MATCH(Model!Z$3,QRT!$4:$4,0)+1)+INDEX(QRT!$1:$1048576,MATCH(Model!$B243,QRT!$A:$A,0),MATCH(Model!Z$3,QRT!$4:$4,0)+2)+INDEX(QRT!$1:$1048576,MATCH(Model!$B243,QRT!$A:$A,0),MATCH(Model!Z$3,QRT!$4:$4,0)+3)</f>
        <v>-0.99199999999999999</v>
      </c>
      <c r="AA243" s="181" cm="1">
        <f t="array" ref="AA243">INDEX(QRT!$1:$1048576,MATCH(Model!$B243,QRT!$A:$A,0),MATCH(Model!AA$3,QRT!$4:$4,0))+INDEX(QRT!$1:$1048576,MATCH(Model!$B243,QRT!$A:$A,0),MATCH(Model!AA$3,QRT!$4:$4,0)+1)+INDEX(QRT!$1:$1048576,MATCH(Model!$B243,QRT!$A:$A,0),MATCH(Model!AA$3,QRT!$4:$4,0)+2)+INDEX(QRT!$1:$1048576,MATCH(Model!$B243,QRT!$A:$A,0),MATCH(Model!AA$3,QRT!$4:$4,0)+3)</f>
        <v>-1.1119999999999999</v>
      </c>
      <c r="AB243" s="181" cm="1">
        <f t="array" ref="AB243">INDEX(QRT!$1:$1048576,MATCH(Model!$B243,QRT!$A:$A,0),MATCH(Model!AB$3,QRT!$4:$4,0))+INDEX(QRT!$1:$1048576,MATCH(Model!$B243,QRT!$A:$A,0),MATCH(Model!AB$3,QRT!$4:$4,0)+1)+INDEX(QRT!$1:$1048576,MATCH(Model!$B243,QRT!$A:$A,0),MATCH(Model!AB$3,QRT!$4:$4,0)+2)+INDEX(QRT!$1:$1048576,MATCH(Model!$B243,QRT!$A:$A,0),MATCH(Model!AB$3,QRT!$4:$4,0)+3)</f>
        <v>-3.335</v>
      </c>
      <c r="AC243" s="181" cm="1">
        <f t="array" ref="AC243">INDEX(QRT!$1:$1048576,MATCH(Model!$B243,QRT!$A:$A,0),MATCH(Model!AC$3,QRT!$4:$4,0))+INDEX(QRT!$1:$1048576,MATCH(Model!$B243,QRT!$A:$A,0),MATCH(Model!AC$3,QRT!$4:$4,0)+1)+INDEX(QRT!$1:$1048576,MATCH(Model!$B243,QRT!$A:$A,0),MATCH(Model!AC$3,QRT!$4:$4,0)+2)+INDEX(QRT!$1:$1048576,MATCH(Model!$B243,QRT!$A:$A,0),MATCH(Model!AC$3,QRT!$4:$4,0)+3)</f>
        <v>-3.0600000000000023</v>
      </c>
      <c r="AD243" s="164" cm="1">
        <f t="array" ref="AD243">INDEX(QRT!$1:$1048576,MATCH(Model!$B243,QRT!$A:$A,0),MATCH(Model!AD$3,QRT!$4:$4,0))+INDEX(QRT!$1:$1048576,MATCH(Model!$B243,QRT!$A:$A,0),MATCH(Model!AD$3,QRT!$4:$4,0)+1)+INDEX(QRT!$1:$1048576,MATCH(Model!$B243,QRT!$A:$A,0),MATCH(Model!AD$3,QRT!$4:$4,0)+2)+INDEX(QRT!$1:$1048576,MATCH(Model!$B243,QRT!$A:$A,0),MATCH(Model!AD$3,QRT!$4:$4,0)+3)</f>
        <v>-5.0187998457671394</v>
      </c>
      <c r="AE243" s="164" cm="1">
        <f t="array" ref="AE243">INDEX(QRT!$1:$1048576,MATCH(Model!$B243,QRT!$A:$A,0),MATCH(Model!AE$3,QRT!$4:$4,0))+INDEX(QRT!$1:$1048576,MATCH(Model!$B243,QRT!$A:$A,0),MATCH(Model!AE$3,QRT!$4:$4,0)+1)+INDEX(QRT!$1:$1048576,MATCH(Model!$B243,QRT!$A:$A,0),MATCH(Model!AE$3,QRT!$4:$4,0)+2)+INDEX(QRT!$1:$1048576,MATCH(Model!$B243,QRT!$A:$A,0),MATCH(Model!AE$3,QRT!$4:$4,0)+3)</f>
        <v>-9.883066047202254</v>
      </c>
      <c r="AF243" s="164" cm="1">
        <f t="array" ref="AF243">INDEX(QRT!$1:$1048576,MATCH(Model!$B243,QRT!$A:$A,0),MATCH(Model!AF$3,QRT!$4:$4,0))+INDEX(QRT!$1:$1048576,MATCH(Model!$B243,QRT!$A:$A,0),MATCH(Model!AF$3,QRT!$4:$4,0)+1)+INDEX(QRT!$1:$1048576,MATCH(Model!$B243,QRT!$A:$A,0),MATCH(Model!AF$3,QRT!$4:$4,0)+2)+INDEX(QRT!$1:$1048576,MATCH(Model!$B243,QRT!$A:$A,0),MATCH(Model!AF$3,QRT!$4:$4,0)+3)</f>
        <v>-10.417524277404302</v>
      </c>
      <c r="AG243" s="7">
        <f>-(AF226*AG228)*AG246</f>
        <v>-12.16264645631767</v>
      </c>
      <c r="AH243" s="7">
        <f t="shared" ref="AH243:AN243" si="202">-(AG226*AH228)*AH246</f>
        <v>-87.699298186325947</v>
      </c>
      <c r="AI243" s="7">
        <f t="shared" si="202"/>
        <v>-89.572930338872411</v>
      </c>
      <c r="AJ243" s="7">
        <f t="shared" si="202"/>
        <v>-93.416814350915146</v>
      </c>
      <c r="AK243" s="7">
        <f t="shared" si="202"/>
        <v>-95.474463295456715</v>
      </c>
      <c r="AL243" s="7">
        <f t="shared" si="202"/>
        <v>-99.404601254954031</v>
      </c>
      <c r="AM243" s="7">
        <f t="shared" si="202"/>
        <v>-101.29196817812074</v>
      </c>
      <c r="AN243" s="7">
        <f t="shared" si="202"/>
        <v>-104.93612866652494</v>
      </c>
    </row>
    <row r="244" spans="1:41" s="3" customFormat="1" outlineLevel="1">
      <c r="A244" s="96"/>
      <c r="B244" s="96" t="s">
        <v>397</v>
      </c>
      <c r="C244"/>
      <c r="D244" s="275"/>
      <c r="E244" s="59" t="s">
        <v>364</v>
      </c>
      <c r="F244"/>
      <c r="G244" s="277"/>
      <c r="H244" s="181"/>
      <c r="I244" s="181"/>
      <c r="J244" s="181"/>
      <c r="K244" s="181"/>
      <c r="L244" s="181"/>
      <c r="M244" s="181"/>
      <c r="N244" s="181"/>
      <c r="O244" s="181"/>
      <c r="P244" s="181"/>
      <c r="Q244" s="181"/>
      <c r="R244" s="181"/>
      <c r="S244" s="181"/>
      <c r="T244" s="181"/>
      <c r="U244" s="181"/>
      <c r="V244" s="181"/>
      <c r="W244" s="181"/>
      <c r="X244" s="181">
        <v>0</v>
      </c>
      <c r="Y244" s="181">
        <v>0</v>
      </c>
      <c r="Z244" s="181" cm="1">
        <f t="array" ref="Z244">INDEX(QRT!$1:$1048576,MATCH(Model!$B244,QRT!$A:$A,0),MATCH(Model!Z$3,QRT!$4:$4,0))+INDEX(QRT!$1:$1048576,MATCH(Model!$B244,QRT!$A:$A,0),MATCH(Model!Z$3,QRT!$4:$4,0)+1)+INDEX(QRT!$1:$1048576,MATCH(Model!$B244,QRT!$A:$A,0),MATCH(Model!Z$3,QRT!$4:$4,0)+2)+INDEX(QRT!$1:$1048576,MATCH(Model!$B244,QRT!$A:$A,0),MATCH(Model!Z$3,QRT!$4:$4,0)+3)</f>
        <v>0</v>
      </c>
      <c r="AA244" s="181" cm="1">
        <f t="array" ref="AA244">INDEX(QRT!$1:$1048576,MATCH(Model!$B244,QRT!$A:$A,0),MATCH(Model!AA$3,QRT!$4:$4,0))+INDEX(QRT!$1:$1048576,MATCH(Model!$B244,QRT!$A:$A,0),MATCH(Model!AA$3,QRT!$4:$4,0)+1)+INDEX(QRT!$1:$1048576,MATCH(Model!$B244,QRT!$A:$A,0),MATCH(Model!AA$3,QRT!$4:$4,0)+2)+INDEX(QRT!$1:$1048576,MATCH(Model!$B244,QRT!$A:$A,0),MATCH(Model!AA$3,QRT!$4:$4,0)+3)</f>
        <v>0</v>
      </c>
      <c r="AB244" s="181" cm="1">
        <f t="array" ref="AB244">INDEX(QRT!$1:$1048576,MATCH(Model!$B244,QRT!$A:$A,0),MATCH(Model!AB$3,QRT!$4:$4,0))+INDEX(QRT!$1:$1048576,MATCH(Model!$B244,QRT!$A:$A,0),MATCH(Model!AB$3,QRT!$4:$4,0)+1)+INDEX(QRT!$1:$1048576,MATCH(Model!$B244,QRT!$A:$A,0),MATCH(Model!AB$3,QRT!$4:$4,0)+2)+INDEX(QRT!$1:$1048576,MATCH(Model!$B244,QRT!$A:$A,0),MATCH(Model!AB$3,QRT!$4:$4,0)+3)</f>
        <v>-21.628999999999998</v>
      </c>
      <c r="AC244" s="181" cm="1">
        <f t="array" ref="AC244">INDEX(QRT!$1:$1048576,MATCH(Model!$B244,QRT!$A:$A,0),MATCH(Model!AC$3,QRT!$4:$4,0))+INDEX(QRT!$1:$1048576,MATCH(Model!$B244,QRT!$A:$A,0),MATCH(Model!AC$3,QRT!$4:$4,0)+1)+INDEX(QRT!$1:$1048576,MATCH(Model!$B244,QRT!$A:$A,0),MATCH(Model!AC$3,QRT!$4:$4,0)+2)+INDEX(QRT!$1:$1048576,MATCH(Model!$B244,QRT!$A:$A,0),MATCH(Model!AC$3,QRT!$4:$4,0)+3)</f>
        <v>-46.173999999999999</v>
      </c>
      <c r="AD244" s="164" cm="1">
        <f t="array" ref="AD244">INDEX(QRT!$1:$1048576,MATCH(Model!$B244,QRT!$A:$A,0),MATCH(Model!AD$3,QRT!$4:$4,0))+INDEX(QRT!$1:$1048576,MATCH(Model!$B244,QRT!$A:$A,0),MATCH(Model!AD$3,QRT!$4:$4,0)+1)+INDEX(QRT!$1:$1048576,MATCH(Model!$B244,QRT!$A:$A,0),MATCH(Model!AD$3,QRT!$4:$4,0)+2)+INDEX(QRT!$1:$1048576,MATCH(Model!$B244,QRT!$A:$A,0),MATCH(Model!AD$3,QRT!$4:$4,0)+3)</f>
        <v>-29.270199126013786</v>
      </c>
      <c r="AE244" s="164" cm="1">
        <f t="array" ref="AE244">INDEX(QRT!$1:$1048576,MATCH(Model!$B244,QRT!$A:$A,0),MATCH(Model!AE$3,QRT!$4:$4,0))+INDEX(QRT!$1:$1048576,MATCH(Model!$B244,QRT!$A:$A,0),MATCH(Model!AE$3,QRT!$4:$4,0)+1)+INDEX(QRT!$1:$1048576,MATCH(Model!$B244,QRT!$A:$A,0),MATCH(Model!AE$3,QRT!$4:$4,0)+2)+INDEX(QRT!$1:$1048576,MATCH(Model!$B244,QRT!$A:$A,0),MATCH(Model!AE$3,QRT!$4:$4,0)+3)</f>
        <v>-56.004040934146111</v>
      </c>
      <c r="AF244" s="164" cm="1">
        <f t="array" ref="AF244">INDEX(QRT!$1:$1048576,MATCH(Model!$B244,QRT!$A:$A,0),MATCH(Model!AF$3,QRT!$4:$4,0))+INDEX(QRT!$1:$1048576,MATCH(Model!$B244,QRT!$A:$A,0),MATCH(Model!AF$3,QRT!$4:$4,0)+1)+INDEX(QRT!$1:$1048576,MATCH(Model!$B244,QRT!$A:$A,0),MATCH(Model!AF$3,QRT!$4:$4,0)+2)+INDEX(QRT!$1:$1048576,MATCH(Model!$B244,QRT!$A:$A,0),MATCH(Model!AF$3,QRT!$4:$4,0)+3)</f>
        <v>-59.032637571957707</v>
      </c>
      <c r="AG244" s="7">
        <f>-(AF226*AG228)*(1-AG246)</f>
        <v>-68.921663252466786</v>
      </c>
      <c r="AH244" s="7">
        <f t="shared" ref="AH244:AN244" si="203">-(AG226*AH228)*(1-AH246)</f>
        <v>0</v>
      </c>
      <c r="AI244" s="7">
        <f t="shared" si="203"/>
        <v>0</v>
      </c>
      <c r="AJ244" s="7">
        <f t="shared" si="203"/>
        <v>0</v>
      </c>
      <c r="AK244" s="7">
        <f t="shared" si="203"/>
        <v>0</v>
      </c>
      <c r="AL244" s="7">
        <f t="shared" si="203"/>
        <v>0</v>
      </c>
      <c r="AM244" s="7">
        <f t="shared" si="203"/>
        <v>0</v>
      </c>
      <c r="AN244" s="7">
        <f t="shared" si="203"/>
        <v>0</v>
      </c>
    </row>
    <row r="245" spans="1:41" s="3" customFormat="1" outlineLevel="1">
      <c r="A245" s="96"/>
      <c r="B245"/>
      <c r="C245"/>
      <c r="D245" s="246"/>
      <c r="E245" s="209" t="s">
        <v>369</v>
      </c>
      <c r="F245" s="193"/>
      <c r="G245" s="278"/>
      <c r="H245" s="208"/>
      <c r="I245" s="208"/>
      <c r="J245" s="208"/>
      <c r="K245" s="208"/>
      <c r="L245" s="208"/>
      <c r="M245" s="208"/>
      <c r="N245" s="208"/>
      <c r="O245" s="208"/>
      <c r="P245" s="208"/>
      <c r="Q245" s="208"/>
      <c r="R245" s="208"/>
      <c r="S245" s="208"/>
      <c r="T245" s="208"/>
      <c r="U245" s="208"/>
      <c r="V245" s="208"/>
      <c r="W245" s="208"/>
      <c r="X245" s="208">
        <f t="shared" ref="X245:AL245" si="204">SUM(X242:X244)</f>
        <v>-2.8000000000000025E-2</v>
      </c>
      <c r="Y245" s="208">
        <f t="shared" si="204"/>
        <v>-9.9999999999999978E-2</v>
      </c>
      <c r="Z245" s="208">
        <f t="shared" si="204"/>
        <v>0.90300000000000002</v>
      </c>
      <c r="AA245" s="208">
        <f t="shared" si="204"/>
        <v>4.6749999999999998</v>
      </c>
      <c r="AB245" s="208">
        <f t="shared" si="204"/>
        <v>-18.375999999999998</v>
      </c>
      <c r="AC245" s="208">
        <f t="shared" si="204"/>
        <v>-47.264000000000003</v>
      </c>
      <c r="AD245" s="208">
        <f t="shared" si="204"/>
        <v>-28.394472404202546</v>
      </c>
      <c r="AE245" s="208">
        <f t="shared" ca="1" si="204"/>
        <v>-59.710426771065045</v>
      </c>
      <c r="AF245" s="208">
        <f t="shared" ca="1" si="204"/>
        <v>-63.531063821043617</v>
      </c>
      <c r="AG245" s="208">
        <f ca="1">SUM(AG242:AG244)</f>
        <v>-75.270542149402573</v>
      </c>
      <c r="AH245" s="208">
        <f t="shared" ca="1" si="204"/>
        <v>-81.654319958234652</v>
      </c>
      <c r="AI245" s="208">
        <f t="shared" ca="1" si="204"/>
        <v>-83.413217205935524</v>
      </c>
      <c r="AJ245" s="208">
        <f t="shared" ca="1" si="204"/>
        <v>-86.733937599411902</v>
      </c>
      <c r="AK245" s="208">
        <f t="shared" ca="1" si="204"/>
        <v>-87.74799308479885</v>
      </c>
      <c r="AL245" s="208">
        <f t="shared" ca="1" si="204"/>
        <v>-89.980660054695761</v>
      </c>
      <c r="AM245" s="208">
        <f ca="1">SUM(AM242:AM244)</f>
        <v>-89.557106843624709</v>
      </c>
      <c r="AN245" s="208">
        <f ca="1">SUM(AN242:AN244)</f>
        <v>-90.311668783775175</v>
      </c>
    </row>
    <row r="246" spans="1:41" s="83" customFormat="1" outlineLevel="1">
      <c r="A246" s="98"/>
      <c r="B246" s="52"/>
      <c r="C246" s="52"/>
      <c r="D246" s="276"/>
      <c r="E246" s="73" t="s">
        <v>560</v>
      </c>
      <c r="G246" s="279"/>
      <c r="H246" s="259"/>
      <c r="I246" s="259"/>
      <c r="J246" s="259"/>
      <c r="K246" s="259"/>
      <c r="L246" s="259"/>
      <c r="M246" s="259"/>
      <c r="N246" s="259"/>
      <c r="O246" s="259"/>
      <c r="P246" s="259"/>
      <c r="Q246" s="259"/>
      <c r="R246" s="259"/>
      <c r="S246" s="259"/>
      <c r="T246" s="259"/>
      <c r="U246" s="259"/>
      <c r="V246" s="259"/>
      <c r="W246" s="259"/>
      <c r="X246" s="259">
        <f>X243/SUM(X243:X244)</f>
        <v>1</v>
      </c>
      <c r="Y246" s="259">
        <f>Y243/SUM(Y243:Y244)</f>
        <v>1</v>
      </c>
      <c r="Z246" s="259">
        <f t="shared" ref="Z246:AF246" si="205">Z243/SUM(Z243:Z244)</f>
        <v>1</v>
      </c>
      <c r="AA246" s="259">
        <f t="shared" si="205"/>
        <v>1</v>
      </c>
      <c r="AB246" s="259">
        <f t="shared" si="205"/>
        <v>0.13359237301714469</v>
      </c>
      <c r="AC246" s="259">
        <f t="shared" si="205"/>
        <v>6.2152171263760859E-2</v>
      </c>
      <c r="AD246" s="259">
        <f t="shared" si="205"/>
        <v>0.14636763965893254</v>
      </c>
      <c r="AE246" s="259">
        <f t="shared" si="205"/>
        <v>0.15</v>
      </c>
      <c r="AF246" s="259">
        <f t="shared" si="205"/>
        <v>0.15000000000000002</v>
      </c>
      <c r="AG246" s="280">
        <f>AF246</f>
        <v>0.15000000000000002</v>
      </c>
      <c r="AH246" s="280">
        <v>1</v>
      </c>
      <c r="AI246" s="280">
        <f t="shared" ref="AI246:AN246" si="206">AH246</f>
        <v>1</v>
      </c>
      <c r="AJ246" s="280">
        <f t="shared" si="206"/>
        <v>1</v>
      </c>
      <c r="AK246" s="280">
        <f t="shared" si="206"/>
        <v>1</v>
      </c>
      <c r="AL246" s="280">
        <f t="shared" si="206"/>
        <v>1</v>
      </c>
      <c r="AM246" s="280">
        <f t="shared" si="206"/>
        <v>1</v>
      </c>
      <c r="AN246" s="280">
        <f t="shared" si="206"/>
        <v>1</v>
      </c>
    </row>
    <row r="247" spans="1:41" s="3" customFormat="1">
      <c r="A247" s="96"/>
      <c r="B247"/>
      <c r="C247"/>
      <c r="D247" s="59"/>
      <c r="E247"/>
      <c r="F247"/>
      <c r="G247"/>
      <c r="H247"/>
      <c r="I247"/>
      <c r="J247"/>
      <c r="K247"/>
      <c r="L247"/>
      <c r="M247"/>
      <c r="N247"/>
      <c r="O247"/>
      <c r="P247"/>
      <c r="Q247"/>
      <c r="R247"/>
      <c r="S247"/>
      <c r="T247"/>
      <c r="U247" s="7"/>
      <c r="V247" s="7"/>
      <c r="W247" s="7"/>
      <c r="X247" s="7"/>
      <c r="Y247" s="7"/>
      <c r="Z247" s="7"/>
      <c r="AA247" s="7"/>
      <c r="AB247" s="7"/>
      <c r="AC247" s="7"/>
      <c r="AD247" s="7"/>
      <c r="AE247" s="7"/>
      <c r="AF247" s="7"/>
      <c r="AG247" s="7"/>
      <c r="AH247" s="7"/>
      <c r="AI247" s="7"/>
      <c r="AJ247" s="7"/>
      <c r="AK247" s="7"/>
      <c r="AL247" s="7"/>
      <c r="AM247" s="53"/>
    </row>
    <row r="248" spans="1:41">
      <c r="D248" s="90"/>
      <c r="E248" s="91" t="s">
        <v>158</v>
      </c>
      <c r="F248" s="90"/>
      <c r="G248" s="90"/>
      <c r="H248" s="90"/>
      <c r="I248" s="90"/>
      <c r="J248" s="90"/>
      <c r="K248" s="90"/>
      <c r="L248" s="90"/>
      <c r="M248" s="90"/>
      <c r="N248" s="90"/>
      <c r="O248" s="90"/>
      <c r="P248" s="90"/>
      <c r="Q248" s="90"/>
      <c r="R248" s="90"/>
      <c r="S248" s="90"/>
      <c r="T248" s="90"/>
      <c r="U248" s="90"/>
      <c r="V248" s="90"/>
      <c r="W248" s="90"/>
      <c r="X248" s="90"/>
      <c r="Y248" s="90"/>
      <c r="Z248" s="90"/>
      <c r="AA248" s="90"/>
      <c r="AB248" s="90"/>
      <c r="AC248" s="90"/>
      <c r="AD248" s="90"/>
      <c r="AE248" s="90"/>
      <c r="AF248" s="90"/>
      <c r="AG248" s="90"/>
      <c r="AH248" s="90"/>
      <c r="AI248" s="90"/>
      <c r="AJ248" s="90"/>
      <c r="AK248" s="90"/>
      <c r="AL248" s="90"/>
      <c r="AM248" s="90"/>
      <c r="AN248" s="90"/>
    </row>
    <row r="249" spans="1:41" ht="5.0999999999999996" customHeight="1">
      <c r="H249" s="7"/>
      <c r="I249" s="7"/>
      <c r="J249" s="7"/>
      <c r="K249" s="7"/>
      <c r="L249" s="7"/>
      <c r="M249" s="7"/>
      <c r="N249" s="7"/>
      <c r="O249" s="7"/>
      <c r="P249" s="7"/>
      <c r="Q249" s="7"/>
      <c r="R249" s="7"/>
      <c r="S249" s="7"/>
      <c r="T249" s="7"/>
      <c r="U249" s="7"/>
      <c r="V249" s="7"/>
      <c r="W249" s="7"/>
      <c r="X249" s="54"/>
      <c r="Y249" s="54"/>
      <c r="Z249" s="54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7"/>
    </row>
    <row r="250" spans="1:41" ht="15" customHeight="1" outlineLevel="1">
      <c r="E250" s="59" t="s">
        <v>335</v>
      </c>
      <c r="H250" s="177"/>
      <c r="I250" s="177"/>
      <c r="J250" s="177"/>
      <c r="K250" s="177"/>
      <c r="L250" s="177"/>
      <c r="M250" s="177"/>
      <c r="N250" s="177"/>
      <c r="O250" s="177"/>
      <c r="P250" s="177"/>
      <c r="Q250" s="177"/>
      <c r="R250" s="177"/>
      <c r="S250" s="177"/>
      <c r="T250" s="177"/>
      <c r="U250" s="177"/>
      <c r="V250" s="177"/>
      <c r="W250" s="177"/>
      <c r="X250" s="177"/>
      <c r="Y250" s="177"/>
      <c r="Z250" s="177">
        <v>57.088999999999999</v>
      </c>
      <c r="AA250" s="177">
        <v>84.978999999999999</v>
      </c>
      <c r="AB250" s="177">
        <v>108.988</v>
      </c>
      <c r="AC250" s="181">
        <v>151.46199999999999</v>
      </c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7"/>
    </row>
    <row r="251" spans="1:41" ht="15" customHeight="1" outlineLevel="1">
      <c r="E251" s="59" t="s">
        <v>354</v>
      </c>
      <c r="H251" s="177"/>
      <c r="I251" s="177"/>
      <c r="J251" s="177"/>
      <c r="K251" s="177"/>
      <c r="L251" s="177"/>
      <c r="M251" s="177"/>
      <c r="N251" s="177"/>
      <c r="O251" s="177"/>
      <c r="P251" s="177"/>
      <c r="Q251" s="177"/>
      <c r="R251" s="177"/>
      <c r="S251" s="177"/>
      <c r="T251" s="177"/>
      <c r="U251" s="177"/>
      <c r="V251" s="177"/>
      <c r="W251" s="177"/>
      <c r="X251" s="177"/>
      <c r="Y251" s="177"/>
      <c r="Z251" s="177">
        <v>13.035</v>
      </c>
      <c r="AA251" s="177">
        <v>13.035</v>
      </c>
      <c r="AB251" s="177">
        <v>0</v>
      </c>
      <c r="AC251" s="181">
        <v>0</v>
      </c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7"/>
    </row>
    <row r="252" spans="1:41" ht="15" customHeight="1" outlineLevel="1">
      <c r="E252" s="59" t="s">
        <v>336</v>
      </c>
      <c r="H252" s="177"/>
      <c r="I252" s="177"/>
      <c r="J252" s="177"/>
      <c r="K252" s="177"/>
      <c r="L252" s="177"/>
      <c r="M252" s="177"/>
      <c r="N252" s="177"/>
      <c r="O252" s="177"/>
      <c r="P252" s="177"/>
      <c r="Q252" s="177"/>
      <c r="R252" s="177"/>
      <c r="S252" s="177"/>
      <c r="T252" s="177"/>
      <c r="U252" s="177"/>
      <c r="V252" s="177"/>
      <c r="W252" s="177"/>
      <c r="X252" s="177"/>
      <c r="Y252" s="177"/>
      <c r="Z252" s="177">
        <v>14.848000000000001</v>
      </c>
      <c r="AA252" s="177">
        <v>8.6920000000000002</v>
      </c>
      <c r="AB252" s="177">
        <v>11.242000000000001</v>
      </c>
      <c r="AC252" s="181">
        <v>41.423999999999999</v>
      </c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7"/>
    </row>
    <row r="253" spans="1:41" ht="15" customHeight="1" outlineLevel="1">
      <c r="E253" s="59" t="s">
        <v>334</v>
      </c>
      <c r="H253" s="177"/>
      <c r="I253" s="177"/>
      <c r="J253" s="177"/>
      <c r="K253" s="177"/>
      <c r="L253" s="177"/>
      <c r="M253" s="177"/>
      <c r="N253" s="177"/>
      <c r="O253" s="177"/>
      <c r="P253" s="177"/>
      <c r="Q253" s="177"/>
      <c r="R253" s="177"/>
      <c r="S253" s="177"/>
      <c r="T253" s="177"/>
      <c r="U253" s="177"/>
      <c r="V253" s="177"/>
      <c r="W253" s="177"/>
      <c r="X253" s="177"/>
      <c r="Y253" s="177"/>
      <c r="Z253" s="177">
        <v>16.344000000000001</v>
      </c>
      <c r="AA253" s="177">
        <v>31.170999999999999</v>
      </c>
      <c r="AB253" s="177">
        <v>49.618000000000002</v>
      </c>
      <c r="AC253" s="181">
        <v>63.331000000000003</v>
      </c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7"/>
    </row>
    <row r="254" spans="1:41" ht="15" customHeight="1" outlineLevel="1">
      <c r="E254" s="59" t="s">
        <v>337</v>
      </c>
      <c r="H254" s="177"/>
      <c r="I254" s="177"/>
      <c r="J254" s="177"/>
      <c r="K254" s="177"/>
      <c r="L254" s="177"/>
      <c r="M254" s="177"/>
      <c r="N254" s="177"/>
      <c r="O254" s="177"/>
      <c r="P254" s="177"/>
      <c r="Q254" s="177"/>
      <c r="R254" s="177"/>
      <c r="S254" s="177"/>
      <c r="T254" s="177"/>
      <c r="U254" s="177"/>
      <c r="V254" s="177"/>
      <c r="W254" s="177"/>
      <c r="X254" s="177"/>
      <c r="Y254" s="177"/>
      <c r="Z254" s="177">
        <v>6.5519999999999996</v>
      </c>
      <c r="AA254" s="177">
        <v>13.528</v>
      </c>
      <c r="AB254" s="177">
        <v>17.867000000000001</v>
      </c>
      <c r="AC254" s="181">
        <v>24.451000000000001</v>
      </c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7"/>
    </row>
    <row r="255" spans="1:41" ht="15" customHeight="1" outlineLevel="1">
      <c r="E255" s="59" t="s">
        <v>338</v>
      </c>
      <c r="H255" s="177"/>
      <c r="I255" s="177"/>
      <c r="J255" s="177"/>
      <c r="K255" s="177"/>
      <c r="L255" s="177"/>
      <c r="M255" s="177"/>
      <c r="N255" s="177"/>
      <c r="O255" s="177"/>
      <c r="P255" s="177"/>
      <c r="Q255" s="177"/>
      <c r="R255" s="177"/>
      <c r="S255" s="177"/>
      <c r="T255" s="177"/>
      <c r="U255" s="177"/>
      <c r="V255" s="177"/>
      <c r="W255" s="177"/>
      <c r="X255" s="177"/>
      <c r="Y255" s="177"/>
      <c r="Z255" s="177">
        <v>3.573</v>
      </c>
      <c r="AA255" s="177">
        <v>6.1239999999999997</v>
      </c>
      <c r="AB255" s="177">
        <v>5.657</v>
      </c>
      <c r="AC255" s="181">
        <v>5.9269999999999996</v>
      </c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7"/>
    </row>
    <row r="256" spans="1:41" ht="15" customHeight="1" outlineLevel="1">
      <c r="E256" s="59" t="s">
        <v>236</v>
      </c>
      <c r="H256" s="177"/>
      <c r="I256" s="177"/>
      <c r="J256" s="177"/>
      <c r="K256" s="177"/>
      <c r="L256" s="177"/>
      <c r="M256" s="177"/>
      <c r="N256" s="177"/>
      <c r="O256" s="177"/>
      <c r="P256" s="177"/>
      <c r="Q256" s="177"/>
      <c r="R256" s="177"/>
      <c r="S256" s="177"/>
      <c r="T256" s="177"/>
      <c r="U256" s="177"/>
      <c r="V256" s="177"/>
      <c r="W256" s="177"/>
      <c r="X256" s="177"/>
      <c r="Y256" s="177"/>
      <c r="Z256" s="177">
        <v>0.84699999999999998</v>
      </c>
      <c r="AA256" s="177">
        <v>1.0249999999999999</v>
      </c>
      <c r="AB256" s="177">
        <v>1.8080000000000001</v>
      </c>
      <c r="AC256" s="181">
        <v>4.032</v>
      </c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7"/>
    </row>
    <row r="257" spans="1:41" ht="15" customHeight="1" outlineLevel="1">
      <c r="E257" s="59" t="s">
        <v>339</v>
      </c>
      <c r="H257" s="177"/>
      <c r="I257" s="177"/>
      <c r="J257" s="177"/>
      <c r="K257" s="177"/>
      <c r="L257" s="177"/>
      <c r="M257" s="177"/>
      <c r="N257" s="177"/>
      <c r="O257" s="177"/>
      <c r="P257" s="177"/>
      <c r="Q257" s="177"/>
      <c r="R257" s="177"/>
      <c r="S257" s="177"/>
      <c r="T257" s="177"/>
      <c r="U257" s="177"/>
      <c r="V257" s="177"/>
      <c r="W257" s="177"/>
      <c r="X257" s="177"/>
      <c r="Y257" s="177"/>
      <c r="Z257" s="177">
        <v>0.77200000000000002</v>
      </c>
      <c r="AA257" s="177">
        <v>9.8699999999999992</v>
      </c>
      <c r="AB257" s="177">
        <v>10.686</v>
      </c>
      <c r="AC257" s="181">
        <v>12.891999999999999</v>
      </c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7"/>
    </row>
    <row r="258" spans="1:41" ht="15" customHeight="1" outlineLevel="1">
      <c r="E258" s="59" t="s">
        <v>340</v>
      </c>
      <c r="H258" s="177"/>
      <c r="I258" s="177"/>
      <c r="J258" s="177"/>
      <c r="K258" s="177"/>
      <c r="L258" s="177"/>
      <c r="M258" s="177"/>
      <c r="N258" s="177"/>
      <c r="O258" s="177"/>
      <c r="P258" s="177"/>
      <c r="Q258" s="177"/>
      <c r="R258" s="177"/>
      <c r="S258" s="177"/>
      <c r="T258" s="177"/>
      <c r="U258" s="177"/>
      <c r="V258" s="177"/>
      <c r="W258" s="177"/>
      <c r="X258" s="177"/>
      <c r="Y258" s="177"/>
      <c r="Z258" s="177">
        <v>4.9000000000000002E-2</v>
      </c>
      <c r="AA258" s="177">
        <v>0.23100000000000001</v>
      </c>
      <c r="AB258" s="177">
        <v>0.43</v>
      </c>
      <c r="AC258" s="181">
        <v>0.43</v>
      </c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7"/>
    </row>
    <row r="259" spans="1:41" s="3" customFormat="1" outlineLevel="1">
      <c r="A259" s="96"/>
      <c r="B259" s="96"/>
      <c r="C259" s="122"/>
      <c r="E259" s="128" t="s">
        <v>341</v>
      </c>
      <c r="F259" s="2"/>
      <c r="G259" s="2"/>
      <c r="H259" s="88"/>
      <c r="I259" s="88"/>
      <c r="J259" s="88"/>
      <c r="K259" s="88"/>
      <c r="L259" s="88"/>
      <c r="M259" s="88"/>
      <c r="N259" s="88"/>
      <c r="O259" s="88"/>
      <c r="P259" s="88"/>
      <c r="Q259" s="88"/>
      <c r="R259" s="88"/>
      <c r="S259" s="88"/>
      <c r="T259" s="88"/>
      <c r="U259" s="88"/>
      <c r="V259" s="88"/>
      <c r="W259" s="88"/>
      <c r="X259" s="88"/>
      <c r="Y259" s="88"/>
      <c r="Z259" s="88">
        <f>SUM(Z250:Z258)</f>
        <v>113.10899999999999</v>
      </c>
      <c r="AA259" s="88">
        <f>SUM(AA250:AA258)</f>
        <v>168.65499999999997</v>
      </c>
      <c r="AB259" s="88">
        <f>SUM(AB250:AB258)</f>
        <v>206.29600000000002</v>
      </c>
      <c r="AC259" s="88">
        <f>SUM(AC250:AC258)</f>
        <v>303.94900000000001</v>
      </c>
      <c r="AD259" s="88"/>
      <c r="AE259" s="88"/>
      <c r="AF259" s="89"/>
      <c r="AG259" s="89"/>
      <c r="AH259" s="89"/>
      <c r="AI259" s="89"/>
      <c r="AJ259" s="89"/>
      <c r="AK259" s="89"/>
      <c r="AL259" s="89"/>
      <c r="AM259" s="89"/>
      <c r="AN259" s="89"/>
      <c r="AO259"/>
    </row>
    <row r="260" spans="1:41" ht="15" customHeight="1" outlineLevel="1">
      <c r="E260" s="59" t="s">
        <v>342</v>
      </c>
      <c r="H260" s="177"/>
      <c r="I260" s="177"/>
      <c r="J260" s="177"/>
      <c r="K260" s="177"/>
      <c r="L260" s="177"/>
      <c r="M260" s="177"/>
      <c r="N260" s="177"/>
      <c r="O260" s="177"/>
      <c r="P260" s="177"/>
      <c r="Q260" s="177"/>
      <c r="R260" s="177"/>
      <c r="S260" s="177"/>
      <c r="T260" s="177"/>
      <c r="U260" s="177"/>
      <c r="V260" s="177"/>
      <c r="W260" s="177"/>
      <c r="X260" s="177"/>
      <c r="Y260" s="177"/>
      <c r="Z260" s="177">
        <v>-39.899000000000001</v>
      </c>
      <c r="AA260" s="177">
        <v>-67.188999999999993</v>
      </c>
      <c r="AB260" s="177">
        <v>-82.608000000000004</v>
      </c>
      <c r="AC260" s="181">
        <v>-120.21299999999999</v>
      </c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7"/>
    </row>
    <row r="261" spans="1:41" s="3" customFormat="1" outlineLevel="1">
      <c r="A261" s="96"/>
      <c r="B261" s="96"/>
      <c r="C261" s="122"/>
      <c r="E261" s="128" t="s">
        <v>343</v>
      </c>
      <c r="F261" s="2"/>
      <c r="G261" s="2"/>
      <c r="H261" s="88"/>
      <c r="I261" s="88"/>
      <c r="J261" s="88"/>
      <c r="K261" s="88"/>
      <c r="L261" s="88"/>
      <c r="M261" s="88"/>
      <c r="N261" s="88"/>
      <c r="O261" s="88"/>
      <c r="P261" s="88"/>
      <c r="Q261" s="88"/>
      <c r="R261" s="88"/>
      <c r="S261" s="88"/>
      <c r="T261" s="88"/>
      <c r="U261" s="88"/>
      <c r="V261" s="88"/>
      <c r="W261" s="88"/>
      <c r="X261" s="88"/>
      <c r="Y261" s="88"/>
      <c r="Z261" s="88">
        <f>Z260+Z259</f>
        <v>73.209999999999994</v>
      </c>
      <c r="AA261" s="88">
        <f>AA260+AA259</f>
        <v>101.46599999999998</v>
      </c>
      <c r="AB261" s="88">
        <f>AB260+AB259</f>
        <v>123.68800000000002</v>
      </c>
      <c r="AC261" s="88">
        <f>AC260+AC259</f>
        <v>183.73600000000002</v>
      </c>
      <c r="AD261" s="88"/>
      <c r="AE261" s="88"/>
      <c r="AF261" s="89"/>
      <c r="AG261" s="89"/>
      <c r="AH261" s="89"/>
      <c r="AI261" s="89"/>
      <c r="AJ261" s="89"/>
      <c r="AK261" s="89"/>
      <c r="AL261" s="89"/>
      <c r="AM261" s="89"/>
      <c r="AN261" s="89"/>
      <c r="AO261"/>
    </row>
    <row r="262" spans="1:41" ht="15" customHeight="1" outlineLevel="1">
      <c r="H262" s="7"/>
      <c r="I262" s="7"/>
      <c r="J262" s="7"/>
      <c r="K262" s="7"/>
      <c r="L262" s="7"/>
      <c r="M262" s="7"/>
      <c r="N262" s="7"/>
      <c r="O262" s="7"/>
      <c r="P262" s="7"/>
      <c r="Q262" s="7"/>
      <c r="R262" s="7"/>
      <c r="S262" s="7"/>
      <c r="T262" s="7"/>
      <c r="U262" s="7"/>
      <c r="V262" s="7"/>
      <c r="W262" s="7"/>
      <c r="X262" s="54"/>
      <c r="Y262" s="54"/>
      <c r="Z262" s="54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7"/>
    </row>
    <row r="263" spans="1:41" s="3" customFormat="1" outlineLevel="1">
      <c r="A263" s="96"/>
      <c r="D263" s="142"/>
      <c r="E263" s="3" t="s">
        <v>355</v>
      </c>
      <c r="H263" s="53"/>
      <c r="I263" s="53"/>
      <c r="J263" s="53"/>
      <c r="K263" s="53"/>
      <c r="L263" s="53"/>
      <c r="M263" s="53"/>
      <c r="N263" s="53"/>
      <c r="O263" s="53"/>
      <c r="P263" s="53"/>
      <c r="Q263" s="53"/>
      <c r="R263" s="53"/>
      <c r="S263" s="53"/>
      <c r="T263" s="53"/>
      <c r="U263" s="53"/>
      <c r="V263" s="53"/>
      <c r="W263" s="53"/>
      <c r="X263" s="53"/>
      <c r="Y263" s="53"/>
      <c r="Z263" s="53">
        <f t="shared" ref="Z263:AL263" si="207">+Y267</f>
        <v>51.423000000000002</v>
      </c>
      <c r="AA263" s="53">
        <f t="shared" si="207"/>
        <v>73.209999999999994</v>
      </c>
      <c r="AB263" s="53">
        <f t="shared" si="207"/>
        <v>101.46599999999999</v>
      </c>
      <c r="AC263" s="53">
        <f t="shared" si="207"/>
        <v>123.688</v>
      </c>
      <c r="AD263" s="53">
        <f t="shared" si="207"/>
        <v>183.73599999999999</v>
      </c>
      <c r="AE263" s="53">
        <f t="shared" si="207"/>
        <v>274.59319079999995</v>
      </c>
      <c r="AF263" s="53">
        <f t="shared" si="207"/>
        <v>343.24590861178984</v>
      </c>
      <c r="AG263" s="53">
        <f t="shared" si="207"/>
        <v>424.21421739176475</v>
      </c>
      <c r="AH263" s="53">
        <f t="shared" si="207"/>
        <v>509.60867887027587</v>
      </c>
      <c r="AI263" s="53">
        <f t="shared" si="207"/>
        <v>604.03933466741546</v>
      </c>
      <c r="AJ263" s="53">
        <f t="shared" si="207"/>
        <v>705.09531401654567</v>
      </c>
      <c r="AK263" s="53">
        <f t="shared" si="207"/>
        <v>810.36627629424902</v>
      </c>
      <c r="AL263" s="53">
        <f t="shared" si="207"/>
        <v>915.14690233613305</v>
      </c>
      <c r="AM263" s="53">
        <f>+AL267</f>
        <v>1015.1727597392508</v>
      </c>
      <c r="AN263" s="53">
        <f>+AM267</f>
        <v>1103.797675539236</v>
      </c>
    </row>
    <row r="264" spans="1:41" outlineLevel="1">
      <c r="B264"/>
      <c r="C264"/>
      <c r="D264" s="275"/>
      <c r="E264" s="59" t="s">
        <v>126</v>
      </c>
      <c r="H264" s="7"/>
      <c r="I264" s="7"/>
      <c r="J264" s="7"/>
      <c r="K264" s="7"/>
      <c r="L264" s="7"/>
      <c r="M264" s="7"/>
      <c r="N264" s="7"/>
      <c r="O264" s="7"/>
      <c r="P264" s="7"/>
      <c r="Q264" s="7"/>
      <c r="R264" s="7"/>
      <c r="S264" s="7"/>
      <c r="T264" s="7"/>
      <c r="U264" s="7"/>
      <c r="V264" s="7"/>
      <c r="W264" s="7"/>
      <c r="X264" s="7">
        <f t="shared" ref="X264:AF264" si="208">-(X152+X153)</f>
        <v>18.558</v>
      </c>
      <c r="Y264" s="7">
        <f t="shared" si="208"/>
        <v>22.974999999999998</v>
      </c>
      <c r="Z264" s="7">
        <f t="shared" si="208"/>
        <v>34.838999999999999</v>
      </c>
      <c r="AA264" s="7">
        <f t="shared" si="208"/>
        <v>57.279000000000003</v>
      </c>
      <c r="AB264" s="7">
        <f t="shared" si="208"/>
        <v>74.961999999999989</v>
      </c>
      <c r="AC264" s="7">
        <f t="shared" si="208"/>
        <v>107.738</v>
      </c>
      <c r="AD264" s="7">
        <f t="shared" si="208"/>
        <v>152.01155080000001</v>
      </c>
      <c r="AE264" s="7">
        <f t="shared" si="208"/>
        <v>188.41861300787212</v>
      </c>
      <c r="AF264" s="7">
        <f t="shared" si="208"/>
        <v>230.01236995661799</v>
      </c>
      <c r="AG264" s="164">
        <f t="shared" ref="AG264:AL264" si="209">-AG265*AG270</f>
        <v>255.08014843521704</v>
      </c>
      <c r="AH264" s="164">
        <f t="shared" si="209"/>
        <v>298.27412734524984</v>
      </c>
      <c r="AI264" s="164">
        <f t="shared" si="209"/>
        <v>342.67171321609635</v>
      </c>
      <c r="AJ264" s="164">
        <f t="shared" si="209"/>
        <v>387.30908788432157</v>
      </c>
      <c r="AK264" s="164">
        <f t="shared" si="209"/>
        <v>428.92713655958374</v>
      </c>
      <c r="AL264" s="164">
        <f t="shared" si="209"/>
        <v>466.08461833757093</v>
      </c>
      <c r="AM264" s="164">
        <f>-AM265*AM270</f>
        <v>494.69401969568543</v>
      </c>
      <c r="AN264" s="164">
        <f>-AN265*AN270</f>
        <v>513.59742145053042</v>
      </c>
    </row>
    <row r="265" spans="1:41" outlineLevel="1">
      <c r="B265"/>
      <c r="C265"/>
      <c r="D265" s="275"/>
      <c r="E265" s="59" t="s">
        <v>7</v>
      </c>
      <c r="H265" s="7"/>
      <c r="I265" s="7"/>
      <c r="J265" s="7"/>
      <c r="K265" s="7"/>
      <c r="L265" s="7"/>
      <c r="M265" s="7"/>
      <c r="N265" s="7"/>
      <c r="O265" s="7"/>
      <c r="P265" s="7"/>
      <c r="Q265" s="7"/>
      <c r="R265" s="7"/>
      <c r="S265" s="7"/>
      <c r="T265" s="7"/>
      <c r="U265" s="7"/>
      <c r="V265" s="7"/>
      <c r="W265" s="7"/>
      <c r="X265" s="7">
        <f>-SUM(X318:X320)</f>
        <v>-8.3150000000000013</v>
      </c>
      <c r="Y265" s="7">
        <f>-SUM(Y318:Y320)</f>
        <v>-11.673999999999999</v>
      </c>
      <c r="Z265" s="7">
        <f>-SUM(Z318:Z320)</f>
        <v>-18.387999999999998</v>
      </c>
      <c r="AA265" s="7">
        <f t="shared" ref="AA265:AF265" si="210">-SUM(AA318:AA320)</f>
        <v>-29.353999999999996</v>
      </c>
      <c r="AB265" s="7">
        <f t="shared" si="210"/>
        <v>-46.306000000000004</v>
      </c>
      <c r="AC265" s="7">
        <f t="shared" si="210"/>
        <v>-63.661000000000001</v>
      </c>
      <c r="AD265" s="7">
        <f t="shared" si="210"/>
        <v>-90.337360000000004</v>
      </c>
      <c r="AE265" s="7">
        <f t="shared" si="210"/>
        <v>-119.76589519608211</v>
      </c>
      <c r="AF265" s="7">
        <f t="shared" si="210"/>
        <v>-149.044061176643</v>
      </c>
      <c r="AG265" s="164">
        <f>-AG263/AG268</f>
        <v>-169.68568695670589</v>
      </c>
      <c r="AH265" s="164">
        <f t="shared" ref="AH265:AN265" si="211">-AH263/AH268</f>
        <v>-203.84347154811036</v>
      </c>
      <c r="AI265" s="164">
        <f t="shared" si="211"/>
        <v>-241.6157338669662</v>
      </c>
      <c r="AJ265" s="164">
        <f t="shared" si="211"/>
        <v>-282.03812560661828</v>
      </c>
      <c r="AK265" s="164">
        <f t="shared" si="211"/>
        <v>-324.1465105176996</v>
      </c>
      <c r="AL265" s="164">
        <f t="shared" si="211"/>
        <v>-366.05876093445323</v>
      </c>
      <c r="AM265" s="164">
        <f t="shared" si="211"/>
        <v>-406.06910389570032</v>
      </c>
      <c r="AN265" s="164">
        <f t="shared" si="211"/>
        <v>-441.5190702156944</v>
      </c>
    </row>
    <row r="266" spans="1:41" outlineLevel="1">
      <c r="B266"/>
      <c r="C266"/>
      <c r="D266" s="275"/>
      <c r="E266" s="59" t="s">
        <v>361</v>
      </c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7"/>
      <c r="W266" s="7"/>
      <c r="X266" s="7"/>
      <c r="Y266" s="7"/>
      <c r="Z266" s="7">
        <f>+Z267-SUM(Z263:Z265)</f>
        <v>5.3359999999999985</v>
      </c>
      <c r="AA266" s="7">
        <f t="shared" ref="AA266:AF266" si="212">+AA267-SUM(AA263:AA265)</f>
        <v>0.33099999999998886</v>
      </c>
      <c r="AB266" s="7">
        <f t="shared" si="212"/>
        <v>-6.4339999999999833</v>
      </c>
      <c r="AC266" s="7">
        <f t="shared" si="212"/>
        <v>15.971000000000004</v>
      </c>
      <c r="AD266" s="7">
        <f t="shared" si="212"/>
        <v>29.182999999999936</v>
      </c>
      <c r="AE266" s="7">
        <f t="shared" si="212"/>
        <v>0</v>
      </c>
      <c r="AF266" s="7">
        <f t="shared" si="212"/>
        <v>0</v>
      </c>
      <c r="AG266" s="68">
        <v>0</v>
      </c>
      <c r="AH266" s="68">
        <v>0</v>
      </c>
      <c r="AI266" s="68">
        <v>0</v>
      </c>
      <c r="AJ266" s="68">
        <v>0</v>
      </c>
      <c r="AK266" s="68">
        <v>0</v>
      </c>
      <c r="AL266" s="68">
        <v>0</v>
      </c>
      <c r="AM266" s="68">
        <v>0</v>
      </c>
      <c r="AN266" s="68">
        <v>0</v>
      </c>
    </row>
    <row r="267" spans="1:41" s="3" customFormat="1" outlineLevel="1">
      <c r="A267" s="96"/>
      <c r="D267" s="246"/>
      <c r="E267" s="209" t="s">
        <v>356</v>
      </c>
      <c r="F267" s="193"/>
      <c r="G267" s="208"/>
      <c r="H267" s="208"/>
      <c r="I267" s="208"/>
      <c r="J267" s="208"/>
      <c r="K267" s="208"/>
      <c r="L267" s="208"/>
      <c r="M267" s="208"/>
      <c r="N267" s="208"/>
      <c r="O267" s="208"/>
      <c r="P267" s="208"/>
      <c r="Q267" s="208"/>
      <c r="R267" s="208"/>
      <c r="S267" s="208"/>
      <c r="T267" s="208"/>
      <c r="U267" s="208"/>
      <c r="V267" s="208"/>
      <c r="W267" s="208"/>
      <c r="X267" s="208"/>
      <c r="Y267" s="208">
        <f t="shared" ref="Y267:AF267" si="213">Y176</f>
        <v>51.423000000000002</v>
      </c>
      <c r="Z267" s="208">
        <f t="shared" si="213"/>
        <v>73.209999999999994</v>
      </c>
      <c r="AA267" s="208">
        <f t="shared" si="213"/>
        <v>101.46599999999999</v>
      </c>
      <c r="AB267" s="208">
        <f t="shared" si="213"/>
        <v>123.688</v>
      </c>
      <c r="AC267" s="208">
        <f t="shared" si="213"/>
        <v>183.73599999999999</v>
      </c>
      <c r="AD267" s="208">
        <f t="shared" si="213"/>
        <v>274.59319079999995</v>
      </c>
      <c r="AE267" s="208">
        <f t="shared" si="213"/>
        <v>343.24590861178984</v>
      </c>
      <c r="AF267" s="208">
        <f t="shared" si="213"/>
        <v>424.21421739176475</v>
      </c>
      <c r="AG267" s="207">
        <f t="shared" ref="AG267:AL267" si="214">SUM(AG263:AG266)</f>
        <v>509.60867887027587</v>
      </c>
      <c r="AH267" s="207">
        <f t="shared" si="214"/>
        <v>604.03933466741546</v>
      </c>
      <c r="AI267" s="207">
        <f t="shared" si="214"/>
        <v>705.09531401654567</v>
      </c>
      <c r="AJ267" s="207">
        <f t="shared" si="214"/>
        <v>810.36627629424902</v>
      </c>
      <c r="AK267" s="207">
        <f t="shared" si="214"/>
        <v>915.14690233613305</v>
      </c>
      <c r="AL267" s="207">
        <f t="shared" si="214"/>
        <v>1015.1727597392508</v>
      </c>
      <c r="AM267" s="207">
        <f>SUM(AM263:AM266)</f>
        <v>1103.797675539236</v>
      </c>
      <c r="AN267" s="207">
        <f>SUM(AN263:AN266)</f>
        <v>1175.876026774072</v>
      </c>
    </row>
    <row r="268" spans="1:41" outlineLevel="1">
      <c r="B268"/>
      <c r="C268"/>
      <c r="D268" s="275"/>
      <c r="E268" s="59" t="s">
        <v>209</v>
      </c>
      <c r="H268" s="57"/>
      <c r="I268" s="57"/>
      <c r="J268" s="80"/>
      <c r="K268" s="80"/>
      <c r="L268" s="80"/>
      <c r="M268" s="80"/>
      <c r="N268" s="80"/>
      <c r="O268" s="80"/>
      <c r="P268" s="80"/>
      <c r="Q268" s="80"/>
      <c r="R268" s="80"/>
      <c r="S268" s="80"/>
      <c r="T268" s="80"/>
      <c r="U268" s="80"/>
      <c r="V268" s="80"/>
      <c r="W268" s="80"/>
      <c r="X268" s="80"/>
      <c r="Y268" s="80"/>
      <c r="Z268" s="80">
        <f>AVERAGE(Z263,Z267)/(-Z265)</f>
        <v>3.388976506417229</v>
      </c>
      <c r="AA268" s="80">
        <f t="shared" ref="AA268:AF268" si="215">AVERAGE(AA263,AA267)/(-AA265)</f>
        <v>2.9753355590379509</v>
      </c>
      <c r="AB268" s="80">
        <f t="shared" si="215"/>
        <v>2.4311536301991099</v>
      </c>
      <c r="AC268" s="80">
        <f t="shared" si="215"/>
        <v>2.4145395139881556</v>
      </c>
      <c r="AD268" s="80">
        <f t="shared" si="215"/>
        <v>2.5367643619428324</v>
      </c>
      <c r="AE268" s="80">
        <f t="shared" si="215"/>
        <v>2.579361588707104</v>
      </c>
      <c r="AF268" s="80">
        <f t="shared" si="215"/>
        <v>2.5746082062739206</v>
      </c>
      <c r="AG268" s="86">
        <v>2.5</v>
      </c>
      <c r="AH268" s="86">
        <f t="shared" ref="AH268:AN268" si="216">AG268</f>
        <v>2.5</v>
      </c>
      <c r="AI268" s="86">
        <f t="shared" si="216"/>
        <v>2.5</v>
      </c>
      <c r="AJ268" s="86">
        <f t="shared" si="216"/>
        <v>2.5</v>
      </c>
      <c r="AK268" s="86">
        <f t="shared" si="216"/>
        <v>2.5</v>
      </c>
      <c r="AL268" s="86">
        <f t="shared" si="216"/>
        <v>2.5</v>
      </c>
      <c r="AM268" s="86">
        <f t="shared" si="216"/>
        <v>2.5</v>
      </c>
      <c r="AN268" s="86">
        <f t="shared" si="216"/>
        <v>2.5</v>
      </c>
    </row>
    <row r="269" spans="1:41" outlineLevel="1">
      <c r="B269"/>
      <c r="C269"/>
      <c r="D269" s="275"/>
      <c r="E269" s="59" t="s">
        <v>645</v>
      </c>
      <c r="H269" s="57"/>
      <c r="I269" s="57"/>
      <c r="J269" s="80"/>
      <c r="K269" s="80"/>
      <c r="L269" s="80"/>
      <c r="M269" s="80"/>
      <c r="N269" s="80"/>
      <c r="O269" s="80"/>
      <c r="P269" s="80"/>
      <c r="Q269" s="80"/>
      <c r="R269" s="80"/>
      <c r="S269" s="80"/>
      <c r="T269" s="80"/>
      <c r="U269" s="80"/>
      <c r="V269" s="80"/>
      <c r="W269" s="80"/>
      <c r="X269" s="54">
        <f>X264/X7</f>
        <v>0.218867568491939</v>
      </c>
      <c r="Y269" s="54">
        <f>Y264/Y7</f>
        <v>0.17029240632991138</v>
      </c>
      <c r="Z269" s="54">
        <f>Z264/Z7</f>
        <v>0.1808183771551948</v>
      </c>
      <c r="AA269" s="54">
        <f t="shared" ref="AA269:AN269" si="217">AA264/AA7</f>
        <v>0.19956309969270647</v>
      </c>
      <c r="AB269" s="54">
        <f t="shared" si="217"/>
        <v>0.17390194845717172</v>
      </c>
      <c r="AC269" s="54">
        <f t="shared" si="217"/>
        <v>0.16412817286335396</v>
      </c>
      <c r="AD269" s="54">
        <f t="shared" si="217"/>
        <v>0.15622761437759594</v>
      </c>
      <c r="AE269" s="54">
        <f t="shared" si="217"/>
        <v>0.14409124140107746</v>
      </c>
      <c r="AF269" s="54">
        <f t="shared" si="217"/>
        <v>0.13403000092874603</v>
      </c>
      <c r="AG269" s="54">
        <f t="shared" si="217"/>
        <v>0.11612599597830046</v>
      </c>
      <c r="AH269" s="54">
        <f t="shared" si="217"/>
        <v>0.10881646546159257</v>
      </c>
      <c r="AI269" s="54">
        <f t="shared" si="217"/>
        <v>0.10271964519688767</v>
      </c>
      <c r="AJ269" s="54">
        <f t="shared" si="217"/>
        <v>9.7565984917045739E-2</v>
      </c>
      <c r="AK269" s="54">
        <f t="shared" si="217"/>
        <v>9.2548330709837895E-2</v>
      </c>
      <c r="AL269" s="54">
        <f t="shared" si="217"/>
        <v>8.7832422225741336E-2</v>
      </c>
      <c r="AM269" s="54">
        <f t="shared" si="217"/>
        <v>8.2809536915518497E-2</v>
      </c>
      <c r="AN269" s="54">
        <f t="shared" si="217"/>
        <v>7.7658881270902508E-2</v>
      </c>
    </row>
    <row r="270" spans="1:41" outlineLevel="1">
      <c r="B270"/>
      <c r="C270"/>
      <c r="D270" s="275"/>
      <c r="E270" s="59" t="s">
        <v>231</v>
      </c>
      <c r="H270" s="57"/>
      <c r="I270" s="57"/>
      <c r="J270" s="54"/>
      <c r="K270" s="54"/>
      <c r="L270" s="54"/>
      <c r="M270" s="54"/>
      <c r="N270" s="54"/>
      <c r="O270" s="54"/>
      <c r="P270" s="54"/>
      <c r="Q270" s="54"/>
      <c r="R270" s="54"/>
      <c r="S270" s="54"/>
      <c r="T270" s="54"/>
      <c r="U270" s="54"/>
      <c r="V270" s="54"/>
      <c r="W270" s="54"/>
      <c r="X270" s="54"/>
      <c r="Y270" s="54"/>
      <c r="Z270" s="54">
        <f>-Z264/Z265</f>
        <v>1.894659560582989</v>
      </c>
      <c r="AA270" s="54">
        <f t="shared" ref="AA270:AF270" si="218">-AA264/AA265</f>
        <v>1.9513183893166182</v>
      </c>
      <c r="AB270" s="54">
        <f t="shared" si="218"/>
        <v>1.6188398911588127</v>
      </c>
      <c r="AC270" s="54">
        <f t="shared" si="218"/>
        <v>1.692370525125273</v>
      </c>
      <c r="AD270" s="54">
        <f t="shared" si="218"/>
        <v>1.6827096873320186</v>
      </c>
      <c r="AE270" s="54">
        <f t="shared" si="218"/>
        <v>1.5732242697254588</v>
      </c>
      <c r="AF270" s="54">
        <f t="shared" si="218"/>
        <v>1.5432508222116514</v>
      </c>
      <c r="AG270" s="65">
        <f>AF270-0.04</f>
        <v>1.5032508222116514</v>
      </c>
      <c r="AH270" s="65">
        <f>AG270-0.04</f>
        <v>1.4632508222116514</v>
      </c>
      <c r="AI270" s="65">
        <f>AH270-0.045</f>
        <v>1.4182508222116514</v>
      </c>
      <c r="AJ270" s="65">
        <f>AI270-0.045</f>
        <v>1.3732508222116515</v>
      </c>
      <c r="AK270" s="65">
        <f>AJ270-0.05</f>
        <v>1.3232508222116515</v>
      </c>
      <c r="AL270" s="65">
        <f>AK270-0.05</f>
        <v>1.2732508222116514</v>
      </c>
      <c r="AM270" s="65">
        <f>AL270-0.055</f>
        <v>1.2182508222116515</v>
      </c>
      <c r="AN270" s="65">
        <f>AM270-0.055</f>
        <v>1.1632508222116515</v>
      </c>
    </row>
    <row r="271" spans="1:41" s="3" customFormat="1" outlineLevel="1">
      <c r="A271" s="58"/>
      <c r="B271" s="58"/>
      <c r="C271" s="58"/>
      <c r="D271" s="275"/>
      <c r="E271" s="59" t="s">
        <v>210</v>
      </c>
      <c r="F271" s="58"/>
      <c r="G271" s="58"/>
      <c r="H271" s="57"/>
      <c r="I271" s="57"/>
      <c r="J271" s="127"/>
      <c r="K271" s="127"/>
      <c r="L271" s="127"/>
      <c r="M271" s="127"/>
      <c r="N271" s="127"/>
      <c r="O271" s="127"/>
      <c r="P271" s="127"/>
      <c r="Q271" s="127"/>
      <c r="R271" s="127"/>
      <c r="S271" s="127"/>
      <c r="T271" s="127"/>
      <c r="U271" s="127"/>
      <c r="V271" s="127"/>
      <c r="W271" s="127"/>
      <c r="X271" s="127"/>
      <c r="Y271" s="127"/>
      <c r="Z271" s="127">
        <f t="shared" ref="Z271:AN271" si="219">Z104/AVERAGE(Y267:Z267)</f>
        <v>3.0918617059687241</v>
      </c>
      <c r="AA271" s="127">
        <f t="shared" si="219"/>
        <v>3.2863358446495234</v>
      </c>
      <c r="AB271" s="127">
        <f t="shared" si="219"/>
        <v>3.829014807642769</v>
      </c>
      <c r="AC271" s="127">
        <f t="shared" si="219"/>
        <v>4.2704928697824505</v>
      </c>
      <c r="AD271" s="127">
        <f t="shared" si="219"/>
        <v>4.2459147106854322</v>
      </c>
      <c r="AE271" s="127">
        <f t="shared" si="219"/>
        <v>4.2329274641037484</v>
      </c>
      <c r="AF271" s="127">
        <f t="shared" si="219"/>
        <v>4.4722219336255877</v>
      </c>
      <c r="AG271" s="127">
        <f t="shared" si="219"/>
        <v>4.7044914842979235</v>
      </c>
      <c r="AH271" s="127">
        <f t="shared" si="219"/>
        <v>4.9226960075462642</v>
      </c>
      <c r="AI271" s="127">
        <f t="shared" si="219"/>
        <v>5.0964811643208412</v>
      </c>
      <c r="AJ271" s="127">
        <f t="shared" si="219"/>
        <v>5.2389507588000681</v>
      </c>
      <c r="AK271" s="127">
        <f t="shared" si="219"/>
        <v>5.3718842788435213</v>
      </c>
      <c r="AL271" s="127">
        <f t="shared" si="219"/>
        <v>5.4980751556176948</v>
      </c>
      <c r="AM271" s="127">
        <f t="shared" si="219"/>
        <v>5.6384716688590721</v>
      </c>
      <c r="AN271" s="127">
        <f t="shared" si="219"/>
        <v>5.8021507858060035</v>
      </c>
    </row>
    <row r="272" spans="1:41" s="3" customFormat="1" outlineLevel="1">
      <c r="A272" s="58"/>
      <c r="B272" s="58"/>
      <c r="C272" s="58"/>
      <c r="D272" s="275"/>
      <c r="E272" s="59" t="s">
        <v>538</v>
      </c>
      <c r="F272" s="58"/>
      <c r="G272" s="58"/>
      <c r="H272" s="57"/>
      <c r="I272" s="57"/>
      <c r="J272" s="127"/>
      <c r="K272" s="127"/>
      <c r="L272" s="54"/>
      <c r="M272" s="54"/>
      <c r="N272" s="54"/>
      <c r="O272" s="54"/>
      <c r="P272" s="54"/>
      <c r="Q272" s="54"/>
      <c r="R272" s="54"/>
      <c r="S272" s="54"/>
      <c r="T272" s="54"/>
      <c r="U272" s="54"/>
      <c r="V272" s="54"/>
      <c r="W272" s="54"/>
      <c r="X272" s="54"/>
      <c r="Y272" s="54"/>
      <c r="Z272" s="54">
        <f t="shared" ref="Z272:AF272" si="220">Z153/SUM(Z152:Z153)</f>
        <v>0.26903757283504121</v>
      </c>
      <c r="AA272" s="54">
        <f t="shared" si="220"/>
        <v>0.24424309083608303</v>
      </c>
      <c r="AB272" s="54">
        <f t="shared" si="220"/>
        <v>0.24795229582988712</v>
      </c>
      <c r="AC272" s="54">
        <f t="shared" si="220"/>
        <v>0.13692476192244149</v>
      </c>
      <c r="AD272" s="54">
        <f t="shared" si="220"/>
        <v>0.13816566139788372</v>
      </c>
      <c r="AE272" s="54">
        <f t="shared" si="220"/>
        <v>0.11680047971455224</v>
      </c>
      <c r="AF272" s="54">
        <f t="shared" si="220"/>
        <v>9.5152594651427488E-2</v>
      </c>
      <c r="AG272" s="65">
        <f t="shared" ref="AG272:AL272" si="221">AF272*0.975</f>
        <v>9.2773779785141799E-2</v>
      </c>
      <c r="AH272" s="65">
        <f t="shared" si="221"/>
        <v>9.0454435290513252E-2</v>
      </c>
      <c r="AI272" s="65">
        <f t="shared" si="221"/>
        <v>8.8193074408250416E-2</v>
      </c>
      <c r="AJ272" s="65">
        <f t="shared" si="221"/>
        <v>8.5988247548044155E-2</v>
      </c>
      <c r="AK272" s="65">
        <f t="shared" si="221"/>
        <v>8.3838541359343044E-2</v>
      </c>
      <c r="AL272" s="65">
        <f t="shared" si="221"/>
        <v>8.1742577825359472E-2</v>
      </c>
      <c r="AM272" s="65">
        <f>AL272*0.975</f>
        <v>7.9699013379725486E-2</v>
      </c>
      <c r="AN272" s="65">
        <f>AM272*0.975</f>
        <v>7.7706538045232351E-2</v>
      </c>
    </row>
    <row r="273" spans="1:40" ht="15" customHeight="1" outlineLevel="1">
      <c r="B273"/>
      <c r="C273"/>
      <c r="D273" s="25"/>
      <c r="G273" s="7"/>
      <c r="H273" s="7"/>
      <c r="I273" s="7"/>
      <c r="J273" s="7"/>
      <c r="K273" s="7"/>
      <c r="L273" s="7"/>
      <c r="M273" s="7"/>
      <c r="N273" s="7"/>
      <c r="O273" s="7"/>
      <c r="P273" s="7"/>
      <c r="Q273" s="7"/>
      <c r="R273" s="7"/>
      <c r="S273" s="7"/>
      <c r="T273" s="7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</row>
    <row r="274" spans="1:40" s="3" customFormat="1" outlineLevel="1">
      <c r="A274" s="96"/>
      <c r="D274" s="142"/>
      <c r="E274" s="3" t="s">
        <v>214</v>
      </c>
      <c r="H274" s="53"/>
      <c r="I274" s="53"/>
      <c r="J274" s="53"/>
      <c r="K274" s="53"/>
      <c r="L274" s="53"/>
      <c r="M274" s="53"/>
      <c r="N274" s="53"/>
      <c r="O274" s="53"/>
      <c r="P274" s="53"/>
      <c r="Q274" s="53"/>
      <c r="R274" s="53"/>
      <c r="S274" s="53"/>
      <c r="T274" s="53"/>
      <c r="U274" s="53"/>
      <c r="V274" s="53"/>
      <c r="W274" s="53"/>
      <c r="X274" s="53"/>
      <c r="Y274" s="53"/>
      <c r="Z274" s="53"/>
      <c r="AA274" s="53"/>
      <c r="AB274" s="53"/>
      <c r="AC274" s="53">
        <f>+AB277</f>
        <v>43.148000000000003</v>
      </c>
      <c r="AD274" s="53">
        <f t="shared" ref="AD274:AL274" si="222">+AC277</f>
        <v>130.31399999999999</v>
      </c>
      <c r="AE274" s="53">
        <f t="shared" si="222"/>
        <v>144.77286957751406</v>
      </c>
      <c r="AF274" s="53">
        <f t="shared" si="222"/>
        <v>183.43223199598125</v>
      </c>
      <c r="AG274" s="53">
        <f t="shared" si="222"/>
        <v>224.5506714519818</v>
      </c>
      <c r="AH274" s="53">
        <f t="shared" si="222"/>
        <v>302.62875214488133</v>
      </c>
      <c r="AI274" s="53">
        <f t="shared" si="222"/>
        <v>344.26502220146961</v>
      </c>
      <c r="AJ274" s="53">
        <f t="shared" si="222"/>
        <v>429.68466691353069</v>
      </c>
      <c r="AK274" s="53">
        <f t="shared" si="222"/>
        <v>475.41019901445418</v>
      </c>
      <c r="AL274" s="53">
        <f t="shared" si="222"/>
        <v>562.74659811439426</v>
      </c>
      <c r="AM274" s="53">
        <f>+AL277</f>
        <v>604.68808529587693</v>
      </c>
      <c r="AN274" s="53">
        <f>+AM277</f>
        <v>685.66942948263693</v>
      </c>
    </row>
    <row r="275" spans="1:40" outlineLevel="1">
      <c r="B275"/>
      <c r="C275"/>
      <c r="D275" s="275"/>
      <c r="E275" s="59" t="s">
        <v>232</v>
      </c>
      <c r="H275" s="7"/>
      <c r="I275" s="7"/>
      <c r="J275" s="7"/>
      <c r="K275" s="7"/>
      <c r="L275" s="7"/>
      <c r="M275" s="7"/>
      <c r="N275" s="7"/>
      <c r="O275" s="7"/>
      <c r="P275" s="7"/>
      <c r="Q275" s="7"/>
      <c r="R275" s="7"/>
      <c r="S275" s="7"/>
      <c r="T275" s="7"/>
      <c r="U275" s="7"/>
      <c r="V275" s="7"/>
      <c r="W275" s="7"/>
      <c r="X275" s="7"/>
      <c r="Y275" s="7"/>
      <c r="Z275" s="7"/>
      <c r="AA275" s="7"/>
      <c r="AB275" s="7"/>
      <c r="AC275" s="7">
        <f>AC277-SUM(AC276:AC276,AC274)</f>
        <v>112.25699999999999</v>
      </c>
      <c r="AD275" s="7">
        <f t="shared" ref="AD275:AL275" si="223">AD277-SUM(AD276:AD276,AD274)</f>
        <v>51.326714095809635</v>
      </c>
      <c r="AE275" s="7">
        <f t="shared" si="223"/>
        <v>81.85622833835825</v>
      </c>
      <c r="AF275" s="7">
        <f t="shared" si="223"/>
        <v>92.713967365502526</v>
      </c>
      <c r="AG275" s="7">
        <f t="shared" si="223"/>
        <v>134.87364902717837</v>
      </c>
      <c r="AH275" s="7">
        <f t="shared" si="223"/>
        <v>118.18011586752203</v>
      </c>
      <c r="AI275" s="7">
        <f t="shared" si="223"/>
        <v>172.4945461902638</v>
      </c>
      <c r="AJ275" s="7">
        <f t="shared" si="223"/>
        <v>154.40561176435881</v>
      </c>
      <c r="AK275" s="7">
        <f t="shared" si="223"/>
        <v>207.58183087863108</v>
      </c>
      <c r="AL275" s="7">
        <f t="shared" si="223"/>
        <v>184.2769015510795</v>
      </c>
      <c r="AM275" s="7">
        <f>AM277-SUM(AM276:AM276,AM274)</f>
        <v>233.92501274617598</v>
      </c>
      <c r="AN275" s="7">
        <f>AN277-SUM(AN276:AN276,AN274)</f>
        <v>204.15052878508084</v>
      </c>
    </row>
    <row r="276" spans="1:40" outlineLevel="1">
      <c r="B276"/>
      <c r="C276"/>
      <c r="D276" s="275"/>
      <c r="E276" s="59" t="s">
        <v>7</v>
      </c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7"/>
      <c r="V276" s="7"/>
      <c r="W276" s="7"/>
      <c r="X276" s="7"/>
      <c r="Y276" s="7"/>
      <c r="Z276" s="7"/>
      <c r="AA276" s="7"/>
      <c r="AB276" s="7">
        <f>-AB139</f>
        <v>-19.765000000000001</v>
      </c>
      <c r="AC276" s="7">
        <f>-AC139</f>
        <v>-25.091000000000001</v>
      </c>
      <c r="AD276" s="7">
        <f>-AD139</f>
        <v>-36.86784451829557</v>
      </c>
      <c r="AE276" s="7">
        <f>-AE139</f>
        <v>-43.19686591989106</v>
      </c>
      <c r="AF276" s="7">
        <f>-AF139</f>
        <v>-51.595527909501982</v>
      </c>
      <c r="AG276" s="164">
        <f>-AG274/AG278</f>
        <v>-56.795568334278848</v>
      </c>
      <c r="AH276" s="164">
        <f t="shared" ref="AH276:AN276" si="224">-AH274/AH278</f>
        <v>-76.543845810933774</v>
      </c>
      <c r="AI276" s="164">
        <f t="shared" si="224"/>
        <v>-87.074901478202747</v>
      </c>
      <c r="AJ276" s="164">
        <f t="shared" si="224"/>
        <v>-108.68007966343534</v>
      </c>
      <c r="AK276" s="164">
        <f t="shared" si="224"/>
        <v>-120.24543177869101</v>
      </c>
      <c r="AL276" s="164">
        <f t="shared" si="224"/>
        <v>-142.33541436959686</v>
      </c>
      <c r="AM276" s="164">
        <f t="shared" si="224"/>
        <v>-152.94366855941595</v>
      </c>
      <c r="AN276" s="164">
        <f t="shared" si="224"/>
        <v>-173.42626804495978</v>
      </c>
    </row>
    <row r="277" spans="1:40" s="3" customFormat="1" outlineLevel="1">
      <c r="A277" s="96"/>
      <c r="D277" s="246"/>
      <c r="E277" s="209" t="s">
        <v>215</v>
      </c>
      <c r="F277" s="193"/>
      <c r="G277" s="208"/>
      <c r="H277" s="208"/>
      <c r="I277" s="208"/>
      <c r="J277" s="208"/>
      <c r="K277" s="208"/>
      <c r="L277" s="208"/>
      <c r="M277" s="208"/>
      <c r="N277" s="208"/>
      <c r="O277" s="208"/>
      <c r="P277" s="208"/>
      <c r="Q277" s="208"/>
      <c r="R277" s="208"/>
      <c r="S277" s="208"/>
      <c r="T277" s="208"/>
      <c r="U277" s="208"/>
      <c r="V277" s="208"/>
      <c r="W277" s="208"/>
      <c r="X277" s="208"/>
      <c r="Y277" s="208"/>
      <c r="Z277" s="208"/>
      <c r="AA277" s="208"/>
      <c r="AB277" s="208">
        <f>AB177</f>
        <v>43.148000000000003</v>
      </c>
      <c r="AC277" s="208">
        <f>AC177</f>
        <v>130.31399999999999</v>
      </c>
      <c r="AD277" s="208">
        <f>AD177</f>
        <v>144.77286957751406</v>
      </c>
      <c r="AE277" s="208">
        <f>AE177</f>
        <v>183.43223199598125</v>
      </c>
      <c r="AF277" s="208">
        <f>AF177</f>
        <v>224.5506714519818</v>
      </c>
      <c r="AG277" s="210">
        <f t="shared" ref="AG277:AN277" si="225">+AG104*AG279*2-AF277</f>
        <v>302.62875214488133</v>
      </c>
      <c r="AH277" s="210">
        <f t="shared" si="225"/>
        <v>344.26502220146961</v>
      </c>
      <c r="AI277" s="210">
        <f t="shared" si="225"/>
        <v>429.68466691353069</v>
      </c>
      <c r="AJ277" s="210">
        <f t="shared" si="225"/>
        <v>475.41019901445418</v>
      </c>
      <c r="AK277" s="210">
        <f t="shared" si="225"/>
        <v>562.74659811439426</v>
      </c>
      <c r="AL277" s="210">
        <f t="shared" si="225"/>
        <v>604.68808529587693</v>
      </c>
      <c r="AM277" s="210">
        <f t="shared" si="225"/>
        <v>685.66942948263693</v>
      </c>
      <c r="AN277" s="210">
        <f t="shared" si="225"/>
        <v>716.39369022275798</v>
      </c>
    </row>
    <row r="278" spans="1:40" outlineLevel="1">
      <c r="B278"/>
      <c r="C278"/>
      <c r="D278" s="275"/>
      <c r="E278" s="59" t="s">
        <v>209</v>
      </c>
      <c r="H278" s="57"/>
      <c r="I278" s="57"/>
      <c r="J278" s="57"/>
      <c r="K278" s="57"/>
      <c r="L278" s="80"/>
      <c r="M278" s="80"/>
      <c r="N278" s="80"/>
      <c r="O278" s="80"/>
      <c r="P278" s="80"/>
      <c r="Q278" s="80"/>
      <c r="R278" s="80"/>
      <c r="S278" s="80"/>
      <c r="T278" s="80"/>
      <c r="U278" s="80"/>
      <c r="V278" s="80"/>
      <c r="W278" s="80"/>
      <c r="X278" s="80"/>
      <c r="Y278" s="80"/>
      <c r="Z278" s="80"/>
      <c r="AA278" s="80"/>
      <c r="AB278" s="80"/>
      <c r="AC278" s="80">
        <f>-AVERAGE(AC274,AC277)/(AC276)</f>
        <v>3.4566577657327326</v>
      </c>
      <c r="AD278" s="80">
        <f>-AVERAGE(AD274,AD277)/(AD276)</f>
        <v>3.7307153858832582</v>
      </c>
      <c r="AE278" s="80">
        <f>-AVERAGE(AE274,AE277)/(AE276)</f>
        <v>3.7989457635902841</v>
      </c>
      <c r="AF278" s="80">
        <f>-AVERAGE(AF274,AF277)/(AF276)</f>
        <v>3.9536653657615521</v>
      </c>
      <c r="AG278" s="49">
        <f t="shared" ref="AG278:AL278" si="226">AF278</f>
        <v>3.9536653657615521</v>
      </c>
      <c r="AH278" s="49">
        <f t="shared" si="226"/>
        <v>3.9536653657615521</v>
      </c>
      <c r="AI278" s="49">
        <f t="shared" si="226"/>
        <v>3.9536653657615521</v>
      </c>
      <c r="AJ278" s="49">
        <f t="shared" si="226"/>
        <v>3.9536653657615521</v>
      </c>
      <c r="AK278" s="49">
        <f t="shared" si="226"/>
        <v>3.9536653657615521</v>
      </c>
      <c r="AL278" s="49">
        <f t="shared" si="226"/>
        <v>3.9536653657615521</v>
      </c>
      <c r="AM278" s="49">
        <f>AL278</f>
        <v>3.9536653657615521</v>
      </c>
      <c r="AN278" s="49">
        <f>AM278</f>
        <v>3.9536653657615521</v>
      </c>
    </row>
    <row r="279" spans="1:40" s="3" customFormat="1" outlineLevel="1">
      <c r="A279" s="58"/>
      <c r="B279" s="58"/>
      <c r="C279" s="58"/>
      <c r="D279" s="275"/>
      <c r="E279" s="59" t="s">
        <v>234</v>
      </c>
      <c r="F279" s="58"/>
      <c r="G279" s="58"/>
      <c r="H279" s="57"/>
      <c r="I279" s="57"/>
      <c r="J279" s="57"/>
      <c r="K279" s="186"/>
      <c r="L279" s="186"/>
      <c r="M279" s="186"/>
      <c r="N279" s="186"/>
      <c r="O279" s="186"/>
      <c r="P279" s="186"/>
      <c r="Q279" s="186"/>
      <c r="R279" s="186"/>
      <c r="S279" s="186"/>
      <c r="T279" s="76"/>
      <c r="U279" s="76"/>
      <c r="V279" s="76"/>
      <c r="W279" s="76"/>
      <c r="X279" s="76"/>
      <c r="Y279" s="76"/>
      <c r="Z279" s="76"/>
      <c r="AA279" s="76"/>
      <c r="AB279" s="76"/>
      <c r="AC279" s="76">
        <f>AVERAGE(AB277:AC277)/(AC104)</f>
        <v>0.13212608885083771</v>
      </c>
      <c r="AD279" s="76">
        <f>AVERAGE(AC277:AD277)/(AD104)</f>
        <v>0.14135822295911968</v>
      </c>
      <c r="AE279" s="76">
        <f>AVERAGE(AD277:AE277)/(AE104)</f>
        <v>0.12549577710222243</v>
      </c>
      <c r="AF279" s="76">
        <f>AVERAGE(AE277:AF277)/(AF104)</f>
        <v>0.11886740904055813</v>
      </c>
      <c r="AG279" s="17">
        <v>0.12</v>
      </c>
      <c r="AH279" s="17">
        <f>AG279-0.002</f>
        <v>0.11799999999999999</v>
      </c>
      <c r="AI279" s="17">
        <f t="shared" ref="AI279:AN279" si="227">AH279-0.002</f>
        <v>0.11599999999999999</v>
      </c>
      <c r="AJ279" s="17">
        <f t="shared" si="227"/>
        <v>0.11399999999999999</v>
      </c>
      <c r="AK279" s="17">
        <f t="shared" si="227"/>
        <v>0.11199999999999999</v>
      </c>
      <c r="AL279" s="17">
        <f t="shared" si="227"/>
        <v>0.10999999999999999</v>
      </c>
      <c r="AM279" s="17">
        <f t="shared" si="227"/>
        <v>0.10799999999999998</v>
      </c>
      <c r="AN279" s="17">
        <f t="shared" si="227"/>
        <v>0.10599999999999998</v>
      </c>
    </row>
    <row r="280" spans="1:40" s="3" customFormat="1" outlineLevel="1">
      <c r="A280" s="58"/>
      <c r="B280" s="58"/>
      <c r="C280" s="58"/>
      <c r="D280" s="275"/>
      <c r="E280" s="59" t="s">
        <v>233</v>
      </c>
      <c r="F280" s="58"/>
      <c r="G280" s="58"/>
      <c r="H280" s="57"/>
      <c r="I280" s="57"/>
      <c r="J280" s="57"/>
      <c r="K280" s="127"/>
      <c r="L280" s="127"/>
      <c r="M280" s="127"/>
      <c r="N280" s="127"/>
      <c r="O280" s="127"/>
      <c r="P280" s="127"/>
      <c r="Q280" s="127"/>
      <c r="R280" s="127"/>
      <c r="S280" s="127"/>
      <c r="T280" s="127"/>
      <c r="U280" s="127"/>
      <c r="V280" s="127"/>
      <c r="W280" s="127"/>
      <c r="X280" s="127"/>
      <c r="Y280" s="127"/>
      <c r="Z280" s="127"/>
      <c r="AA280" s="127"/>
      <c r="AB280" s="127"/>
      <c r="AC280" s="127">
        <f>AC277/AC267</f>
        <v>0.70924587451560939</v>
      </c>
      <c r="AD280" s="127">
        <f t="shared" ref="AD280:AL280" si="228">AD277/AD267</f>
        <v>0.52722672822196615</v>
      </c>
      <c r="AE280" s="127">
        <f t="shared" si="228"/>
        <v>0.53440471508559939</v>
      </c>
      <c r="AF280" s="127">
        <f t="shared" si="228"/>
        <v>0.52933320536168571</v>
      </c>
      <c r="AG280" s="127">
        <f t="shared" si="228"/>
        <v>0.59384536545916522</v>
      </c>
      <c r="AH280" s="127">
        <f t="shared" si="228"/>
        <v>0.56993808588810235</v>
      </c>
      <c r="AI280" s="127">
        <f t="shared" si="228"/>
        <v>0.60939940795500414</v>
      </c>
      <c r="AJ280" s="127">
        <f t="shared" si="228"/>
        <v>0.58666088770188385</v>
      </c>
      <c r="AK280" s="127">
        <f t="shared" si="228"/>
        <v>0.61492487892145831</v>
      </c>
      <c r="AL280" s="127">
        <f t="shared" si="228"/>
        <v>0.59565042451611128</v>
      </c>
      <c r="AM280" s="127">
        <f>AM277/AM267</f>
        <v>0.62119122433164053</v>
      </c>
      <c r="AN280" s="127">
        <f>AN277/AN267</f>
        <v>0.60924253400091044</v>
      </c>
    </row>
    <row r="281" spans="1:40" ht="15" customHeight="1" outlineLevel="1">
      <c r="B281"/>
      <c r="C281"/>
      <c r="D281" s="275"/>
      <c r="E281" s="59" t="s">
        <v>381</v>
      </c>
      <c r="G281" s="7"/>
      <c r="H281" s="7"/>
      <c r="I281" s="7"/>
      <c r="J281" s="7"/>
      <c r="K281" s="7"/>
      <c r="L281" s="7"/>
      <c r="M281" s="7"/>
      <c r="N281" s="7"/>
      <c r="O281" s="7"/>
      <c r="P281" s="7"/>
      <c r="Q281" s="7"/>
      <c r="R281" s="7"/>
      <c r="S281" s="7"/>
      <c r="T281" s="7"/>
      <c r="U281" s="7"/>
      <c r="V281" s="7"/>
      <c r="W281" s="7"/>
      <c r="X281" s="7"/>
      <c r="Y281" s="7"/>
      <c r="Z281" s="7"/>
      <c r="AA281" s="7"/>
      <c r="AB281" s="7">
        <f>AB144</f>
        <v>-20.718</v>
      </c>
      <c r="AC281" s="7">
        <f>AC144</f>
        <v>-23.071000000000002</v>
      </c>
      <c r="AD281" s="7">
        <f>AD144</f>
        <v>-39.284844518295564</v>
      </c>
      <c r="AE281" s="7">
        <f>AE144</f>
        <v>-43.19686591989106</v>
      </c>
      <c r="AF281" s="7">
        <f>AF144</f>
        <v>-51.595527909501982</v>
      </c>
      <c r="AG281" s="68">
        <f t="shared" ref="AG281:AL281" si="229">AG276*AG282</f>
        <v>-56.795568334278848</v>
      </c>
      <c r="AH281" s="68">
        <f t="shared" si="229"/>
        <v>-76.543845810933774</v>
      </c>
      <c r="AI281" s="68">
        <f t="shared" si="229"/>
        <v>-87.074901478202747</v>
      </c>
      <c r="AJ281" s="68">
        <f t="shared" si="229"/>
        <v>-108.68007966343534</v>
      </c>
      <c r="AK281" s="68">
        <f t="shared" si="229"/>
        <v>-120.24543177869101</v>
      </c>
      <c r="AL281" s="68">
        <f t="shared" si="229"/>
        <v>-142.33541436959686</v>
      </c>
      <c r="AM281" s="68">
        <f>AM276*AM282</f>
        <v>-152.94366855941595</v>
      </c>
      <c r="AN281" s="68">
        <f>AN276*AN282</f>
        <v>-173.42626804495978</v>
      </c>
    </row>
    <row r="282" spans="1:40" ht="15" customHeight="1" outlineLevel="1">
      <c r="B282"/>
      <c r="C282"/>
      <c r="D282" s="272"/>
      <c r="E282" s="185" t="s">
        <v>382</v>
      </c>
      <c r="G282" s="7"/>
      <c r="H282" s="7"/>
      <c r="I282" s="7"/>
      <c r="J282" s="7"/>
      <c r="K282" s="7"/>
      <c r="L282" s="7"/>
      <c r="M282" s="7"/>
      <c r="N282" s="7"/>
      <c r="O282" s="7"/>
      <c r="P282" s="7"/>
      <c r="Q282" s="7"/>
      <c r="R282" s="7"/>
      <c r="S282" s="7"/>
      <c r="T282" s="62"/>
      <c r="U282" s="62"/>
      <c r="V282" s="62"/>
      <c r="W282" s="62"/>
      <c r="X282" s="62"/>
      <c r="Y282" s="62"/>
      <c r="Z282" s="62"/>
      <c r="AA282" s="62"/>
      <c r="AB282" s="62">
        <f>AB281/AB276</f>
        <v>1.0482165443966607</v>
      </c>
      <c r="AC282" s="62">
        <f>AC281/AC276</f>
        <v>0.91949304531505327</v>
      </c>
      <c r="AD282" s="62">
        <f>AD281/AD276</f>
        <v>1.06555848413651</v>
      </c>
      <c r="AE282" s="62">
        <f>AE281/AE276</f>
        <v>1</v>
      </c>
      <c r="AF282" s="62">
        <f>AF281/AF276</f>
        <v>1</v>
      </c>
      <c r="AG282" s="65">
        <v>1</v>
      </c>
      <c r="AH282" s="65">
        <v>1</v>
      </c>
      <c r="AI282" s="65">
        <v>1</v>
      </c>
      <c r="AJ282" s="65">
        <v>1</v>
      </c>
      <c r="AK282" s="65">
        <v>1</v>
      </c>
      <c r="AL282" s="65">
        <v>1</v>
      </c>
      <c r="AM282" s="65">
        <v>1</v>
      </c>
      <c r="AN282" s="65">
        <v>1</v>
      </c>
    </row>
    <row r="283" spans="1:40" ht="15" customHeight="1" outlineLevel="1">
      <c r="B283"/>
      <c r="C283"/>
      <c r="D283" s="272"/>
      <c r="E283" s="185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  <c r="T283" s="62"/>
      <c r="U283" s="62"/>
      <c r="V283" s="62"/>
      <c r="W283" s="62"/>
      <c r="X283" s="62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</row>
    <row r="284" spans="1:40" ht="15" customHeight="1" outlineLevel="1">
      <c r="B284"/>
      <c r="C284"/>
      <c r="D284" s="272"/>
      <c r="E284" s="185" t="s">
        <v>539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/>
      <c r="U284" s="7"/>
      <c r="V284" s="7"/>
      <c r="W284" s="7"/>
      <c r="X284" s="7"/>
      <c r="Y284" s="7"/>
      <c r="Z284" s="7"/>
      <c r="AA284" s="7"/>
      <c r="AB284" s="7">
        <f>AB186</f>
        <v>17.716999999999999</v>
      </c>
      <c r="AC284" s="7">
        <f>AC186</f>
        <v>25.175000000000001</v>
      </c>
      <c r="AD284" s="7">
        <f>AD186</f>
        <v>29.616408589446596</v>
      </c>
      <c r="AE284" s="7">
        <f>AE186</f>
        <v>39.294061799146021</v>
      </c>
      <c r="AF284" s="7">
        <f>AF186</f>
        <v>50.292046898065955</v>
      </c>
      <c r="AG284" s="164">
        <f t="shared" ref="AG284:AL284" si="230">AG286*AG288</f>
        <v>66.98777565371374</v>
      </c>
      <c r="AH284" s="164">
        <f t="shared" si="230"/>
        <v>75.397612990024442</v>
      </c>
      <c r="AI284" s="164">
        <f t="shared" si="230"/>
        <v>93.08501443551836</v>
      </c>
      <c r="AJ284" s="164">
        <f t="shared" si="230"/>
        <v>101.92720171247164</v>
      </c>
      <c r="AK284" s="164">
        <f t="shared" si="230"/>
        <v>119.38790005008269</v>
      </c>
      <c r="AL284" s="164">
        <f t="shared" si="230"/>
        <v>126.97989581952511</v>
      </c>
      <c r="AM284" s="164">
        <f>AM286*AM288</f>
        <v>142.50437566673818</v>
      </c>
      <c r="AN284" s="164">
        <f>AN286*AN288</f>
        <v>147.38735122093789</v>
      </c>
    </row>
    <row r="285" spans="1:40" ht="15" customHeight="1" outlineLevel="1">
      <c r="B285"/>
      <c r="C285"/>
      <c r="D285" s="272"/>
      <c r="E285" s="185" t="s">
        <v>540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7"/>
      <c r="U285" s="7"/>
      <c r="V285" s="7"/>
      <c r="W285" s="7"/>
      <c r="X285" s="7"/>
      <c r="Y285" s="7"/>
      <c r="Z285" s="7"/>
      <c r="AA285" s="7"/>
      <c r="AB285" s="7">
        <f>+AB191</f>
        <v>27.309000000000001</v>
      </c>
      <c r="AC285" s="7">
        <f>+AC191</f>
        <v>109.03700000000001</v>
      </c>
      <c r="AD285" s="7">
        <f>+AD191</f>
        <v>116.63746098806746</v>
      </c>
      <c r="AE285" s="7">
        <f>+AE191</f>
        <v>145.61917019683523</v>
      </c>
      <c r="AF285" s="7">
        <f>+AF191</f>
        <v>175.73962455391583</v>
      </c>
      <c r="AG285" s="164">
        <f t="shared" ref="AG285:AL285" si="231">AG286-AG284</f>
        <v>237.12197649116757</v>
      </c>
      <c r="AH285" s="164">
        <f t="shared" si="231"/>
        <v>270.34840921144519</v>
      </c>
      <c r="AI285" s="164">
        <f t="shared" si="231"/>
        <v>338.08065247801233</v>
      </c>
      <c r="AJ285" s="164">
        <f t="shared" si="231"/>
        <v>374.96399730198254</v>
      </c>
      <c r="AK285" s="164">
        <f t="shared" si="231"/>
        <v>444.83969806431156</v>
      </c>
      <c r="AL285" s="164">
        <f t="shared" si="231"/>
        <v>479.18918947635183</v>
      </c>
      <c r="AM285" s="164">
        <f>AM286-AM284</f>
        <v>544.64605381589877</v>
      </c>
      <c r="AN285" s="164">
        <f>AN286-AN284</f>
        <v>570.48733900182015</v>
      </c>
    </row>
    <row r="286" spans="1:40" s="3" customFormat="1" outlineLevel="1">
      <c r="A286" s="96"/>
      <c r="D286" s="246"/>
      <c r="E286" s="209" t="s">
        <v>546</v>
      </c>
      <c r="F286" s="193"/>
      <c r="G286" s="208"/>
      <c r="H286" s="208"/>
      <c r="I286" s="208"/>
      <c r="J286" s="208"/>
      <c r="K286" s="208"/>
      <c r="L286" s="208"/>
      <c r="M286" s="208"/>
      <c r="N286" s="208"/>
      <c r="O286" s="208"/>
      <c r="P286" s="208"/>
      <c r="Q286" s="208"/>
      <c r="R286" s="208"/>
      <c r="S286" s="208"/>
      <c r="T286" s="208"/>
      <c r="U286" s="208"/>
      <c r="V286" s="208"/>
      <c r="W286" s="208"/>
      <c r="X286" s="208"/>
      <c r="Y286" s="208"/>
      <c r="Z286" s="208"/>
      <c r="AA286" s="208"/>
      <c r="AB286" s="208">
        <f>SUM(AB284:AB285)</f>
        <v>45.025999999999996</v>
      </c>
      <c r="AC286" s="208">
        <f>SUM(AC284:AC285)</f>
        <v>134.21200000000002</v>
      </c>
      <c r="AD286" s="208">
        <f>SUM(AD284:AD285)</f>
        <v>146.25386957751405</v>
      </c>
      <c r="AE286" s="208">
        <f>SUM(AE284:AE285)</f>
        <v>184.91323199598125</v>
      </c>
      <c r="AF286" s="208">
        <f>SUM(AF284:AF285)</f>
        <v>226.03167145198179</v>
      </c>
      <c r="AG286" s="210">
        <f t="shared" ref="AG286:AN286" si="232">AG277-AF277+AF286+(AG281-AG276)</f>
        <v>304.10975214488133</v>
      </c>
      <c r="AH286" s="210">
        <f t="shared" si="232"/>
        <v>345.7460222014696</v>
      </c>
      <c r="AI286" s="210">
        <f t="shared" si="232"/>
        <v>431.16566691353069</v>
      </c>
      <c r="AJ286" s="210">
        <f t="shared" si="232"/>
        <v>476.89119901445417</v>
      </c>
      <c r="AK286" s="210">
        <f t="shared" si="232"/>
        <v>564.22759811439425</v>
      </c>
      <c r="AL286" s="210">
        <f t="shared" si="232"/>
        <v>606.16908529587693</v>
      </c>
      <c r="AM286" s="210">
        <f t="shared" si="232"/>
        <v>687.15042948263692</v>
      </c>
      <c r="AN286" s="210">
        <f t="shared" si="232"/>
        <v>717.87469022275798</v>
      </c>
    </row>
    <row r="287" spans="1:40" ht="15" customHeight="1" outlineLevel="1">
      <c r="B287"/>
      <c r="C287"/>
      <c r="D287" s="272"/>
      <c r="E287" s="185" t="s">
        <v>548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/>
      <c r="T287" s="62"/>
      <c r="U287" s="62"/>
      <c r="V287" s="62"/>
      <c r="W287" s="62"/>
      <c r="X287" s="62"/>
      <c r="Y287" s="62"/>
      <c r="Z287" s="62"/>
      <c r="AA287" s="62"/>
      <c r="AB287" s="62">
        <f t="shared" ref="AB287:AN287" si="233">AB286/AB277</f>
        <v>1.0435246129600444</v>
      </c>
      <c r="AC287" s="62">
        <f t="shared" si="233"/>
        <v>1.0299123655171358</v>
      </c>
      <c r="AD287" s="62">
        <f t="shared" si="233"/>
        <v>1.0102298172601121</v>
      </c>
      <c r="AE287" s="62">
        <f t="shared" si="233"/>
        <v>1.0080738264147189</v>
      </c>
      <c r="AF287" s="62">
        <f t="shared" si="233"/>
        <v>1.0065953933266982</v>
      </c>
      <c r="AG287" s="62">
        <f t="shared" si="233"/>
        <v>1.0048937848420001</v>
      </c>
      <c r="AH287" s="62">
        <f t="shared" si="233"/>
        <v>1.0043019183027351</v>
      </c>
      <c r="AI287" s="62">
        <f t="shared" si="233"/>
        <v>1.0034467136345315</v>
      </c>
      <c r="AJ287" s="62">
        <f t="shared" si="233"/>
        <v>1.003115204518267</v>
      </c>
      <c r="AK287" s="62">
        <f t="shared" si="233"/>
        <v>1.0026317351450234</v>
      </c>
      <c r="AL287" s="62">
        <f t="shared" si="233"/>
        <v>1.0024491965957545</v>
      </c>
      <c r="AM287" s="62">
        <f t="shared" si="233"/>
        <v>1.0021599329594109</v>
      </c>
      <c r="AN287" s="62">
        <f t="shared" si="233"/>
        <v>1.0020672990566675</v>
      </c>
    </row>
    <row r="288" spans="1:40" ht="15" customHeight="1" outlineLevel="1">
      <c r="B288"/>
      <c r="C288"/>
      <c r="D288" s="272"/>
      <c r="E288" s="185" t="s">
        <v>547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62"/>
      <c r="T288" s="62"/>
      <c r="U288" s="62"/>
      <c r="V288" s="62"/>
      <c r="W288" s="62"/>
      <c r="X288" s="62"/>
      <c r="Y288" s="62"/>
      <c r="Z288" s="62"/>
      <c r="AA288" s="65"/>
      <c r="AB288" s="62">
        <f>AB284/AB286</f>
        <v>0.39348376493581488</v>
      </c>
      <c r="AC288" s="62">
        <f>AC284/AC286</f>
        <v>0.18757637171042826</v>
      </c>
      <c r="AD288" s="62">
        <f>AD284/AD286</f>
        <v>0.20250000000000001</v>
      </c>
      <c r="AE288" s="62">
        <f>AE284/AE286</f>
        <v>0.21250000000000002</v>
      </c>
      <c r="AF288" s="62">
        <f>AF284/AF286</f>
        <v>0.22250000000000003</v>
      </c>
      <c r="AG288" s="65">
        <f>AF288*0.99</f>
        <v>0.22027500000000003</v>
      </c>
      <c r="AH288" s="65">
        <f t="shared" ref="AH288:AN288" si="234">AG288*0.99</f>
        <v>0.21807225000000002</v>
      </c>
      <c r="AI288" s="65">
        <f t="shared" si="234"/>
        <v>0.21589152750000001</v>
      </c>
      <c r="AJ288" s="65">
        <f t="shared" si="234"/>
        <v>0.21373261222500001</v>
      </c>
      <c r="AK288" s="65">
        <f t="shared" si="234"/>
        <v>0.21159528610275</v>
      </c>
      <c r="AL288" s="65">
        <f t="shared" si="234"/>
        <v>0.20947933324172249</v>
      </c>
      <c r="AM288" s="65">
        <f t="shared" si="234"/>
        <v>0.20738453990930528</v>
      </c>
      <c r="AN288" s="65">
        <f t="shared" si="234"/>
        <v>0.20531069451021222</v>
      </c>
    </row>
    <row r="289" spans="1:40" ht="15" customHeight="1" outlineLevel="1">
      <c r="B289"/>
      <c r="C289"/>
      <c r="D289" s="25"/>
      <c r="G289" s="7"/>
      <c r="H289" s="7"/>
      <c r="I289" s="7"/>
      <c r="J289" s="7"/>
      <c r="K289" s="7"/>
      <c r="L289" s="7"/>
      <c r="M289" s="7"/>
      <c r="N289" s="7"/>
      <c r="O289" s="7"/>
      <c r="P289" s="7"/>
      <c r="Q289" s="7"/>
      <c r="R289" s="7"/>
      <c r="S289" s="7"/>
      <c r="T289" s="7"/>
      <c r="U289" s="7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</row>
    <row r="290" spans="1:40" s="3" customFormat="1" outlineLevel="1">
      <c r="A290" s="96"/>
      <c r="D290" s="142"/>
      <c r="E290" s="3" t="s">
        <v>229</v>
      </c>
      <c r="H290" s="53"/>
      <c r="I290" s="53"/>
      <c r="J290" s="53"/>
      <c r="K290" s="53"/>
      <c r="L290" s="53"/>
      <c r="M290" s="53"/>
      <c r="N290" s="53"/>
      <c r="O290" s="53"/>
      <c r="P290" s="53"/>
      <c r="Q290" s="53"/>
      <c r="R290" s="53"/>
      <c r="S290" s="53"/>
      <c r="T290" s="53"/>
      <c r="U290" s="53"/>
      <c r="V290" s="53"/>
      <c r="W290" s="53"/>
      <c r="X290" s="53"/>
      <c r="Y290" s="53"/>
      <c r="Z290" s="53">
        <f t="shared" ref="Z290:AL290" si="235">+Y294</f>
        <v>0.67300000000000004</v>
      </c>
      <c r="AA290" s="53">
        <f>+Z294</f>
        <v>0.156</v>
      </c>
      <c r="AB290" s="53">
        <f>+AA294</f>
        <v>3.1E-2</v>
      </c>
      <c r="AC290" s="53">
        <f t="shared" si="235"/>
        <v>2.8</v>
      </c>
      <c r="AD290" s="53">
        <f t="shared" si="235"/>
        <v>1.254</v>
      </c>
      <c r="AE290" s="53">
        <f t="shared" si="235"/>
        <v>32.658000000000008</v>
      </c>
      <c r="AF290" s="53">
        <f t="shared" si="235"/>
        <v>13.458000000000006</v>
      </c>
      <c r="AG290" s="53">
        <f t="shared" si="235"/>
        <v>0</v>
      </c>
      <c r="AH290" s="53">
        <f t="shared" si="235"/>
        <v>0</v>
      </c>
      <c r="AI290" s="53">
        <f t="shared" si="235"/>
        <v>0</v>
      </c>
      <c r="AJ290" s="53">
        <f t="shared" si="235"/>
        <v>0</v>
      </c>
      <c r="AK290" s="53">
        <f t="shared" si="235"/>
        <v>0</v>
      </c>
      <c r="AL290" s="53">
        <f t="shared" si="235"/>
        <v>0</v>
      </c>
      <c r="AM290" s="53">
        <f>+AL294</f>
        <v>0</v>
      </c>
      <c r="AN290" s="53">
        <f>+AM294</f>
        <v>0</v>
      </c>
    </row>
    <row r="291" spans="1:40" outlineLevel="1">
      <c r="B291"/>
      <c r="C291"/>
      <c r="D291" s="275"/>
      <c r="E291" s="59" t="s">
        <v>126</v>
      </c>
      <c r="H291" s="7"/>
      <c r="I291" s="7"/>
      <c r="J291" s="68"/>
      <c r="K291" s="68"/>
      <c r="L291" s="68"/>
      <c r="M291" s="68"/>
      <c r="N291" s="68"/>
      <c r="O291" s="68"/>
      <c r="P291" s="68"/>
      <c r="Q291" s="68"/>
      <c r="R291" s="68"/>
      <c r="S291" s="68"/>
      <c r="T291" s="68"/>
      <c r="U291" s="68"/>
      <c r="V291" s="68"/>
      <c r="W291" s="68"/>
      <c r="X291" s="68"/>
      <c r="Y291" s="68"/>
      <c r="Z291" s="68">
        <v>0</v>
      </c>
      <c r="AA291" s="68">
        <v>0</v>
      </c>
      <c r="AB291" s="68">
        <v>0</v>
      </c>
      <c r="AC291" s="68">
        <v>0</v>
      </c>
      <c r="AD291" s="68">
        <v>0</v>
      </c>
      <c r="AE291" s="68">
        <v>0</v>
      </c>
      <c r="AF291" s="68">
        <v>0</v>
      </c>
      <c r="AG291" s="68">
        <v>0</v>
      </c>
      <c r="AH291" s="68">
        <v>0</v>
      </c>
      <c r="AI291" s="68">
        <v>0</v>
      </c>
      <c r="AJ291" s="68">
        <v>0</v>
      </c>
      <c r="AK291" s="68">
        <v>0</v>
      </c>
      <c r="AL291" s="68">
        <v>0</v>
      </c>
      <c r="AM291" s="68">
        <v>0</v>
      </c>
      <c r="AN291" s="68">
        <v>0</v>
      </c>
    </row>
    <row r="292" spans="1:40" outlineLevel="1">
      <c r="B292"/>
      <c r="C292"/>
      <c r="D292" s="275"/>
      <c r="E292" s="59" t="s">
        <v>7</v>
      </c>
      <c r="H292" s="7"/>
      <c r="I292" s="7"/>
      <c r="J292" s="7"/>
      <c r="K292" s="7"/>
      <c r="L292" s="80"/>
      <c r="M292" s="80"/>
      <c r="N292" s="80"/>
      <c r="O292" s="80"/>
      <c r="P292" s="80"/>
      <c r="Q292" s="80"/>
      <c r="R292" s="80"/>
      <c r="S292" s="80"/>
      <c r="T292" s="80"/>
      <c r="U292" s="80"/>
      <c r="V292" s="80"/>
      <c r="W292" s="80"/>
      <c r="X292" s="80">
        <f>-X317</f>
        <v>-0.04</v>
      </c>
      <c r="Y292" s="80">
        <f>-Y317</f>
        <v>-0.5</v>
      </c>
      <c r="Z292" s="80">
        <f>-Z317</f>
        <v>-0.51700000000000002</v>
      </c>
      <c r="AA292" s="80">
        <f t="shared" ref="AA292:AF292" si="236">-AA317</f>
        <v>-0.125</v>
      </c>
      <c r="AB292" s="80">
        <f t="shared" si="236"/>
        <v>-3.0810000000000004</v>
      </c>
      <c r="AC292" s="80">
        <f t="shared" si="236"/>
        <v>-2.9460000000000002</v>
      </c>
      <c r="AD292" s="80">
        <f t="shared" si="236"/>
        <v>-14.994</v>
      </c>
      <c r="AE292" s="80">
        <f t="shared" si="236"/>
        <v>-19.2</v>
      </c>
      <c r="AF292" s="80">
        <f t="shared" si="236"/>
        <v>-13.458000000000006</v>
      </c>
      <c r="AG292" s="68">
        <v>0</v>
      </c>
      <c r="AH292" s="68">
        <v>0</v>
      </c>
      <c r="AI292" s="68">
        <v>0</v>
      </c>
      <c r="AJ292" s="68">
        <v>0</v>
      </c>
      <c r="AK292" s="68">
        <v>0</v>
      </c>
      <c r="AL292" s="68">
        <v>0</v>
      </c>
      <c r="AM292" s="68">
        <v>0</v>
      </c>
      <c r="AN292" s="68">
        <v>0</v>
      </c>
    </row>
    <row r="293" spans="1:40" outlineLevel="1">
      <c r="B293"/>
      <c r="C293"/>
      <c r="D293" s="275"/>
      <c r="E293" s="59" t="s">
        <v>361</v>
      </c>
      <c r="H293" s="7"/>
      <c r="I293" s="7"/>
      <c r="J293" s="7"/>
      <c r="K293" s="7"/>
      <c r="L293" s="7"/>
      <c r="M293" s="7"/>
      <c r="N293" s="7"/>
      <c r="O293" s="7"/>
      <c r="P293" s="7"/>
      <c r="Q293" s="7"/>
      <c r="R293" s="7"/>
      <c r="S293" s="7"/>
      <c r="T293" s="7"/>
      <c r="U293" s="7"/>
      <c r="V293" s="7"/>
      <c r="W293" s="7"/>
      <c r="X293" s="7"/>
      <c r="Y293" s="7"/>
      <c r="Z293" s="7">
        <f t="shared" ref="Z293:AF293" si="237">+Z294-SUM(Z290:Z292)</f>
        <v>0</v>
      </c>
      <c r="AA293" s="7">
        <f t="shared" si="237"/>
        <v>0</v>
      </c>
      <c r="AB293" s="7">
        <f t="shared" si="237"/>
        <v>5.85</v>
      </c>
      <c r="AC293" s="7">
        <f t="shared" si="237"/>
        <v>1.4000000000000004</v>
      </c>
      <c r="AD293" s="7">
        <f t="shared" si="237"/>
        <v>46.39800000000001</v>
      </c>
      <c r="AE293" s="7">
        <f t="shared" si="237"/>
        <v>0</v>
      </c>
      <c r="AF293" s="7">
        <f t="shared" si="237"/>
        <v>0</v>
      </c>
      <c r="AG293" s="68">
        <v>0</v>
      </c>
      <c r="AH293" s="68">
        <v>0</v>
      </c>
      <c r="AI293" s="68">
        <v>0</v>
      </c>
      <c r="AJ293" s="68">
        <v>0</v>
      </c>
      <c r="AK293" s="68">
        <v>0</v>
      </c>
      <c r="AL293" s="68">
        <v>0</v>
      </c>
      <c r="AM293" s="68">
        <v>0</v>
      </c>
      <c r="AN293" s="68">
        <v>0</v>
      </c>
    </row>
    <row r="294" spans="1:40" s="3" customFormat="1" outlineLevel="1">
      <c r="A294" s="96"/>
      <c r="D294" s="246"/>
      <c r="E294" s="209" t="s">
        <v>230</v>
      </c>
      <c r="F294" s="193"/>
      <c r="G294" s="208"/>
      <c r="H294" s="208"/>
      <c r="I294" s="208"/>
      <c r="J294" s="208"/>
      <c r="K294" s="208"/>
      <c r="L294" s="208"/>
      <c r="M294" s="208"/>
      <c r="N294" s="208"/>
      <c r="O294" s="208"/>
      <c r="P294" s="208"/>
      <c r="Q294" s="208"/>
      <c r="R294" s="208"/>
      <c r="S294" s="208"/>
      <c r="T294" s="208"/>
      <c r="U294" s="208"/>
      <c r="V294" s="208"/>
      <c r="W294" s="208"/>
      <c r="X294" s="208"/>
      <c r="Y294" s="208">
        <f t="shared" ref="Y294:AF294" si="238">Y179</f>
        <v>0.67300000000000004</v>
      </c>
      <c r="Z294" s="208">
        <f t="shared" si="238"/>
        <v>0.156</v>
      </c>
      <c r="AA294" s="208">
        <f t="shared" si="238"/>
        <v>3.1E-2</v>
      </c>
      <c r="AB294" s="208">
        <f t="shared" si="238"/>
        <v>2.8</v>
      </c>
      <c r="AC294" s="208">
        <f t="shared" si="238"/>
        <v>1.254</v>
      </c>
      <c r="AD294" s="208">
        <f t="shared" si="238"/>
        <v>32.658000000000008</v>
      </c>
      <c r="AE294" s="208">
        <f t="shared" si="238"/>
        <v>13.458000000000006</v>
      </c>
      <c r="AF294" s="208">
        <f t="shared" si="238"/>
        <v>0</v>
      </c>
      <c r="AG294" s="207">
        <f t="shared" ref="AG294:AL294" si="239">SUM(AG290:AG293)</f>
        <v>0</v>
      </c>
      <c r="AH294" s="207">
        <f t="shared" si="239"/>
        <v>0</v>
      </c>
      <c r="AI294" s="207">
        <f t="shared" si="239"/>
        <v>0</v>
      </c>
      <c r="AJ294" s="207">
        <f t="shared" si="239"/>
        <v>0</v>
      </c>
      <c r="AK294" s="207">
        <f t="shared" si="239"/>
        <v>0</v>
      </c>
      <c r="AL294" s="207">
        <f t="shared" si="239"/>
        <v>0</v>
      </c>
      <c r="AM294" s="207">
        <f>SUM(AM290:AM293)</f>
        <v>0</v>
      </c>
      <c r="AN294" s="207">
        <f>SUM(AN290:AN293)</f>
        <v>0</v>
      </c>
    </row>
    <row r="295" spans="1:40" outlineLevel="1">
      <c r="B295"/>
      <c r="C295"/>
      <c r="D295" s="275"/>
      <c r="E295" s="59" t="s">
        <v>209</v>
      </c>
      <c r="H295" s="57"/>
      <c r="I295" s="57"/>
      <c r="J295" s="80"/>
      <c r="K295" s="80"/>
      <c r="L295" s="80"/>
      <c r="M295" s="80"/>
      <c r="N295" s="80"/>
      <c r="O295" s="80"/>
      <c r="P295" s="80"/>
      <c r="Q295" s="80"/>
      <c r="R295" s="80"/>
      <c r="S295" s="80"/>
      <c r="T295" s="80"/>
      <c r="U295" s="80"/>
      <c r="V295" s="80"/>
      <c r="W295" s="80"/>
      <c r="X295" s="80"/>
      <c r="Y295" s="80"/>
      <c r="Z295" s="80">
        <f>IF(Y294&lt;=0,0,-AVERAGE(Y294:Z294)/(Z292))</f>
        <v>0.80174081237911032</v>
      </c>
      <c r="AA295" s="80">
        <f t="shared" ref="AA295:AN295" si="240">IF(Z294&lt;=0,0,-AVERAGE(Z294:AA294)/(AA292))</f>
        <v>0.748</v>
      </c>
      <c r="AB295" s="80">
        <f t="shared" si="240"/>
        <v>0.45942875689711127</v>
      </c>
      <c r="AC295" s="80">
        <f t="shared" si="240"/>
        <v>0.68805159538357097</v>
      </c>
      <c r="AD295" s="80">
        <f t="shared" si="240"/>
        <v>1.1308523409363749</v>
      </c>
      <c r="AE295" s="80">
        <f t="shared" si="240"/>
        <v>1.2009375000000004</v>
      </c>
      <c r="AF295" s="80">
        <f t="shared" si="240"/>
        <v>0.5</v>
      </c>
      <c r="AG295" s="80">
        <f t="shared" si="240"/>
        <v>0</v>
      </c>
      <c r="AH295" s="80">
        <f t="shared" si="240"/>
        <v>0</v>
      </c>
      <c r="AI295" s="80">
        <f t="shared" si="240"/>
        <v>0</v>
      </c>
      <c r="AJ295" s="80">
        <f t="shared" si="240"/>
        <v>0</v>
      </c>
      <c r="AK295" s="80">
        <f t="shared" si="240"/>
        <v>0</v>
      </c>
      <c r="AL295" s="80">
        <f t="shared" si="240"/>
        <v>0</v>
      </c>
      <c r="AM295" s="80">
        <f t="shared" si="240"/>
        <v>0</v>
      </c>
      <c r="AN295" s="80">
        <f t="shared" si="240"/>
        <v>0</v>
      </c>
    </row>
    <row r="296" spans="1:40" outlineLevel="1">
      <c r="B296"/>
      <c r="C296"/>
      <c r="D296" s="275"/>
      <c r="E296" s="59"/>
      <c r="H296" s="7"/>
      <c r="I296" s="7"/>
      <c r="J296" s="7"/>
      <c r="K296" s="7"/>
      <c r="L296" s="7"/>
      <c r="M296" s="7"/>
      <c r="N296" s="7"/>
      <c r="O296" s="7"/>
      <c r="P296" s="7"/>
      <c r="Q296" s="7"/>
      <c r="R296" s="7"/>
      <c r="S296" s="7"/>
      <c r="T296" s="7"/>
      <c r="U296" s="7"/>
      <c r="V296" s="164"/>
      <c r="W296" s="164"/>
      <c r="X296" s="164"/>
      <c r="Y296" s="164"/>
      <c r="Z296" s="164"/>
      <c r="AA296" s="164"/>
      <c r="AB296" s="164"/>
      <c r="AC296" s="164"/>
      <c r="AD296" s="164"/>
      <c r="AE296" s="164"/>
      <c r="AF296" s="164"/>
      <c r="AG296" s="164"/>
      <c r="AH296" s="164"/>
      <c r="AI296" s="164"/>
      <c r="AJ296" s="164"/>
      <c r="AK296" s="164"/>
      <c r="AL296" s="164"/>
      <c r="AM296" s="164"/>
      <c r="AN296" s="164"/>
    </row>
    <row r="297" spans="1:40" s="3" customFormat="1" outlineLevel="1">
      <c r="A297" s="96"/>
      <c r="D297" s="142"/>
      <c r="E297" s="3" t="s">
        <v>533</v>
      </c>
      <c r="H297" s="53"/>
      <c r="I297" s="53"/>
      <c r="J297" s="53"/>
      <c r="K297" s="53"/>
      <c r="L297" s="53"/>
      <c r="M297" s="53"/>
      <c r="N297" s="53"/>
      <c r="O297" s="53"/>
      <c r="P297" s="53"/>
      <c r="Q297" s="53"/>
      <c r="R297" s="53"/>
      <c r="S297" s="53"/>
      <c r="T297" s="53"/>
      <c r="U297" s="53"/>
      <c r="V297" s="53"/>
      <c r="W297" s="53"/>
      <c r="X297" s="53"/>
      <c r="Y297" s="53"/>
      <c r="Z297" s="53">
        <f t="shared" ref="Z297:AL297" si="241">Y301</f>
        <v>10.765000000000001</v>
      </c>
      <c r="AA297" s="53">
        <f>Z301</f>
        <v>15.94</v>
      </c>
      <c r="AB297" s="53">
        <f>AA301</f>
        <v>25.184000000000001</v>
      </c>
      <c r="AC297" s="53">
        <f>AB301</f>
        <v>44.176000000000002</v>
      </c>
      <c r="AD297" s="53">
        <f t="shared" si="241"/>
        <v>70.319999999999993</v>
      </c>
      <c r="AE297" s="53">
        <f t="shared" si="241"/>
        <v>91.292642793689609</v>
      </c>
      <c r="AF297" s="53">
        <f t="shared" si="241"/>
        <v>116.36122845148665</v>
      </c>
      <c r="AG297" s="53">
        <f t="shared" si="241"/>
        <v>144.21215861467155</v>
      </c>
      <c r="AH297" s="53">
        <f t="shared" si="241"/>
        <v>160.1726429143996</v>
      </c>
      <c r="AI297" s="53">
        <f t="shared" si="241"/>
        <v>188.91236675082945</v>
      </c>
      <c r="AJ297" s="53">
        <f t="shared" si="241"/>
        <v>213.23338721692494</v>
      </c>
      <c r="AK297" s="53">
        <f t="shared" si="241"/>
        <v>233.89188373783142</v>
      </c>
      <c r="AL297" s="53">
        <f t="shared" si="241"/>
        <v>249.89487053424637</v>
      </c>
      <c r="AM297" s="53">
        <f>AL301</f>
        <v>264.89661778631114</v>
      </c>
      <c r="AN297" s="53">
        <f>AM301</f>
        <v>278.79531318786655</v>
      </c>
    </row>
    <row r="298" spans="1:40" outlineLevel="1">
      <c r="B298"/>
      <c r="C298"/>
      <c r="D298" s="275"/>
      <c r="E298" s="59" t="s">
        <v>534</v>
      </c>
      <c r="H298" s="7"/>
      <c r="I298" s="7"/>
      <c r="J298" s="7"/>
      <c r="K298" s="7"/>
      <c r="L298" s="7"/>
      <c r="M298" s="7"/>
      <c r="N298" s="7"/>
      <c r="O298" s="7"/>
      <c r="P298" s="7"/>
      <c r="Q298" s="7"/>
      <c r="R298" s="7"/>
      <c r="S298" s="7"/>
      <c r="T298" s="7"/>
      <c r="U298" s="7"/>
      <c r="V298" s="7"/>
      <c r="W298" s="7"/>
      <c r="X298" s="7">
        <f t="shared" ref="X298:AF298" si="242">-X146</f>
        <v>5.0110000000000001</v>
      </c>
      <c r="Y298" s="7">
        <f t="shared" si="242"/>
        <v>8.9760000000000009</v>
      </c>
      <c r="Z298" s="7">
        <f t="shared" si="242"/>
        <v>12.234999999999999</v>
      </c>
      <c r="AA298" s="7">
        <f t="shared" si="242"/>
        <v>20.065000000000001</v>
      </c>
      <c r="AB298" s="7">
        <f t="shared" si="242"/>
        <v>36.314999999999998</v>
      </c>
      <c r="AC298" s="7">
        <f t="shared" si="242"/>
        <v>55.411000000000001</v>
      </c>
      <c r="AD298" s="7">
        <f t="shared" si="242"/>
        <v>63.435125657309413</v>
      </c>
      <c r="AE298" s="7">
        <f t="shared" si="242"/>
        <v>78.358831555251101</v>
      </c>
      <c r="AF298" s="7">
        <f t="shared" si="242"/>
        <v>94.813537231579872</v>
      </c>
      <c r="AG298" s="164">
        <f t="shared" ref="AG298:AL298" si="243">AG301-SUM(AG299:AG300,AG297)</f>
        <v>90.080272360413531</v>
      </c>
      <c r="AH298" s="164">
        <f t="shared" si="243"/>
        <v>111.06261852145087</v>
      </c>
      <c r="AI298" s="164">
        <f t="shared" si="243"/>
        <v>121.41508465680683</v>
      </c>
      <c r="AJ298" s="164">
        <f t="shared" si="243"/>
        <v>130.25267789787563</v>
      </c>
      <c r="AK298" s="164">
        <f t="shared" si="243"/>
        <v>136.2148816761221</v>
      </c>
      <c r="AL298" s="164">
        <f t="shared" si="243"/>
        <v>143.43859348873437</v>
      </c>
      <c r="AM298" s="164">
        <f>AM301-SUM(AM299:AM300,AM297)</f>
        <v>150.04589239882924</v>
      </c>
      <c r="AN298" s="164">
        <f>AN301-SUM(AN299:AN300,AN297)</f>
        <v>156.60769653335649</v>
      </c>
    </row>
    <row r="299" spans="1:40" outlineLevel="1">
      <c r="B299"/>
      <c r="C299"/>
      <c r="D299" s="275"/>
      <c r="E299" s="59" t="s">
        <v>498</v>
      </c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7"/>
      <c r="W299" s="7"/>
      <c r="X299" s="7">
        <f t="shared" ref="X299:AF299" si="244">-X140</f>
        <v>-1.6020000000000001</v>
      </c>
      <c r="Y299" s="7">
        <f t="shared" si="244"/>
        <v>-3.9550000000000001</v>
      </c>
      <c r="Z299" s="7">
        <f t="shared" si="244"/>
        <v>-7.0600000000000005</v>
      </c>
      <c r="AA299" s="7">
        <f t="shared" si="244"/>
        <v>-10.821</v>
      </c>
      <c r="AB299" s="7">
        <f t="shared" si="244"/>
        <v>-17.324000000000002</v>
      </c>
      <c r="AC299" s="7">
        <f t="shared" si="244"/>
        <v>-29.266999999999999</v>
      </c>
      <c r="AD299" s="7">
        <f t="shared" si="244"/>
        <v>-42.462482863619812</v>
      </c>
      <c r="AE299" s="7">
        <f t="shared" si="244"/>
        <v>-53.290245897454056</v>
      </c>
      <c r="AF299" s="7">
        <f t="shared" si="244"/>
        <v>-66.962607068394988</v>
      </c>
      <c r="AG299" s="164">
        <f>-AG297/AG302</f>
        <v>-74.11978806068548</v>
      </c>
      <c r="AH299" s="164">
        <f t="shared" ref="AH299:AN299" si="245">-AH297/AH302</f>
        <v>-82.322894685021026</v>
      </c>
      <c r="AI299" s="164">
        <f t="shared" si="245"/>
        <v>-97.094064190711336</v>
      </c>
      <c r="AJ299" s="164">
        <f t="shared" si="245"/>
        <v>-109.59418137696913</v>
      </c>
      <c r="AK299" s="164">
        <f t="shared" si="245"/>
        <v>-120.21189487970717</v>
      </c>
      <c r="AL299" s="164">
        <f t="shared" si="245"/>
        <v>-128.4368462366696</v>
      </c>
      <c r="AM299" s="164">
        <f>-AM297/AM302</f>
        <v>-136.14719699727382</v>
      </c>
      <c r="AN299" s="164">
        <f t="shared" si="245"/>
        <v>-143.29061935069603</v>
      </c>
    </row>
    <row r="300" spans="1:40" outlineLevel="1">
      <c r="B300"/>
      <c r="C300"/>
      <c r="D300" s="275"/>
      <c r="E300" s="59" t="s">
        <v>361</v>
      </c>
      <c r="H300" s="7"/>
      <c r="I300" s="7"/>
      <c r="J300" s="7"/>
      <c r="K300" s="7"/>
      <c r="L300" s="7"/>
      <c r="M300" s="7"/>
      <c r="N300" s="7"/>
      <c r="O300" s="7"/>
      <c r="P300" s="7"/>
      <c r="Q300" s="7"/>
      <c r="R300" s="7"/>
      <c r="S300" s="7"/>
      <c r="T300" s="7"/>
      <c r="U300" s="7"/>
      <c r="V300" s="7"/>
      <c r="W300" s="7"/>
      <c r="X300" s="7"/>
      <c r="Y300" s="7"/>
      <c r="Z300" s="7">
        <f>+Z301-SUM(Z297:Z299)</f>
        <v>0</v>
      </c>
      <c r="AA300" s="7">
        <f t="shared" ref="AA300:AF300" si="246">+AA301-SUM(AA297:AA299)</f>
        <v>0</v>
      </c>
      <c r="AB300" s="7">
        <f t="shared" si="246"/>
        <v>1.0000000000047748E-3</v>
      </c>
      <c r="AC300" s="7">
        <f t="shared" si="246"/>
        <v>0</v>
      </c>
      <c r="AD300" s="7">
        <f t="shared" si="246"/>
        <v>0</v>
      </c>
      <c r="AE300" s="7">
        <f t="shared" si="246"/>
        <v>0</v>
      </c>
      <c r="AF300" s="7">
        <f t="shared" si="246"/>
        <v>0</v>
      </c>
      <c r="AG300" s="68">
        <v>0</v>
      </c>
      <c r="AH300" s="68">
        <v>0</v>
      </c>
      <c r="AI300" s="68">
        <v>0</v>
      </c>
      <c r="AJ300" s="68">
        <v>0</v>
      </c>
      <c r="AK300" s="68">
        <v>0</v>
      </c>
      <c r="AL300" s="68">
        <v>0</v>
      </c>
      <c r="AM300" s="68">
        <v>0</v>
      </c>
      <c r="AN300" s="68">
        <v>0</v>
      </c>
    </row>
    <row r="301" spans="1:40" s="3" customFormat="1" outlineLevel="1">
      <c r="A301" s="96"/>
      <c r="D301" s="246"/>
      <c r="E301" s="209" t="s">
        <v>535</v>
      </c>
      <c r="F301" s="193"/>
      <c r="G301" s="208"/>
      <c r="H301" s="208"/>
      <c r="I301" s="208"/>
      <c r="J301" s="208"/>
      <c r="K301" s="208"/>
      <c r="L301" s="208"/>
      <c r="M301" s="208"/>
      <c r="N301" s="208"/>
      <c r="O301" s="208"/>
      <c r="P301" s="208"/>
      <c r="Q301" s="208"/>
      <c r="R301" s="208"/>
      <c r="S301" s="208"/>
      <c r="T301" s="208"/>
      <c r="U301" s="208"/>
      <c r="V301" s="208"/>
      <c r="W301" s="208"/>
      <c r="X301" s="208"/>
      <c r="Y301" s="208">
        <f t="shared" ref="Y301:AF301" si="247">Y180</f>
        <v>10.765000000000001</v>
      </c>
      <c r="Z301" s="208">
        <f t="shared" si="247"/>
        <v>15.94</v>
      </c>
      <c r="AA301" s="208">
        <f t="shared" si="247"/>
        <v>25.184000000000001</v>
      </c>
      <c r="AB301" s="208">
        <f t="shared" si="247"/>
        <v>44.176000000000002</v>
      </c>
      <c r="AC301" s="208">
        <f t="shared" si="247"/>
        <v>70.319999999999993</v>
      </c>
      <c r="AD301" s="208">
        <f t="shared" si="247"/>
        <v>91.292642793689609</v>
      </c>
      <c r="AE301" s="208">
        <f t="shared" si="247"/>
        <v>116.36122845148665</v>
      </c>
      <c r="AF301" s="208">
        <f t="shared" si="247"/>
        <v>144.21215861467155</v>
      </c>
      <c r="AG301" s="207">
        <f t="shared" ref="AG301:AN301" si="248">AG7*AG303</f>
        <v>160.1726429143996</v>
      </c>
      <c r="AH301" s="207">
        <f t="shared" si="248"/>
        <v>188.91236675082945</v>
      </c>
      <c r="AI301" s="207">
        <f t="shared" si="248"/>
        <v>213.23338721692494</v>
      </c>
      <c r="AJ301" s="207">
        <f t="shared" si="248"/>
        <v>233.89188373783142</v>
      </c>
      <c r="AK301" s="207">
        <f t="shared" si="248"/>
        <v>249.89487053424637</v>
      </c>
      <c r="AL301" s="207">
        <f t="shared" si="248"/>
        <v>264.89661778631114</v>
      </c>
      <c r="AM301" s="207">
        <f t="shared" si="248"/>
        <v>278.79531318786655</v>
      </c>
      <c r="AN301" s="207">
        <f t="shared" si="248"/>
        <v>292.11239037052701</v>
      </c>
    </row>
    <row r="302" spans="1:40" outlineLevel="1">
      <c r="B302"/>
      <c r="C302"/>
      <c r="D302" s="275"/>
      <c r="E302" s="59" t="s">
        <v>209</v>
      </c>
      <c r="H302" s="57"/>
      <c r="I302" s="57"/>
      <c r="J302" s="80"/>
      <c r="K302" s="80"/>
      <c r="L302" s="80"/>
      <c r="M302" s="80"/>
      <c r="N302" s="80"/>
      <c r="O302" s="80"/>
      <c r="P302" s="80"/>
      <c r="Q302" s="80"/>
      <c r="R302" s="80"/>
      <c r="S302" s="80"/>
      <c r="T302" s="80"/>
      <c r="U302" s="80"/>
      <c r="V302" s="80"/>
      <c r="W302" s="80"/>
      <c r="X302" s="80"/>
      <c r="Y302" s="80"/>
      <c r="Z302" s="80">
        <f>AVERAGE(Z297,Z301)/(-Z299)</f>
        <v>1.8912889518413596</v>
      </c>
      <c r="AA302" s="80">
        <f t="shared" ref="AA302:AF302" si="249">AVERAGE(AA297,AA301)/(-AA299)</f>
        <v>1.9001940670917661</v>
      </c>
      <c r="AB302" s="80">
        <f t="shared" si="249"/>
        <v>2.0018471484645577</v>
      </c>
      <c r="AC302" s="80">
        <f t="shared" si="249"/>
        <v>1.9560597259712305</v>
      </c>
      <c r="AD302" s="80">
        <f t="shared" si="249"/>
        <v>1.9030050987921971</v>
      </c>
      <c r="AE302" s="80">
        <f t="shared" si="249"/>
        <v>1.9483290773771504</v>
      </c>
      <c r="AF302" s="80">
        <f t="shared" si="249"/>
        <v>1.9456633968866457</v>
      </c>
      <c r="AG302" s="86">
        <f t="shared" ref="AG302:AL302" si="250">AF302</f>
        <v>1.9456633968866457</v>
      </c>
      <c r="AH302" s="86">
        <f t="shared" si="250"/>
        <v>1.9456633968866457</v>
      </c>
      <c r="AI302" s="86">
        <f t="shared" si="250"/>
        <v>1.9456633968866457</v>
      </c>
      <c r="AJ302" s="86">
        <f t="shared" si="250"/>
        <v>1.9456633968866457</v>
      </c>
      <c r="AK302" s="86">
        <f t="shared" si="250"/>
        <v>1.9456633968866457</v>
      </c>
      <c r="AL302" s="86">
        <f t="shared" si="250"/>
        <v>1.9456633968866457</v>
      </c>
      <c r="AM302" s="86">
        <f>AL302</f>
        <v>1.9456633968866457</v>
      </c>
      <c r="AN302" s="86">
        <f>AM302</f>
        <v>1.9456633968866457</v>
      </c>
    </row>
    <row r="303" spans="1:40" s="3" customFormat="1" outlineLevel="1">
      <c r="A303" s="58"/>
      <c r="B303" s="58"/>
      <c r="C303" s="58"/>
      <c r="D303" s="275"/>
      <c r="E303" s="59" t="s">
        <v>584</v>
      </c>
      <c r="F303" s="58"/>
      <c r="G303" s="58"/>
      <c r="H303" s="57"/>
      <c r="I303" s="57"/>
      <c r="J303" s="127"/>
      <c r="K303" s="127"/>
      <c r="L303" s="127"/>
      <c r="M303" s="127"/>
      <c r="N303" s="127"/>
      <c r="O303" s="127"/>
      <c r="P303" s="127"/>
      <c r="Q303" s="127"/>
      <c r="R303" s="127"/>
      <c r="S303" s="127"/>
      <c r="T303" s="127"/>
      <c r="U303" s="127"/>
      <c r="V303" s="127"/>
      <c r="W303" s="127"/>
      <c r="X303" s="127"/>
      <c r="Y303" s="127"/>
      <c r="Z303" s="76">
        <f t="shared" ref="Z303:AF303" si="251">AVERAGE(Y301:Z301)/Z104</f>
        <v>6.9300995463840484E-2</v>
      </c>
      <c r="AA303" s="76">
        <f t="shared" si="251"/>
        <v>7.1639107803582999E-2</v>
      </c>
      <c r="AB303" s="76">
        <f t="shared" si="251"/>
        <v>8.0453023832004436E-2</v>
      </c>
      <c r="AC303" s="76">
        <f t="shared" si="251"/>
        <v>8.7211658282883367E-2</v>
      </c>
      <c r="AD303" s="76">
        <f t="shared" si="251"/>
        <v>8.3047497062034764E-2</v>
      </c>
      <c r="AE303" s="76">
        <f t="shared" si="251"/>
        <v>7.9400605948115238E-2</v>
      </c>
      <c r="AF303" s="76">
        <f t="shared" si="251"/>
        <v>7.5919071911373134E-2</v>
      </c>
      <c r="AG303" s="166">
        <f>AF303-0.003</f>
        <v>7.2919071911373132E-2</v>
      </c>
      <c r="AH303" s="166">
        <f>AG303-0.004</f>
        <v>6.8919071911373128E-2</v>
      </c>
      <c r="AI303" s="166">
        <f>AH303-0.005</f>
        <v>6.3919071911373124E-2</v>
      </c>
      <c r="AJ303" s="166">
        <f>AI303-0.005</f>
        <v>5.8919071911373126E-2</v>
      </c>
      <c r="AK303" s="166">
        <f>AJ303-0.005</f>
        <v>5.3919071911373129E-2</v>
      </c>
      <c r="AL303" s="166">
        <f>AK303-0.004</f>
        <v>4.9919071911373125E-2</v>
      </c>
      <c r="AM303" s="166">
        <f>AL303-0.00325</f>
        <v>4.6669071911373122E-2</v>
      </c>
      <c r="AN303" s="166">
        <f>AM303-0.0025</f>
        <v>4.416907191137312E-2</v>
      </c>
    </row>
    <row r="304" spans="1:40" s="3" customFormat="1" outlineLevel="1">
      <c r="A304" s="96"/>
      <c r="D304" s="142"/>
      <c r="E304" s="3" t="s">
        <v>536</v>
      </c>
      <c r="H304" s="53"/>
      <c r="I304" s="53"/>
      <c r="J304" s="53"/>
      <c r="K304" s="53"/>
      <c r="L304" s="53"/>
      <c r="M304" s="53"/>
      <c r="N304" s="53"/>
      <c r="O304" s="53"/>
      <c r="P304" s="53"/>
      <c r="Q304" s="53"/>
      <c r="R304" s="53"/>
      <c r="S304" s="53"/>
      <c r="T304" s="53"/>
      <c r="U304" s="53"/>
      <c r="V304" s="53"/>
      <c r="W304" s="53"/>
      <c r="X304" s="53"/>
      <c r="Y304" s="53">
        <f t="shared" ref="Y304:AF304" si="252">Y173</f>
        <v>3.71</v>
      </c>
      <c r="Z304" s="53">
        <f t="shared" si="252"/>
        <v>1.552</v>
      </c>
      <c r="AA304" s="53">
        <f t="shared" si="252"/>
        <v>2.0630000000000002</v>
      </c>
      <c r="AB304" s="53">
        <f t="shared" si="252"/>
        <v>3.5379999999999998</v>
      </c>
      <c r="AC304" s="53">
        <f t="shared" si="252"/>
        <v>6.0789999999999997</v>
      </c>
      <c r="AD304" s="53">
        <f t="shared" si="252"/>
        <v>7.3034114234951693</v>
      </c>
      <c r="AE304" s="53">
        <f t="shared" si="252"/>
        <v>9.3088982761189332</v>
      </c>
      <c r="AF304" s="53">
        <f t="shared" si="252"/>
        <v>11.536972689173725</v>
      </c>
      <c r="AG304" s="164">
        <f t="shared" ref="AG304:AL304" si="253">AG301*AG305</f>
        <v>12.813811433151969</v>
      </c>
      <c r="AH304" s="164">
        <f t="shared" si="253"/>
        <v>15.112989340066356</v>
      </c>
      <c r="AI304" s="164">
        <f t="shared" si="253"/>
        <v>17.058670977353994</v>
      </c>
      <c r="AJ304" s="164">
        <f t="shared" si="253"/>
        <v>18.711350699026514</v>
      </c>
      <c r="AK304" s="164">
        <f t="shared" si="253"/>
        <v>19.991589642739708</v>
      </c>
      <c r="AL304" s="164">
        <f t="shared" si="253"/>
        <v>21.191729422904892</v>
      </c>
      <c r="AM304" s="164">
        <f>AM301*AM305</f>
        <v>22.303625055029325</v>
      </c>
      <c r="AN304" s="164">
        <f>AN301*AN305</f>
        <v>23.368991229642162</v>
      </c>
    </row>
    <row r="305" spans="1:40" s="52" customFormat="1" outlineLevel="1">
      <c r="A305" s="161"/>
      <c r="D305" s="276"/>
      <c r="E305" s="73" t="s">
        <v>537</v>
      </c>
      <c r="H305" s="163"/>
      <c r="I305" s="163"/>
      <c r="J305" s="163"/>
      <c r="K305" s="163"/>
      <c r="L305" s="62"/>
      <c r="M305" s="62"/>
      <c r="N305" s="62"/>
      <c r="O305" s="62"/>
      <c r="P305" s="62"/>
      <c r="Q305" s="62"/>
      <c r="R305" s="62"/>
      <c r="S305" s="62"/>
      <c r="T305" s="62"/>
      <c r="U305" s="62"/>
      <c r="V305" s="62"/>
      <c r="W305" s="62"/>
      <c r="X305" s="62"/>
      <c r="Y305" s="62">
        <f t="shared" ref="Y305:AF305" si="254">Y304/Y301</f>
        <v>0.34463539247561542</v>
      </c>
      <c r="Z305" s="62">
        <f t="shared" si="254"/>
        <v>9.7365119196988717E-2</v>
      </c>
      <c r="AA305" s="62">
        <f t="shared" si="254"/>
        <v>8.1917090216010166E-2</v>
      </c>
      <c r="AB305" s="62">
        <f t="shared" si="254"/>
        <v>8.0088735965229987E-2</v>
      </c>
      <c r="AC305" s="62">
        <f t="shared" si="254"/>
        <v>8.64476678043231E-2</v>
      </c>
      <c r="AD305" s="62">
        <f t="shared" si="254"/>
        <v>0.08</v>
      </c>
      <c r="AE305" s="62">
        <f t="shared" si="254"/>
        <v>0.08</v>
      </c>
      <c r="AF305" s="62">
        <f t="shared" si="254"/>
        <v>0.08</v>
      </c>
      <c r="AG305" s="65">
        <v>0.08</v>
      </c>
      <c r="AH305" s="65">
        <v>0.08</v>
      </c>
      <c r="AI305" s="65">
        <v>0.08</v>
      </c>
      <c r="AJ305" s="65">
        <v>0.08</v>
      </c>
      <c r="AK305" s="65">
        <v>0.08</v>
      </c>
      <c r="AL305" s="65">
        <v>0.08</v>
      </c>
      <c r="AM305" s="65">
        <v>0.08</v>
      </c>
      <c r="AN305" s="65">
        <v>0.08</v>
      </c>
    </row>
    <row r="306" spans="1:40" s="52" customFormat="1" outlineLevel="1">
      <c r="A306" s="161"/>
      <c r="D306" s="276"/>
      <c r="E306" s="73"/>
      <c r="H306" s="163"/>
      <c r="I306" s="163"/>
      <c r="J306" s="163"/>
      <c r="K306" s="163"/>
      <c r="L306" s="62"/>
      <c r="M306" s="62"/>
      <c r="N306" s="62"/>
      <c r="O306" s="62"/>
      <c r="P306" s="62"/>
      <c r="Q306" s="62"/>
      <c r="R306" s="62"/>
      <c r="S306" s="62"/>
      <c r="T306" s="62"/>
      <c r="U306" s="62"/>
      <c r="V306" s="62"/>
      <c r="W306" s="62"/>
      <c r="X306" s="62"/>
      <c r="Y306" s="62"/>
      <c r="Z306" s="62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</row>
    <row r="307" spans="1:40" s="3" customFormat="1" outlineLevel="1">
      <c r="A307" s="96"/>
      <c r="D307" s="142"/>
      <c r="E307" s="3" t="s">
        <v>543</v>
      </c>
      <c r="H307" s="53"/>
      <c r="I307" s="53"/>
      <c r="J307" s="53"/>
      <c r="K307" s="53"/>
      <c r="L307" s="53"/>
      <c r="M307" s="53"/>
      <c r="N307" s="53"/>
      <c r="O307" s="53"/>
      <c r="P307" s="53"/>
      <c r="Q307" s="53"/>
      <c r="R307" s="53"/>
      <c r="S307" s="53"/>
      <c r="T307" s="53"/>
      <c r="U307" s="53"/>
      <c r="V307" s="53"/>
      <c r="W307" s="53"/>
      <c r="X307" s="53"/>
      <c r="Y307" s="53"/>
      <c r="Z307" s="53">
        <f t="shared" ref="Z307:AL307" si="255">Y310</f>
        <v>12.134</v>
      </c>
      <c r="AA307" s="53">
        <f t="shared" ref="AA307:AF307" si="256">Z310</f>
        <v>17.036999999999999</v>
      </c>
      <c r="AB307" s="53">
        <f t="shared" si="256"/>
        <v>31.646999999999998</v>
      </c>
      <c r="AC307" s="53">
        <f t="shared" si="256"/>
        <v>56.835999999999999</v>
      </c>
      <c r="AD307" s="53">
        <f t="shared" si="256"/>
        <v>121.226</v>
      </c>
      <c r="AE307" s="53">
        <f t="shared" si="256"/>
        <v>183.00959552579715</v>
      </c>
      <c r="AF307" s="53">
        <f t="shared" si="256"/>
        <v>230.38129108611761</v>
      </c>
      <c r="AG307" s="53">
        <f t="shared" si="255"/>
        <v>281.57502753713891</v>
      </c>
      <c r="AH307" s="53">
        <f t="shared" si="255"/>
        <v>329.48713974803945</v>
      </c>
      <c r="AI307" s="53">
        <f t="shared" si="255"/>
        <v>356.33979095349844</v>
      </c>
      <c r="AJ307" s="53">
        <f t="shared" si="255"/>
        <v>375.29887941998942</v>
      </c>
      <c r="AK307" s="53">
        <f t="shared" si="255"/>
        <v>387.04714661394098</v>
      </c>
      <c r="AL307" s="53">
        <f t="shared" si="255"/>
        <v>393.94342748192912</v>
      </c>
      <c r="AM307" s="53">
        <f>AL310</f>
        <v>397.98909661713799</v>
      </c>
      <c r="AN307" s="53">
        <f>AM310</f>
        <v>403.23672336828565</v>
      </c>
    </row>
    <row r="308" spans="1:40" outlineLevel="1">
      <c r="B308"/>
      <c r="C308"/>
      <c r="D308" s="275"/>
      <c r="E308" s="59" t="s">
        <v>627</v>
      </c>
      <c r="H308" s="7"/>
      <c r="I308" s="7"/>
      <c r="J308" s="7"/>
      <c r="K308" s="7"/>
      <c r="L308" s="7"/>
      <c r="M308" s="7"/>
      <c r="N308" s="7"/>
      <c r="O308" s="7"/>
      <c r="P308" s="7"/>
      <c r="Q308" s="7"/>
      <c r="R308" s="7"/>
      <c r="S308" s="7"/>
      <c r="T308" s="7"/>
      <c r="U308" s="7"/>
      <c r="V308" s="7"/>
      <c r="W308" s="7"/>
      <c r="X308" s="7">
        <f t="shared" ref="X308:AF308" si="257">X147</f>
        <v>-3.02</v>
      </c>
      <c r="Y308" s="7">
        <f t="shared" si="257"/>
        <v>5.5</v>
      </c>
      <c r="Z308" s="7">
        <f t="shared" si="257"/>
        <v>4.9030000000000005</v>
      </c>
      <c r="AA308" s="7">
        <f t="shared" si="257"/>
        <v>14.610000000000001</v>
      </c>
      <c r="AB308" s="7">
        <f t="shared" si="257"/>
        <v>25.189</v>
      </c>
      <c r="AC308" s="7">
        <f t="shared" si="257"/>
        <v>64.39</v>
      </c>
      <c r="AD308" s="7">
        <f t="shared" si="257"/>
        <v>54.834595525797141</v>
      </c>
      <c r="AE308" s="7">
        <f t="shared" si="257"/>
        <v>47.371695560320461</v>
      </c>
      <c r="AF308" s="7">
        <f t="shared" si="257"/>
        <v>51.193736451021294</v>
      </c>
      <c r="AG308" s="164">
        <f t="shared" ref="AG308:AL308" si="258">AG310-AG307</f>
        <v>47.912112210900546</v>
      </c>
      <c r="AH308" s="164">
        <f t="shared" si="258"/>
        <v>26.852651205458983</v>
      </c>
      <c r="AI308" s="164">
        <f t="shared" si="258"/>
        <v>18.959088466490982</v>
      </c>
      <c r="AJ308" s="164">
        <f t="shared" si="258"/>
        <v>11.748267193951563</v>
      </c>
      <c r="AK308" s="164">
        <f t="shared" si="258"/>
        <v>6.8962808679881391</v>
      </c>
      <c r="AL308" s="164">
        <f t="shared" si="258"/>
        <v>4.0456691352088683</v>
      </c>
      <c r="AM308" s="164">
        <f>AM310-AM307</f>
        <v>5.2476267511476635</v>
      </c>
      <c r="AN308" s="164">
        <f>AN310-AN307</f>
        <v>10.107356733540712</v>
      </c>
    </row>
    <row r="309" spans="1:40" outlineLevel="1">
      <c r="B309"/>
      <c r="C309"/>
      <c r="D309" s="275"/>
      <c r="E309" s="59" t="s">
        <v>123</v>
      </c>
      <c r="H309" s="7"/>
      <c r="I309" s="7"/>
      <c r="J309" s="7"/>
      <c r="K309" s="7"/>
      <c r="L309" s="7"/>
      <c r="M309" s="7"/>
      <c r="N309" s="7"/>
      <c r="O309" s="7"/>
      <c r="P309" s="7"/>
      <c r="Q309" s="7"/>
      <c r="R309" s="7"/>
      <c r="S309" s="7"/>
      <c r="T309" s="7"/>
      <c r="U309" s="7"/>
      <c r="V309" s="7"/>
      <c r="W309" s="7"/>
      <c r="X309" s="7"/>
      <c r="Y309" s="7"/>
      <c r="Z309" s="7">
        <f>+Z310-SUM(Z307:Z308)</f>
        <v>0</v>
      </c>
      <c r="AA309" s="7">
        <f t="shared" ref="AA309:AF309" si="259">+AA310-SUM(AA307:AA308)</f>
        <v>0</v>
      </c>
      <c r="AB309" s="7">
        <f t="shared" si="259"/>
        <v>0</v>
      </c>
      <c r="AC309" s="7">
        <f t="shared" si="259"/>
        <v>0</v>
      </c>
      <c r="AD309" s="7">
        <f t="shared" si="259"/>
        <v>6.9490000000000123</v>
      </c>
      <c r="AE309" s="7">
        <f t="shared" si="259"/>
        <v>0</v>
      </c>
      <c r="AF309" s="7">
        <f t="shared" si="259"/>
        <v>0</v>
      </c>
      <c r="AG309" s="68">
        <v>0</v>
      </c>
      <c r="AH309" s="68">
        <v>0</v>
      </c>
      <c r="AI309" s="68">
        <v>0</v>
      </c>
      <c r="AJ309" s="68">
        <v>0</v>
      </c>
      <c r="AK309" s="68">
        <v>0</v>
      </c>
      <c r="AL309" s="68">
        <v>0</v>
      </c>
      <c r="AM309" s="68">
        <v>0</v>
      </c>
      <c r="AN309" s="68">
        <v>0</v>
      </c>
    </row>
    <row r="310" spans="1:40" s="3" customFormat="1" outlineLevel="1">
      <c r="A310" s="96"/>
      <c r="D310" s="246"/>
      <c r="E310" s="209" t="s">
        <v>542</v>
      </c>
      <c r="F310" s="193"/>
      <c r="G310" s="208"/>
      <c r="H310" s="208"/>
      <c r="I310" s="208"/>
      <c r="J310" s="208"/>
      <c r="K310" s="208"/>
      <c r="L310" s="208"/>
      <c r="M310" s="208"/>
      <c r="N310" s="208"/>
      <c r="O310" s="208"/>
      <c r="P310" s="208"/>
      <c r="Q310" s="208"/>
      <c r="R310" s="208"/>
      <c r="S310" s="208"/>
      <c r="T310" s="208"/>
      <c r="U310" s="208"/>
      <c r="V310" s="208"/>
      <c r="W310" s="208"/>
      <c r="X310" s="208"/>
      <c r="Y310" s="208">
        <f>SUM(Y311:Y312)</f>
        <v>12.134</v>
      </c>
      <c r="Z310" s="208">
        <f>SUM(Z311:Z312)</f>
        <v>17.036999999999999</v>
      </c>
      <c r="AA310" s="208">
        <f t="shared" ref="AA310:AF310" si="260">SUM(AA311:AA312)</f>
        <v>31.646999999999998</v>
      </c>
      <c r="AB310" s="208">
        <f t="shared" si="260"/>
        <v>56.835999999999999</v>
      </c>
      <c r="AC310" s="208">
        <f t="shared" si="260"/>
        <v>121.226</v>
      </c>
      <c r="AD310" s="208">
        <f t="shared" si="260"/>
        <v>183.00959552579715</v>
      </c>
      <c r="AE310" s="208">
        <f t="shared" si="260"/>
        <v>230.38129108611761</v>
      </c>
      <c r="AF310" s="208">
        <f t="shared" si="260"/>
        <v>281.57502753713891</v>
      </c>
      <c r="AG310" s="207">
        <f t="shared" ref="AG310:AN310" si="261">+AG7*AG314</f>
        <v>329.48713974803945</v>
      </c>
      <c r="AH310" s="207">
        <f t="shared" si="261"/>
        <v>356.33979095349844</v>
      </c>
      <c r="AI310" s="207">
        <f t="shared" si="261"/>
        <v>375.29887941998942</v>
      </c>
      <c r="AJ310" s="207">
        <f t="shared" si="261"/>
        <v>387.04714661394098</v>
      </c>
      <c r="AK310" s="207">
        <f t="shared" si="261"/>
        <v>393.94342748192912</v>
      </c>
      <c r="AL310" s="207">
        <f t="shared" si="261"/>
        <v>397.98909661713799</v>
      </c>
      <c r="AM310" s="207">
        <f t="shared" si="261"/>
        <v>403.23672336828565</v>
      </c>
      <c r="AN310" s="207">
        <f t="shared" si="261"/>
        <v>413.34408010182636</v>
      </c>
    </row>
    <row r="311" spans="1:40" outlineLevel="1">
      <c r="B311"/>
      <c r="C311"/>
      <c r="D311" s="275"/>
      <c r="E311" s="59" t="s">
        <v>539</v>
      </c>
      <c r="H311" s="7"/>
      <c r="I311" s="7"/>
      <c r="J311" s="7"/>
      <c r="K311" s="7"/>
      <c r="L311" s="7"/>
      <c r="M311" s="7"/>
      <c r="N311" s="7"/>
      <c r="O311" s="7"/>
      <c r="P311" s="7"/>
      <c r="Q311" s="7"/>
      <c r="R311" s="7"/>
      <c r="S311" s="7"/>
      <c r="T311" s="7"/>
      <c r="U311" s="7"/>
      <c r="V311" s="7"/>
      <c r="W311" s="7"/>
      <c r="X311" s="7"/>
      <c r="Y311" s="7">
        <f t="shared" ref="Y311:AF311" si="262">Y187</f>
        <v>11.927</v>
      </c>
      <c r="Z311" s="7">
        <f t="shared" si="262"/>
        <v>16.817</v>
      </c>
      <c r="AA311" s="7">
        <f t="shared" si="262"/>
        <v>30.843</v>
      </c>
      <c r="AB311" s="7">
        <f t="shared" si="262"/>
        <v>54.945</v>
      </c>
      <c r="AC311" s="7">
        <f t="shared" si="262"/>
        <v>116.54600000000001</v>
      </c>
      <c r="AD311" s="7">
        <f t="shared" si="262"/>
        <v>173.85911574950728</v>
      </c>
      <c r="AE311" s="7">
        <f t="shared" si="262"/>
        <v>218.86222653181173</v>
      </c>
      <c r="AF311" s="7">
        <f t="shared" si="262"/>
        <v>267.49627616028198</v>
      </c>
      <c r="AG311" s="164">
        <f t="shared" ref="AG311:AL311" si="263">AG310-AG312</f>
        <v>313.01278276063749</v>
      </c>
      <c r="AH311" s="164">
        <f t="shared" si="263"/>
        <v>338.52280140582354</v>
      </c>
      <c r="AI311" s="164">
        <f t="shared" si="263"/>
        <v>356.53393544898995</v>
      </c>
      <c r="AJ311" s="164">
        <f t="shared" si="263"/>
        <v>367.69478928324395</v>
      </c>
      <c r="AK311" s="164">
        <f t="shared" si="263"/>
        <v>374.24625610783266</v>
      </c>
      <c r="AL311" s="164">
        <f t="shared" si="263"/>
        <v>378.08964178628111</v>
      </c>
      <c r="AM311" s="164">
        <f>AM310-AM312</f>
        <v>383.07488719987134</v>
      </c>
      <c r="AN311" s="164">
        <f>AN310-AN312</f>
        <v>392.67687609673504</v>
      </c>
    </row>
    <row r="312" spans="1:40" outlineLevel="1">
      <c r="B312"/>
      <c r="C312"/>
      <c r="D312" s="275"/>
      <c r="E312" s="59" t="s">
        <v>540</v>
      </c>
      <c r="H312" s="7"/>
      <c r="I312" s="7"/>
      <c r="J312" s="7"/>
      <c r="K312" s="7"/>
      <c r="L312" s="7"/>
      <c r="M312" s="7"/>
      <c r="N312" s="7"/>
      <c r="O312" s="7"/>
      <c r="P312" s="7"/>
      <c r="Q312" s="7"/>
      <c r="R312" s="7"/>
      <c r="S312" s="7"/>
      <c r="T312" s="7"/>
      <c r="U312" s="7"/>
      <c r="V312" s="7"/>
      <c r="W312" s="7"/>
      <c r="X312" s="7"/>
      <c r="Y312" s="7">
        <f t="shared" ref="Y312:AF312" si="264">Y192</f>
        <v>0.20699999999999999</v>
      </c>
      <c r="Z312" s="7">
        <f t="shared" si="264"/>
        <v>0.22</v>
      </c>
      <c r="AA312" s="7">
        <f t="shared" si="264"/>
        <v>0.80400000000000005</v>
      </c>
      <c r="AB312" s="7">
        <f t="shared" si="264"/>
        <v>1.891</v>
      </c>
      <c r="AC312" s="7">
        <f t="shared" si="264"/>
        <v>4.68</v>
      </c>
      <c r="AD312" s="7">
        <f t="shared" si="264"/>
        <v>9.150479776289858</v>
      </c>
      <c r="AE312" s="7">
        <f t="shared" si="264"/>
        <v>11.519064554305881</v>
      </c>
      <c r="AF312" s="7">
        <f t="shared" si="264"/>
        <v>14.078751376856946</v>
      </c>
      <c r="AG312" s="164">
        <f t="shared" ref="AG312:AL312" si="265">AG310*AG315</f>
        <v>16.474356987401972</v>
      </c>
      <c r="AH312" s="164">
        <f t="shared" si="265"/>
        <v>17.816989547674922</v>
      </c>
      <c r="AI312" s="164">
        <f t="shared" si="265"/>
        <v>18.764943970999472</v>
      </c>
      <c r="AJ312" s="164">
        <f t="shared" si="265"/>
        <v>19.35235733069705</v>
      </c>
      <c r="AK312" s="164">
        <f t="shared" si="265"/>
        <v>19.697171374096456</v>
      </c>
      <c r="AL312" s="164">
        <f t="shared" si="265"/>
        <v>19.8994548308569</v>
      </c>
      <c r="AM312" s="164">
        <f>AM310*AM315</f>
        <v>20.161836168414283</v>
      </c>
      <c r="AN312" s="164">
        <f>AN310*AN315</f>
        <v>20.667204005091321</v>
      </c>
    </row>
    <row r="313" spans="1:40" s="52" customFormat="1" outlineLevel="1">
      <c r="A313" s="161"/>
      <c r="D313" s="276"/>
      <c r="E313" s="73" t="s">
        <v>537</v>
      </c>
      <c r="H313" s="163"/>
      <c r="I313" s="163"/>
      <c r="J313" s="163"/>
      <c r="K313" s="163"/>
      <c r="L313" s="62"/>
      <c r="M313" s="62"/>
      <c r="N313" s="62"/>
      <c r="O313" s="62"/>
      <c r="P313" s="62"/>
      <c r="Q313" s="62"/>
      <c r="R313" s="62"/>
      <c r="S313" s="62"/>
      <c r="T313" s="62"/>
      <c r="U313" s="62"/>
      <c r="V313" s="62"/>
      <c r="W313" s="62"/>
      <c r="X313" s="62"/>
      <c r="Y313" s="62">
        <f t="shared" ref="Y313:AN313" si="266">Y310/(Y301+Y304)</f>
        <v>0.83827288428324687</v>
      </c>
      <c r="Z313" s="62">
        <f t="shared" si="266"/>
        <v>0.97398810884975984</v>
      </c>
      <c r="AA313" s="62">
        <f t="shared" si="266"/>
        <v>1.1614856681469519</v>
      </c>
      <c r="AB313" s="62">
        <f t="shared" si="266"/>
        <v>1.1911807855136858</v>
      </c>
      <c r="AC313" s="62">
        <f t="shared" si="266"/>
        <v>1.5867485176507548</v>
      </c>
      <c r="AD313" s="62">
        <f t="shared" si="266"/>
        <v>1.8561553703018223</v>
      </c>
      <c r="AE313" s="62">
        <f t="shared" si="266"/>
        <v>1.8332223980761724</v>
      </c>
      <c r="AF313" s="62">
        <f t="shared" si="266"/>
        <v>1.8078754287741388</v>
      </c>
      <c r="AG313" s="62">
        <f t="shared" si="266"/>
        <v>1.9046990759522611</v>
      </c>
      <c r="AH313" s="62">
        <f t="shared" si="266"/>
        <v>1.7465465948984531</v>
      </c>
      <c r="AI313" s="62">
        <f t="shared" si="266"/>
        <v>1.6296648801643863</v>
      </c>
      <c r="AJ313" s="62">
        <f t="shared" si="266"/>
        <v>1.5322335340511617</v>
      </c>
      <c r="AK313" s="62">
        <f t="shared" si="266"/>
        <v>1.4596635460096405</v>
      </c>
      <c r="AL313" s="62">
        <f t="shared" si="266"/>
        <v>1.3911405357803306</v>
      </c>
      <c r="AM313" s="62">
        <f t="shared" si="266"/>
        <v>1.3392166897745599</v>
      </c>
      <c r="AN313" s="62">
        <f t="shared" si="266"/>
        <v>1.3102011852657764</v>
      </c>
    </row>
    <row r="314" spans="1:40" s="52" customFormat="1" outlineLevel="1">
      <c r="A314" s="161"/>
      <c r="D314" s="276"/>
      <c r="E314" s="73" t="s">
        <v>544</v>
      </c>
      <c r="H314" s="163"/>
      <c r="I314" s="163"/>
      <c r="J314" s="163"/>
      <c r="K314" s="163"/>
      <c r="L314" s="62"/>
      <c r="M314" s="62"/>
      <c r="N314" s="62"/>
      <c r="O314" s="62"/>
      <c r="P314" s="62"/>
      <c r="Q314" s="62"/>
      <c r="R314" s="62"/>
      <c r="S314" s="62"/>
      <c r="T314" s="62"/>
      <c r="U314" s="62"/>
      <c r="V314" s="62"/>
      <c r="W314" s="62"/>
      <c r="X314" s="62"/>
      <c r="Y314" s="76">
        <f t="shared" ref="Y314:AF314" si="267">Y310/(Y7)</f>
        <v>8.9938109179853967E-2</v>
      </c>
      <c r="Z314" s="76">
        <f t="shared" si="267"/>
        <v>8.842397002190229E-2</v>
      </c>
      <c r="AA314" s="76">
        <f t="shared" si="267"/>
        <v>0.11025984070907455</v>
      </c>
      <c r="AB314" s="76">
        <f t="shared" si="267"/>
        <v>0.13185202025708775</v>
      </c>
      <c r="AC314" s="76">
        <f t="shared" si="267"/>
        <v>0.18467580504123846</v>
      </c>
      <c r="AD314" s="76">
        <f t="shared" si="267"/>
        <v>0.18808539460807899</v>
      </c>
      <c r="AE314" s="76">
        <f t="shared" si="267"/>
        <v>0.17618177789470693</v>
      </c>
      <c r="AF314" s="76">
        <f t="shared" si="267"/>
        <v>0.16407596343375952</v>
      </c>
      <c r="AG314" s="66">
        <v>0.15</v>
      </c>
      <c r="AH314" s="66">
        <f>AG314-0.02</f>
        <v>0.13</v>
      </c>
      <c r="AI314" s="66">
        <f>AH314-0.0175</f>
        <v>0.1125</v>
      </c>
      <c r="AJ314" s="66">
        <f>AI314-0.015</f>
        <v>9.7500000000000003E-2</v>
      </c>
      <c r="AK314" s="66">
        <f>AJ314-0.0125</f>
        <v>8.5000000000000006E-2</v>
      </c>
      <c r="AL314" s="66">
        <f>AK314-0.01</f>
        <v>7.5000000000000011E-2</v>
      </c>
      <c r="AM314" s="66">
        <f>AL314-0.0075</f>
        <v>6.7500000000000004E-2</v>
      </c>
      <c r="AN314" s="66">
        <f>AM314-0.005</f>
        <v>6.25E-2</v>
      </c>
    </row>
    <row r="315" spans="1:40" s="52" customFormat="1" outlineLevel="1">
      <c r="A315" s="161"/>
      <c r="D315" s="276"/>
      <c r="E315" s="73" t="s">
        <v>545</v>
      </c>
      <c r="H315" s="163"/>
      <c r="I315" s="163"/>
      <c r="J315" s="163"/>
      <c r="K315" s="163"/>
      <c r="L315" s="62"/>
      <c r="M315" s="62"/>
      <c r="N315" s="62"/>
      <c r="O315" s="62"/>
      <c r="P315" s="62"/>
      <c r="Q315" s="62"/>
      <c r="R315" s="62"/>
      <c r="S315" s="62"/>
      <c r="T315" s="62"/>
      <c r="U315" s="62"/>
      <c r="V315" s="62"/>
      <c r="W315" s="62"/>
      <c r="X315" s="62"/>
      <c r="Y315" s="62">
        <f>Y312/Y310</f>
        <v>1.7059502225152463E-2</v>
      </c>
      <c r="Z315" s="62">
        <f t="shared" ref="Z315:AF315" si="268">Z312/Z310</f>
        <v>1.2913071550155544E-2</v>
      </c>
      <c r="AA315" s="62">
        <f t="shared" si="268"/>
        <v>2.5405251682623947E-2</v>
      </c>
      <c r="AB315" s="62">
        <f t="shared" si="268"/>
        <v>3.3271166162291504E-2</v>
      </c>
      <c r="AC315" s="62">
        <f t="shared" si="268"/>
        <v>3.8605579661128799E-2</v>
      </c>
      <c r="AD315" s="62">
        <f t="shared" si="268"/>
        <v>0.05</v>
      </c>
      <c r="AE315" s="62">
        <f t="shared" si="268"/>
        <v>0.05</v>
      </c>
      <c r="AF315" s="62">
        <f t="shared" si="268"/>
        <v>0.05</v>
      </c>
      <c r="AG315" s="65">
        <v>0.05</v>
      </c>
      <c r="AH315" s="65">
        <v>0.05</v>
      </c>
      <c r="AI315" s="65">
        <v>0.05</v>
      </c>
      <c r="AJ315" s="65">
        <v>0.05</v>
      </c>
      <c r="AK315" s="65">
        <v>0.05</v>
      </c>
      <c r="AL315" s="65">
        <v>0.05</v>
      </c>
      <c r="AM315" s="65">
        <v>0.05</v>
      </c>
      <c r="AN315" s="65">
        <v>0.05</v>
      </c>
    </row>
    <row r="316" spans="1:40" ht="15" customHeight="1" outlineLevel="1">
      <c r="B316"/>
      <c r="C316"/>
      <c r="D316" s="25"/>
      <c r="G316" s="7"/>
      <c r="H316" s="7"/>
      <c r="I316" s="7"/>
      <c r="J316" s="7"/>
      <c r="K316" s="7"/>
      <c r="L316" s="7"/>
      <c r="M316" s="7"/>
      <c r="N316" s="7"/>
      <c r="O316" s="7"/>
      <c r="P316" s="7"/>
      <c r="Q316" s="7"/>
      <c r="R316" s="7"/>
      <c r="S316" s="7"/>
      <c r="T316" s="7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</row>
    <row r="317" spans="1:40" s="3" customFormat="1" outlineLevel="1">
      <c r="A317" s="96"/>
      <c r="B317" s="96" t="s">
        <v>332</v>
      </c>
      <c r="C317" s="58"/>
      <c r="D317" s="275"/>
      <c r="E317" s="59" t="s">
        <v>332</v>
      </c>
      <c r="F317" s="58"/>
      <c r="G317" s="68"/>
      <c r="H317" s="177"/>
      <c r="I317" s="177"/>
      <c r="J317" s="177"/>
      <c r="K317" s="177"/>
      <c r="L317" s="177"/>
      <c r="M317" s="177"/>
      <c r="N317" s="177"/>
      <c r="O317" s="177"/>
      <c r="P317" s="177"/>
      <c r="Q317" s="177"/>
      <c r="R317" s="177"/>
      <c r="S317" s="177"/>
      <c r="T317" s="177"/>
      <c r="U317" s="177"/>
      <c r="V317" s="177"/>
      <c r="W317" s="177"/>
      <c r="X317" s="177">
        <v>0.04</v>
      </c>
      <c r="Y317" s="177">
        <v>0.5</v>
      </c>
      <c r="Z317" s="177" cm="1">
        <f t="array" ref="Z317">INDEX(QRT!$1:$1048576,MATCH(Model!$B317,QRT!$A:$A,0),MATCH(Model!Z$3,QRT!$4:$4,0))+INDEX(QRT!$1:$1048576,MATCH(Model!$B317,QRT!$A:$A,0),MATCH(Model!Z$3,QRT!$4:$4,0)+1)+INDEX(QRT!$1:$1048576,MATCH(Model!$B317,QRT!$A:$A,0),MATCH(Model!Z$3,QRT!$4:$4,0)+2)+INDEX(QRT!$1:$1048576,MATCH(Model!$B317,QRT!$A:$A,0),MATCH(Model!Z$3,QRT!$4:$4,0)+3)</f>
        <v>0.51700000000000002</v>
      </c>
      <c r="AA317" s="177" cm="1">
        <f t="array" ref="AA317">INDEX(QRT!$1:$1048576,MATCH(Model!$B317,QRT!$A:$A,0),MATCH(Model!AA$3,QRT!$4:$4,0))+INDEX(QRT!$1:$1048576,MATCH(Model!$B317,QRT!$A:$A,0),MATCH(Model!AA$3,QRT!$4:$4,0)+1)+INDEX(QRT!$1:$1048576,MATCH(Model!$B317,QRT!$A:$A,0),MATCH(Model!AA$3,QRT!$4:$4,0)+2)+INDEX(QRT!$1:$1048576,MATCH(Model!$B317,QRT!$A:$A,0),MATCH(Model!AA$3,QRT!$4:$4,0)+3)</f>
        <v>0.125</v>
      </c>
      <c r="AB317" s="177" cm="1">
        <f t="array" ref="AB317">INDEX(QRT!$1:$1048576,MATCH(Model!$B317,QRT!$A:$A,0),MATCH(Model!AB$3,QRT!$4:$4,0))+INDEX(QRT!$1:$1048576,MATCH(Model!$B317,QRT!$A:$A,0),MATCH(Model!AB$3,QRT!$4:$4,0)+1)+INDEX(QRT!$1:$1048576,MATCH(Model!$B317,QRT!$A:$A,0),MATCH(Model!AB$3,QRT!$4:$4,0)+2)+INDEX(QRT!$1:$1048576,MATCH(Model!$B317,QRT!$A:$A,0),MATCH(Model!AB$3,QRT!$4:$4,0)+3)</f>
        <v>3.0810000000000004</v>
      </c>
      <c r="AC317" s="177" cm="1">
        <f t="array" ref="AC317">INDEX(QRT!$1:$1048576,MATCH(Model!$B317,QRT!$A:$A,0),MATCH(Model!AC$3,QRT!$4:$4,0))+INDEX(QRT!$1:$1048576,MATCH(Model!$B317,QRT!$A:$A,0),MATCH(Model!AC$3,QRT!$4:$4,0)+1)+INDEX(QRT!$1:$1048576,MATCH(Model!$B317,QRT!$A:$A,0),MATCH(Model!AC$3,QRT!$4:$4,0)+2)+INDEX(QRT!$1:$1048576,MATCH(Model!$B317,QRT!$A:$A,0),MATCH(Model!AC$3,QRT!$4:$4,0)+3)</f>
        <v>2.9460000000000002</v>
      </c>
      <c r="AD317" s="164" cm="1">
        <f t="array" ref="AD317">INDEX(QRT!$1:$1048576,MATCH(Model!$B317,QRT!$A:$A,0),MATCH(Model!AD$3,QRT!$4:$4,0))+INDEX(QRT!$1:$1048576,MATCH(Model!$B317,QRT!$A:$A,0),MATCH(Model!AD$3,QRT!$4:$4,0)+1)+INDEX(QRT!$1:$1048576,MATCH(Model!$B317,QRT!$A:$A,0),MATCH(Model!AD$3,QRT!$4:$4,0)+2)+INDEX(QRT!$1:$1048576,MATCH(Model!$B317,QRT!$A:$A,0),MATCH(Model!AD$3,QRT!$4:$4,0)+3)</f>
        <v>14.994</v>
      </c>
      <c r="AE317" s="164" cm="1">
        <f t="array" ref="AE317">INDEX(QRT!$1:$1048576,MATCH(Model!$B317,QRT!$A:$A,0),MATCH(Model!AE$3,QRT!$4:$4,0))+INDEX(QRT!$1:$1048576,MATCH(Model!$B317,QRT!$A:$A,0),MATCH(Model!AE$3,QRT!$4:$4,0)+1)+INDEX(QRT!$1:$1048576,MATCH(Model!$B317,QRT!$A:$A,0),MATCH(Model!AE$3,QRT!$4:$4,0)+2)+INDEX(QRT!$1:$1048576,MATCH(Model!$B317,QRT!$A:$A,0),MATCH(Model!AE$3,QRT!$4:$4,0)+3)</f>
        <v>19.2</v>
      </c>
      <c r="AF317" s="164" cm="1">
        <f t="array" ref="AF317">INDEX(QRT!$1:$1048576,MATCH(Model!$B317,QRT!$A:$A,0),MATCH(Model!AF$3,QRT!$4:$4,0))+INDEX(QRT!$1:$1048576,MATCH(Model!$B317,QRT!$A:$A,0),MATCH(Model!AF$3,QRT!$4:$4,0)+1)+INDEX(QRT!$1:$1048576,MATCH(Model!$B317,QRT!$A:$A,0),MATCH(Model!AF$3,QRT!$4:$4,0)+2)+INDEX(QRT!$1:$1048576,MATCH(Model!$B317,QRT!$A:$A,0),MATCH(Model!AF$3,QRT!$4:$4,0)+3)</f>
        <v>13.458000000000006</v>
      </c>
      <c r="AG317" s="63">
        <f t="shared" ref="AG317:AL317" si="269">-AG292</f>
        <v>0</v>
      </c>
      <c r="AH317" s="63">
        <f t="shared" si="269"/>
        <v>0</v>
      </c>
      <c r="AI317" s="63">
        <f t="shared" si="269"/>
        <v>0</v>
      </c>
      <c r="AJ317" s="63">
        <f t="shared" si="269"/>
        <v>0</v>
      </c>
      <c r="AK317" s="63">
        <f t="shared" si="269"/>
        <v>0</v>
      </c>
      <c r="AL317" s="63">
        <f t="shared" si="269"/>
        <v>0</v>
      </c>
      <c r="AM317" s="63">
        <f>-AM292</f>
        <v>0</v>
      </c>
      <c r="AN317" s="63">
        <f>-AN292</f>
        <v>0</v>
      </c>
    </row>
    <row r="318" spans="1:40" s="3" customFormat="1" outlineLevel="1">
      <c r="A318" s="96"/>
      <c r="B318" s="96" t="s">
        <v>333</v>
      </c>
      <c r="C318" s="58"/>
      <c r="D318" s="275"/>
      <c r="E318" s="59" t="s">
        <v>333</v>
      </c>
      <c r="F318" s="58"/>
      <c r="G318" s="68"/>
      <c r="H318" s="177"/>
      <c r="I318" s="177"/>
      <c r="J318" s="177"/>
      <c r="K318" s="177"/>
      <c r="L318" s="177"/>
      <c r="M318" s="177"/>
      <c r="N318" s="177"/>
      <c r="O318" s="177"/>
      <c r="P318" s="177"/>
      <c r="Q318" s="177"/>
      <c r="R318" s="177"/>
      <c r="S318" s="177"/>
      <c r="T318" s="177"/>
      <c r="U318" s="177"/>
      <c r="V318" s="177"/>
      <c r="W318" s="177"/>
      <c r="X318" s="177">
        <f>8.3*(Y318/SUM(Y$318:Y$319))</f>
        <v>6.8114130434782618</v>
      </c>
      <c r="Y318" s="177">
        <f>11.7*(Z318/SUM(Z$318:Z$319))</f>
        <v>9.60163043478261</v>
      </c>
      <c r="Z318" s="177" cm="1">
        <f t="array" ref="Z318">INDEX(QRT!$1:$1048576,MATCH(Model!$B318,QRT!$A:$A,0),MATCH(Model!Z$3,QRT!$4:$4,0))+INDEX(QRT!$1:$1048576,MATCH(Model!$B318,QRT!$A:$A,0),MATCH(Model!Z$3,QRT!$4:$4,0)+1)+INDEX(QRT!$1:$1048576,MATCH(Model!$B318,QRT!$A:$A,0),MATCH(Model!Z$3,QRT!$4:$4,0)+2)+INDEX(QRT!$1:$1048576,MATCH(Model!$B318,QRT!$A:$A,0),MATCH(Model!Z$3,QRT!$4:$4,0)+3)</f>
        <v>15.1</v>
      </c>
      <c r="AA318" s="177" cm="1">
        <f t="array" ref="AA318">INDEX(QRT!$1:$1048576,MATCH(Model!$B318,QRT!$A:$A,0),MATCH(Model!AA$3,QRT!$4:$4,0))+INDEX(QRT!$1:$1048576,MATCH(Model!$B318,QRT!$A:$A,0),MATCH(Model!AA$3,QRT!$4:$4,0)+1)+INDEX(QRT!$1:$1048576,MATCH(Model!$B318,QRT!$A:$A,0),MATCH(Model!AA$3,QRT!$4:$4,0)+2)+INDEX(QRT!$1:$1048576,MATCH(Model!$B318,QRT!$A:$A,0),MATCH(Model!AA$3,QRT!$4:$4,0)+3)</f>
        <v>22.699999999999996</v>
      </c>
      <c r="AB318" s="177" cm="1">
        <f t="array" ref="AB318">INDEX(QRT!$1:$1048576,MATCH(Model!$B318,QRT!$A:$A,0),MATCH(Model!AB$3,QRT!$4:$4,0))+INDEX(QRT!$1:$1048576,MATCH(Model!$B318,QRT!$A:$A,0),MATCH(Model!AB$3,QRT!$4:$4,0)+1)+INDEX(QRT!$1:$1048576,MATCH(Model!$B318,QRT!$A:$A,0),MATCH(Model!AB$3,QRT!$4:$4,0)+2)+INDEX(QRT!$1:$1048576,MATCH(Model!$B318,QRT!$A:$A,0),MATCH(Model!AB$3,QRT!$4:$4,0)+3)</f>
        <v>33.299999999999997</v>
      </c>
      <c r="AC318" s="177" cm="1">
        <f t="array" ref="AC318">INDEX(QRT!$1:$1048576,MATCH(Model!$B318,QRT!$A:$A,0),MATCH(Model!AC$3,QRT!$4:$4,0))+INDEX(QRT!$1:$1048576,MATCH(Model!$B318,QRT!$A:$A,0),MATCH(Model!AC$3,QRT!$4:$4,0)+1)+INDEX(QRT!$1:$1048576,MATCH(Model!$B318,QRT!$A:$A,0),MATCH(Model!AC$3,QRT!$4:$4,0)+2)+INDEX(QRT!$1:$1048576,MATCH(Model!$B318,QRT!$A:$A,0),MATCH(Model!AC$3,QRT!$4:$4,0)+3)</f>
        <v>44.400000000000006</v>
      </c>
      <c r="AD318" s="164" cm="1">
        <f t="array" ref="AD318">INDEX(QRT!$1:$1048576,MATCH(Model!$B318,QRT!$A:$A,0),MATCH(Model!AD$3,QRT!$4:$4,0))+INDEX(QRT!$1:$1048576,MATCH(Model!$B318,QRT!$A:$A,0),MATCH(Model!AD$3,QRT!$4:$4,0)+1)+INDEX(QRT!$1:$1048576,MATCH(Model!$B318,QRT!$A:$A,0),MATCH(Model!AD$3,QRT!$4:$4,0)+2)+INDEX(QRT!$1:$1048576,MATCH(Model!$B318,QRT!$A:$A,0),MATCH(Model!AD$3,QRT!$4:$4,0)+3)</f>
        <v>66.717350720267561</v>
      </c>
      <c r="AE318" s="164" cm="1">
        <f t="array" ref="AE318">INDEX(QRT!$1:$1048576,MATCH(Model!$B318,QRT!$A:$A,0),MATCH(Model!AE$3,QRT!$4:$4,0))+INDEX(QRT!$1:$1048576,MATCH(Model!$B318,QRT!$A:$A,0),MATCH(Model!AE$3,QRT!$4:$4,0)+1)+INDEX(QRT!$1:$1048576,MATCH(Model!$B318,QRT!$A:$A,0),MATCH(Model!AE$3,QRT!$4:$4,0)+2)+INDEX(QRT!$1:$1048576,MATCH(Model!$B318,QRT!$A:$A,0),MATCH(Model!AE$3,QRT!$4:$4,0)+3)</f>
        <v>89.40642501806613</v>
      </c>
      <c r="AF318" s="164" cm="1">
        <f t="array" ref="AF318">INDEX(QRT!$1:$1048576,MATCH(Model!$B318,QRT!$A:$A,0),MATCH(Model!AF$3,QRT!$4:$4,0))+INDEX(QRT!$1:$1048576,MATCH(Model!$B318,QRT!$A:$A,0),MATCH(Model!AF$3,QRT!$4:$4,0)+1)+INDEX(QRT!$1:$1048576,MATCH(Model!$B318,QRT!$A:$A,0),MATCH(Model!AF$3,QRT!$4:$4,0)+2)+INDEX(QRT!$1:$1048576,MATCH(Model!$B318,QRT!$A:$A,0),MATCH(Model!AF$3,QRT!$4:$4,0)+3)</f>
        <v>111.23101490354473</v>
      </c>
      <c r="AG318" s="63">
        <f t="shared" ref="AG318:AN319" si="270">-AG$265*(SUM(AC318:AF318)/SUM(AC$318:AF$319))</f>
        <v>125.83651332663445</v>
      </c>
      <c r="AH318" s="63">
        <f t="shared" si="270"/>
        <v>151.86297167894026</v>
      </c>
      <c r="AI318" s="63">
        <f t="shared" si="270"/>
        <v>179.92634182644068</v>
      </c>
      <c r="AJ318" s="63">
        <f t="shared" si="270"/>
        <v>209.94718208973865</v>
      </c>
      <c r="AK318" s="63">
        <f t="shared" si="270"/>
        <v>241.18987655983167</v>
      </c>
      <c r="AL318" s="63">
        <f t="shared" si="270"/>
        <v>272.52292684415642</v>
      </c>
      <c r="AM318" s="63">
        <f>-AM$265*(SUM(AI318:AL318)/SUM(AI$318:AL$319))</f>
        <v>302.27435859668554</v>
      </c>
      <c r="AN318" s="63">
        <f t="shared" si="270"/>
        <v>328.64069461132283</v>
      </c>
    </row>
    <row r="319" spans="1:40" s="3" customFormat="1" outlineLevel="1">
      <c r="A319" s="96"/>
      <c r="B319" s="96" t="s">
        <v>441</v>
      </c>
      <c r="C319" s="58"/>
      <c r="D319" s="275"/>
      <c r="E319" s="59" t="s">
        <v>441</v>
      </c>
      <c r="F319" s="58"/>
      <c r="G319" s="68"/>
      <c r="H319" s="177"/>
      <c r="I319" s="177"/>
      <c r="J319" s="177"/>
      <c r="K319" s="177"/>
      <c r="L319" s="177"/>
      <c r="M319" s="177"/>
      <c r="N319" s="177"/>
      <c r="O319" s="177"/>
      <c r="P319" s="177"/>
      <c r="Q319" s="177"/>
      <c r="R319" s="177"/>
      <c r="S319" s="177"/>
      <c r="T319" s="177"/>
      <c r="U319" s="177"/>
      <c r="V319" s="177"/>
      <c r="W319" s="177"/>
      <c r="X319" s="177">
        <f>8.3*(Y319/SUM(Y$318:Y$319))</f>
        <v>1.4885869565217389</v>
      </c>
      <c r="Y319" s="177">
        <f>11.7*(Z319/SUM(Z$318:Z$319))</f>
        <v>2.098369565217391</v>
      </c>
      <c r="Z319" s="177" cm="1">
        <f t="array" ref="Z319">INDEX(QRT!$1:$1048576,MATCH(Model!$B319,QRT!$A:$A,0),MATCH(Model!Z$3,QRT!$4:$4,0))+INDEX(QRT!$1:$1048576,MATCH(Model!$B319,QRT!$A:$A,0),MATCH(Model!Z$3,QRT!$4:$4,0)+1)+INDEX(QRT!$1:$1048576,MATCH(Model!$B319,QRT!$A:$A,0),MATCH(Model!Z$3,QRT!$4:$4,0)+2)+INDEX(QRT!$1:$1048576,MATCH(Model!$B319,QRT!$A:$A,0),MATCH(Model!Z$3,QRT!$4:$4,0)+3)</f>
        <v>3.3</v>
      </c>
      <c r="AA319" s="177" cm="1">
        <f t="array" ref="AA319">INDEX(QRT!$1:$1048576,MATCH(Model!$B319,QRT!$A:$A,0),MATCH(Model!AA$3,QRT!$4:$4,0))+INDEX(QRT!$1:$1048576,MATCH(Model!$B319,QRT!$A:$A,0),MATCH(Model!AA$3,QRT!$4:$4,0)+1)+INDEX(QRT!$1:$1048576,MATCH(Model!$B319,QRT!$A:$A,0),MATCH(Model!AA$3,QRT!$4:$4,0)+2)+INDEX(QRT!$1:$1048576,MATCH(Model!$B319,QRT!$A:$A,0),MATCH(Model!AA$3,QRT!$4:$4,0)+3)</f>
        <v>6.7</v>
      </c>
      <c r="AB319" s="177" cm="1">
        <f t="array" ref="AB319">INDEX(QRT!$1:$1048576,MATCH(Model!$B319,QRT!$A:$A,0),MATCH(Model!AB$3,QRT!$4:$4,0))+INDEX(QRT!$1:$1048576,MATCH(Model!$B319,QRT!$A:$A,0),MATCH(Model!AB$3,QRT!$4:$4,0)+1)+INDEX(QRT!$1:$1048576,MATCH(Model!$B319,QRT!$A:$A,0),MATCH(Model!AB$3,QRT!$4:$4,0)+2)+INDEX(QRT!$1:$1048576,MATCH(Model!$B319,QRT!$A:$A,0),MATCH(Model!AB$3,QRT!$4:$4,0)+3)</f>
        <v>12.6</v>
      </c>
      <c r="AC319" s="177" cm="1">
        <f t="array" ref="AC319">INDEX(QRT!$1:$1048576,MATCH(Model!$B319,QRT!$A:$A,0),MATCH(Model!AC$3,QRT!$4:$4,0))+INDEX(QRT!$1:$1048576,MATCH(Model!$B319,QRT!$A:$A,0),MATCH(Model!AC$3,QRT!$4:$4,0)+1)+INDEX(QRT!$1:$1048576,MATCH(Model!$B319,QRT!$A:$A,0),MATCH(Model!AC$3,QRT!$4:$4,0)+2)+INDEX(QRT!$1:$1048576,MATCH(Model!$B319,QRT!$A:$A,0),MATCH(Model!AC$3,QRT!$4:$4,0)+3)</f>
        <v>17.899999999999999</v>
      </c>
      <c r="AD319" s="164" cm="1">
        <f t="array" ref="AD319">INDEX(QRT!$1:$1048576,MATCH(Model!$B319,QRT!$A:$A,0),MATCH(Model!AD$3,QRT!$4:$4,0))+INDEX(QRT!$1:$1048576,MATCH(Model!$B319,QRT!$A:$A,0),MATCH(Model!AD$3,QRT!$4:$4,0)+1)+INDEX(QRT!$1:$1048576,MATCH(Model!$B319,QRT!$A:$A,0),MATCH(Model!AD$3,QRT!$4:$4,0)+2)+INDEX(QRT!$1:$1048576,MATCH(Model!$B319,QRT!$A:$A,0),MATCH(Model!AD$3,QRT!$4:$4,0)+3)</f>
        <v>22.562009279732429</v>
      </c>
      <c r="AE319" s="164" cm="1">
        <f t="array" ref="AE319">INDEX(QRT!$1:$1048576,MATCH(Model!$B319,QRT!$A:$A,0),MATCH(Model!AE$3,QRT!$4:$4,0))+INDEX(QRT!$1:$1048576,MATCH(Model!$B319,QRT!$A:$A,0),MATCH(Model!AE$3,QRT!$4:$4,0)+1)+INDEX(QRT!$1:$1048576,MATCH(Model!$B319,QRT!$A:$A,0),MATCH(Model!AE$3,QRT!$4:$4,0)+2)+INDEX(QRT!$1:$1048576,MATCH(Model!$B319,QRT!$A:$A,0),MATCH(Model!AE$3,QRT!$4:$4,0)+3)</f>
        <v>30.359470178015989</v>
      </c>
      <c r="AF319" s="164" cm="1">
        <f t="array" ref="AF319">INDEX(QRT!$1:$1048576,MATCH(Model!$B319,QRT!$A:$A,0),MATCH(Model!AF$3,QRT!$4:$4,0))+INDEX(QRT!$1:$1048576,MATCH(Model!$B319,QRT!$A:$A,0),MATCH(Model!AF$3,QRT!$4:$4,0)+1)+INDEX(QRT!$1:$1048576,MATCH(Model!$B319,QRT!$A:$A,0),MATCH(Model!AF$3,QRT!$4:$4,0)+2)+INDEX(QRT!$1:$1048576,MATCH(Model!$B319,QRT!$A:$A,0),MATCH(Model!AF$3,QRT!$4:$4,0)+3)</f>
        <v>37.813046273098266</v>
      </c>
      <c r="AG319" s="63">
        <f t="shared" si="270"/>
        <v>43.849173630071441</v>
      </c>
      <c r="AH319" s="63">
        <f t="shared" si="270"/>
        <v>51.980499869170131</v>
      </c>
      <c r="AI319" s="63">
        <f t="shared" si="270"/>
        <v>61.689392040525533</v>
      </c>
      <c r="AJ319" s="63">
        <f t="shared" si="270"/>
        <v>72.09094351687969</v>
      </c>
      <c r="AK319" s="63">
        <f t="shared" si="270"/>
        <v>82.95663395786795</v>
      </c>
      <c r="AL319" s="63">
        <f t="shared" si="270"/>
        <v>93.535834090296788</v>
      </c>
      <c r="AM319" s="63">
        <f t="shared" si="270"/>
        <v>103.79474529901485</v>
      </c>
      <c r="AN319" s="63">
        <f t="shared" si="270"/>
        <v>112.87837560437157</v>
      </c>
    </row>
    <row r="320" spans="1:40" s="3" customFormat="1" outlineLevel="1">
      <c r="A320" s="96"/>
      <c r="B320" s="96" t="s">
        <v>227</v>
      </c>
      <c r="C320" s="58"/>
      <c r="D320" s="275"/>
      <c r="E320" s="59" t="s">
        <v>227</v>
      </c>
      <c r="F320" s="58"/>
      <c r="G320" s="86"/>
      <c r="H320" s="190"/>
      <c r="I320" s="190"/>
      <c r="J320" s="190"/>
      <c r="K320" s="190"/>
      <c r="L320" s="190"/>
      <c r="M320" s="190"/>
      <c r="N320" s="190"/>
      <c r="O320" s="190"/>
      <c r="P320" s="190"/>
      <c r="Q320" s="190"/>
      <c r="R320" s="190"/>
      <c r="S320" s="190"/>
      <c r="T320" s="190"/>
      <c r="U320" s="190"/>
      <c r="V320" s="190"/>
      <c r="W320" s="190"/>
      <c r="X320" s="190">
        <f>8.355-SUM(X317:X319)</f>
        <v>1.5000000000000568E-2</v>
      </c>
      <c r="Y320" s="190">
        <f>12.174-SUM(Y317:Y319)</f>
        <v>-2.6000000000001577E-2</v>
      </c>
      <c r="Z320" s="190" cm="1">
        <f t="array" ref="Z320">INDEX(QRT!$1:$1048576,MATCH(Model!$B320,QRT!$A:$A,0),MATCH(Model!Z$3,QRT!$4:$4,0))+INDEX(QRT!$1:$1048576,MATCH(Model!$B320,QRT!$A:$A,0),MATCH(Model!Z$3,QRT!$4:$4,0)+1)+INDEX(QRT!$1:$1048576,MATCH(Model!$B320,QRT!$A:$A,0),MATCH(Model!Z$3,QRT!$4:$4,0)+2)+INDEX(QRT!$1:$1048576,MATCH(Model!$B320,QRT!$A:$A,0),MATCH(Model!Z$3,QRT!$4:$4,0)+3)</f>
        <v>-1.2000000000000011E-2</v>
      </c>
      <c r="AA320" s="190" cm="1">
        <f t="array" ref="AA320">INDEX(QRT!$1:$1048576,MATCH(Model!$B320,QRT!$A:$A,0),MATCH(Model!AA$3,QRT!$4:$4,0))+INDEX(QRT!$1:$1048576,MATCH(Model!$B320,QRT!$A:$A,0),MATCH(Model!AA$3,QRT!$4:$4,0)+1)+INDEX(QRT!$1:$1048576,MATCH(Model!$B320,QRT!$A:$A,0),MATCH(Model!AA$3,QRT!$4:$4,0)+2)+INDEX(QRT!$1:$1048576,MATCH(Model!$B320,QRT!$A:$A,0),MATCH(Model!AA$3,QRT!$4:$4,0)+3)</f>
        <v>-4.5999999999999375E-2</v>
      </c>
      <c r="AB320" s="190" cm="1">
        <f t="array" ref="AB320">INDEX(QRT!$1:$1048576,MATCH(Model!$B320,QRT!$A:$A,0),MATCH(Model!AB$3,QRT!$4:$4,0))+INDEX(QRT!$1:$1048576,MATCH(Model!$B320,QRT!$A:$A,0),MATCH(Model!AB$3,QRT!$4:$4,0)+1)+INDEX(QRT!$1:$1048576,MATCH(Model!$B320,QRT!$A:$A,0),MATCH(Model!AB$3,QRT!$4:$4,0)+2)+INDEX(QRT!$1:$1048576,MATCH(Model!$B320,QRT!$A:$A,0),MATCH(Model!AB$3,QRT!$4:$4,0)+3)</f>
        <v>0.40600000000000769</v>
      </c>
      <c r="AC320" s="190" cm="1">
        <f t="array" ref="AC320">INDEX(QRT!$1:$1048576,MATCH(Model!$B320,QRT!$A:$A,0),MATCH(Model!AC$3,QRT!$4:$4,0))+INDEX(QRT!$1:$1048576,MATCH(Model!$B320,QRT!$A:$A,0),MATCH(Model!AC$3,QRT!$4:$4,0)+1)+INDEX(QRT!$1:$1048576,MATCH(Model!$B320,QRT!$A:$A,0),MATCH(Model!AC$3,QRT!$4:$4,0)+2)+INDEX(QRT!$1:$1048576,MATCH(Model!$B320,QRT!$A:$A,0),MATCH(Model!AC$3,QRT!$4:$4,0)+3)</f>
        <v>1.3609999999999935</v>
      </c>
      <c r="AD320" s="281" cm="1">
        <f t="array" ref="AD320">INDEX(QRT!$1:$1048576,MATCH(Model!$B320,QRT!$A:$A,0),MATCH(Model!AD$3,QRT!$4:$4,0))+INDEX(QRT!$1:$1048576,MATCH(Model!$B320,QRT!$A:$A,0),MATCH(Model!AD$3,QRT!$4:$4,0)+1)+INDEX(QRT!$1:$1048576,MATCH(Model!$B320,QRT!$A:$A,0),MATCH(Model!AD$3,QRT!$4:$4,0)+2)+INDEX(QRT!$1:$1048576,MATCH(Model!$B320,QRT!$A:$A,0),MATCH(Model!AD$3,QRT!$4:$4,0)+3)</f>
        <v>1.0580000000000034</v>
      </c>
      <c r="AE320" s="281" cm="1">
        <f t="array" ref="AE320">INDEX(QRT!$1:$1048576,MATCH(Model!$B320,QRT!$A:$A,0),MATCH(Model!AE$3,QRT!$4:$4,0))+INDEX(QRT!$1:$1048576,MATCH(Model!$B320,QRT!$A:$A,0),MATCH(Model!AE$3,QRT!$4:$4,0)+1)+INDEX(QRT!$1:$1048576,MATCH(Model!$B320,QRT!$A:$A,0),MATCH(Model!AE$3,QRT!$4:$4,0)+2)+INDEX(QRT!$1:$1048576,MATCH(Model!$B320,QRT!$A:$A,0),MATCH(Model!AE$3,QRT!$4:$4,0)+3)</f>
        <v>0</v>
      </c>
      <c r="AF320" s="281" cm="1">
        <f t="array" ref="AF320">INDEX(QRT!$1:$1048576,MATCH(Model!$B320,QRT!$A:$A,0),MATCH(Model!AF$3,QRT!$4:$4,0))+INDEX(QRT!$1:$1048576,MATCH(Model!$B320,QRT!$A:$A,0),MATCH(Model!AF$3,QRT!$4:$4,0)+1)+INDEX(QRT!$1:$1048576,MATCH(Model!$B320,QRT!$A:$A,0),MATCH(Model!AF$3,QRT!$4:$4,0)+2)+INDEX(QRT!$1:$1048576,MATCH(Model!$B320,QRT!$A:$A,0),MATCH(Model!AF$3,QRT!$4:$4,0)+3)</f>
        <v>0</v>
      </c>
      <c r="AG320" s="68">
        <v>0</v>
      </c>
      <c r="AH320" s="68">
        <v>0</v>
      </c>
      <c r="AI320" s="68">
        <v>0</v>
      </c>
      <c r="AJ320" s="68">
        <v>0</v>
      </c>
      <c r="AK320" s="68">
        <v>0</v>
      </c>
      <c r="AL320" s="68">
        <v>0</v>
      </c>
      <c r="AM320" s="68">
        <v>0</v>
      </c>
      <c r="AN320" s="68">
        <v>0</v>
      </c>
    </row>
    <row r="321" spans="1:42" s="3" customFormat="1" outlineLevel="1">
      <c r="A321" s="96"/>
      <c r="D321" s="246"/>
      <c r="E321" s="209" t="s">
        <v>228</v>
      </c>
      <c r="F321" s="193"/>
      <c r="G321" s="208"/>
      <c r="H321" s="208"/>
      <c r="I321" s="208"/>
      <c r="J321" s="208"/>
      <c r="K321" s="208"/>
      <c r="L321" s="208"/>
      <c r="M321" s="208"/>
      <c r="N321" s="208"/>
      <c r="O321" s="208"/>
      <c r="P321" s="208"/>
      <c r="Q321" s="208"/>
      <c r="R321" s="208"/>
      <c r="S321" s="208"/>
      <c r="T321" s="208"/>
      <c r="U321" s="208"/>
      <c r="V321" s="208"/>
      <c r="W321" s="208"/>
      <c r="X321" s="208">
        <f>SUM(X317:X320)</f>
        <v>8.3550000000000004</v>
      </c>
      <c r="Y321" s="208">
        <f>SUM(Y317:Y320)</f>
        <v>12.173999999999999</v>
      </c>
      <c r="Z321" s="208">
        <f>SUM(Z317:Z320)</f>
        <v>18.904999999999998</v>
      </c>
      <c r="AA321" s="208">
        <f t="shared" ref="AA321:AF321" si="271">SUM(AA317:AA320)</f>
        <v>29.478999999999996</v>
      </c>
      <c r="AB321" s="208">
        <f t="shared" si="271"/>
        <v>49.387000000000008</v>
      </c>
      <c r="AC321" s="208">
        <f t="shared" si="271"/>
        <v>66.606999999999999</v>
      </c>
      <c r="AD321" s="208">
        <f t="shared" si="271"/>
        <v>105.33136</v>
      </c>
      <c r="AE321" s="208">
        <f t="shared" si="271"/>
        <v>138.96589519608213</v>
      </c>
      <c r="AF321" s="208">
        <f t="shared" si="271"/>
        <v>162.502061176643</v>
      </c>
      <c r="AG321" s="207">
        <f t="shared" ref="AG321:AL321" si="272">SUM(AG317:AG320)</f>
        <v>169.68568695670589</v>
      </c>
      <c r="AH321" s="207">
        <f t="shared" si="272"/>
        <v>203.84347154811039</v>
      </c>
      <c r="AI321" s="207">
        <f t="shared" si="272"/>
        <v>241.6157338669662</v>
      </c>
      <c r="AJ321" s="207">
        <f t="shared" si="272"/>
        <v>282.03812560661834</v>
      </c>
      <c r="AK321" s="207">
        <f t="shared" si="272"/>
        <v>324.14651051769965</v>
      </c>
      <c r="AL321" s="207">
        <f t="shared" si="272"/>
        <v>366.05876093445318</v>
      </c>
      <c r="AM321" s="207">
        <f>SUM(AM317:AM320)</f>
        <v>406.06910389570038</v>
      </c>
      <c r="AN321" s="207">
        <f>SUM(AN317:AN320)</f>
        <v>441.5190702156944</v>
      </c>
    </row>
    <row r="322" spans="1:42" s="3" customFormat="1" outlineLevel="1">
      <c r="A322" s="96"/>
      <c r="B322" s="96" t="s">
        <v>357</v>
      </c>
      <c r="C322" s="85"/>
      <c r="D322" s="276"/>
      <c r="E322" s="73" t="s">
        <v>357</v>
      </c>
      <c r="F322" s="85"/>
      <c r="G322" s="168"/>
      <c r="H322" s="168"/>
      <c r="I322" s="168"/>
      <c r="J322" s="168"/>
      <c r="K322" s="168"/>
      <c r="L322" s="168"/>
      <c r="M322" s="168"/>
      <c r="N322" s="168"/>
      <c r="O322" s="168"/>
      <c r="P322" s="168"/>
      <c r="Q322" s="168"/>
      <c r="R322" s="168"/>
      <c r="S322" s="168"/>
      <c r="T322" s="168"/>
      <c r="U322" s="168"/>
      <c r="V322" s="168"/>
      <c r="W322" s="168"/>
      <c r="X322" s="168">
        <f t="shared" ref="X322:Y324" si="273">Y322</f>
        <v>0.65</v>
      </c>
      <c r="Y322" s="168">
        <f t="shared" si="273"/>
        <v>0.65</v>
      </c>
      <c r="Z322" s="168">
        <f>AVERAGE(INDEX(QRT!$1:$1048576,MATCH(Model!$B322,QRT!$A:$A,0),MATCH(Model!Z$3,QRT!$4:$4,0)),INDEX(QRT!$1:$1048576,MATCH(Model!$B322,QRT!$A:$A,0),MATCH(Model!Z$3,QRT!$4:$4,0)+1),INDEX(QRT!$1:$1048576,MATCH(Model!$B322,QRT!$A:$A,0),MATCH(Model!Z$3,QRT!$4:$4,0)+2),INDEX(QRT!$1:$1048576,MATCH(Model!$B322,QRT!$A:$A,0),MATCH(Model!Z$3,QRT!$4:$4,0)+3))</f>
        <v>0.65</v>
      </c>
      <c r="AA322" s="168">
        <f>AVERAGE(INDEX(QRT!$1:$1048576,MATCH(Model!$B322,QRT!$A:$A,0),MATCH(Model!AA$3,QRT!$4:$4,0)),INDEX(QRT!$1:$1048576,MATCH(Model!$B322,QRT!$A:$A,0),MATCH(Model!AA$3,QRT!$4:$4,0)+1),INDEX(QRT!$1:$1048576,MATCH(Model!$B322,QRT!$A:$A,0),MATCH(Model!AA$3,QRT!$4:$4,0)+2),INDEX(QRT!$1:$1048576,MATCH(Model!$B322,QRT!$A:$A,0),MATCH(Model!AA$3,QRT!$4:$4,0)+3))</f>
        <v>0.65</v>
      </c>
      <c r="AB322" s="168">
        <f>AVERAGE(INDEX(QRT!$1:$1048576,MATCH(Model!$B322,QRT!$A:$A,0),MATCH(Model!AB$3,QRT!$4:$4,0)),INDEX(QRT!$1:$1048576,MATCH(Model!$B322,QRT!$A:$A,0),MATCH(Model!AB$3,QRT!$4:$4,0)+1),INDEX(QRT!$1:$1048576,MATCH(Model!$B322,QRT!$A:$A,0),MATCH(Model!AB$3,QRT!$4:$4,0)+2),INDEX(QRT!$1:$1048576,MATCH(Model!$B322,QRT!$A:$A,0),MATCH(Model!AB$3,QRT!$4:$4,0)+3))</f>
        <v>0.65</v>
      </c>
      <c r="AC322" s="168">
        <f>AVERAGE(INDEX(QRT!$1:$1048576,MATCH(Model!$B322,QRT!$A:$A,0),MATCH(Model!AC$3,QRT!$4:$4,0)),INDEX(QRT!$1:$1048576,MATCH(Model!$B322,QRT!$A:$A,0),MATCH(Model!AC$3,QRT!$4:$4,0)+1),INDEX(QRT!$1:$1048576,MATCH(Model!$B322,QRT!$A:$A,0),MATCH(Model!AC$3,QRT!$4:$4,0)+2),INDEX(QRT!$1:$1048576,MATCH(Model!$B322,QRT!$A:$A,0),MATCH(Model!AC$3,QRT!$4:$4,0)+3))</f>
        <v>0.65</v>
      </c>
      <c r="AD322" s="168">
        <f>AVERAGE(INDEX(QRT!$1:$1048576,MATCH(Model!$B322,QRT!$A:$A,0),MATCH(Model!AD$3,QRT!$4:$4,0)),INDEX(QRT!$1:$1048576,MATCH(Model!$B322,QRT!$A:$A,0),MATCH(Model!AD$3,QRT!$4:$4,0)+1),INDEX(QRT!$1:$1048576,MATCH(Model!$B322,QRT!$A:$A,0),MATCH(Model!AD$3,QRT!$4:$4,0)+2),INDEX(QRT!$1:$1048576,MATCH(Model!$B322,QRT!$A:$A,0),MATCH(Model!AD$3,QRT!$4:$4,0)+3))</f>
        <v>0.65</v>
      </c>
      <c r="AE322" s="168">
        <f>AVERAGE(INDEX(QRT!$1:$1048576,MATCH(Model!$B322,QRT!$A:$A,0),MATCH(Model!AE$3,QRT!$4:$4,0)),INDEX(QRT!$1:$1048576,MATCH(Model!$B322,QRT!$A:$A,0),MATCH(Model!AE$3,QRT!$4:$4,0)+1),INDEX(QRT!$1:$1048576,MATCH(Model!$B322,QRT!$A:$A,0),MATCH(Model!AE$3,QRT!$4:$4,0)+2),INDEX(QRT!$1:$1048576,MATCH(Model!$B322,QRT!$A:$A,0),MATCH(Model!AE$3,QRT!$4:$4,0)+3))</f>
        <v>0.65</v>
      </c>
      <c r="AF322" s="168">
        <f>AVERAGE(INDEX(QRT!$1:$1048576,MATCH(Model!$B322,QRT!$A:$A,0),MATCH(Model!AF$3,QRT!$4:$4,0)),INDEX(QRT!$1:$1048576,MATCH(Model!$B322,QRT!$A:$A,0),MATCH(Model!AF$3,QRT!$4:$4,0)+1),INDEX(QRT!$1:$1048576,MATCH(Model!$B322,QRT!$A:$A,0),MATCH(Model!AF$3,QRT!$4:$4,0)+2),INDEX(QRT!$1:$1048576,MATCH(Model!$B322,QRT!$A:$A,0),MATCH(Model!AF$3,QRT!$4:$4,0)+3))</f>
        <v>0.65</v>
      </c>
      <c r="AG322" s="282">
        <v>0.65</v>
      </c>
      <c r="AH322" s="282">
        <v>0.65</v>
      </c>
      <c r="AI322" s="282">
        <v>0.65</v>
      </c>
      <c r="AJ322" s="282">
        <v>0.65</v>
      </c>
      <c r="AK322" s="282">
        <v>0.65</v>
      </c>
      <c r="AL322" s="282">
        <v>0.65</v>
      </c>
      <c r="AM322" s="282">
        <v>0.65</v>
      </c>
      <c r="AN322" s="282">
        <v>0.65</v>
      </c>
    </row>
    <row r="323" spans="1:42" s="3" customFormat="1" outlineLevel="1">
      <c r="A323" s="96"/>
      <c r="B323" s="96" t="s">
        <v>358</v>
      </c>
      <c r="C323" s="85"/>
      <c r="D323" s="276"/>
      <c r="E323" s="73" t="s">
        <v>358</v>
      </c>
      <c r="F323" s="85"/>
      <c r="G323" s="168"/>
      <c r="H323" s="168"/>
      <c r="I323" s="168"/>
      <c r="J323" s="168"/>
      <c r="K323" s="168"/>
      <c r="L323" s="168"/>
      <c r="M323" s="168"/>
      <c r="N323" s="168"/>
      <c r="O323" s="168"/>
      <c r="P323" s="168"/>
      <c r="Q323" s="168"/>
      <c r="R323" s="168"/>
      <c r="S323" s="168"/>
      <c r="T323" s="168"/>
      <c r="U323" s="168"/>
      <c r="V323" s="168"/>
      <c r="W323" s="168"/>
      <c r="X323" s="168">
        <f t="shared" si="273"/>
        <v>0.05</v>
      </c>
      <c r="Y323" s="168">
        <f t="shared" si="273"/>
        <v>0.05</v>
      </c>
      <c r="Z323" s="168">
        <f>AVERAGE(INDEX(QRT!$1:$1048576,MATCH(Model!$B323,QRT!$A:$A,0),MATCH(Model!Z$3,QRT!$4:$4,0)),INDEX(QRT!$1:$1048576,MATCH(Model!$B323,QRT!$A:$A,0),MATCH(Model!Z$3,QRT!$4:$4,0)+1),INDEX(QRT!$1:$1048576,MATCH(Model!$B323,QRT!$A:$A,0),MATCH(Model!Z$3,QRT!$4:$4,0)+2),INDEX(QRT!$1:$1048576,MATCH(Model!$B323,QRT!$A:$A,0),MATCH(Model!Z$3,QRT!$4:$4,0)+3))</f>
        <v>0.05</v>
      </c>
      <c r="AA323" s="168">
        <f>AVERAGE(INDEX(QRT!$1:$1048576,MATCH(Model!$B323,QRT!$A:$A,0),MATCH(Model!AA$3,QRT!$4:$4,0)),INDEX(QRT!$1:$1048576,MATCH(Model!$B323,QRT!$A:$A,0),MATCH(Model!AA$3,QRT!$4:$4,0)+1),INDEX(QRT!$1:$1048576,MATCH(Model!$B323,QRT!$A:$A,0),MATCH(Model!AA$3,QRT!$4:$4,0)+2),INDEX(QRT!$1:$1048576,MATCH(Model!$B323,QRT!$A:$A,0),MATCH(Model!AA$3,QRT!$4:$4,0)+3))</f>
        <v>0.05</v>
      </c>
      <c r="AB323" s="168">
        <f>AVERAGE(INDEX(QRT!$1:$1048576,MATCH(Model!$B323,QRT!$A:$A,0),MATCH(Model!AB$3,QRT!$4:$4,0)),INDEX(QRT!$1:$1048576,MATCH(Model!$B323,QRT!$A:$A,0),MATCH(Model!AB$3,QRT!$4:$4,0)+1),INDEX(QRT!$1:$1048576,MATCH(Model!$B323,QRT!$A:$A,0),MATCH(Model!AB$3,QRT!$4:$4,0)+2),INDEX(QRT!$1:$1048576,MATCH(Model!$B323,QRT!$A:$A,0),MATCH(Model!AB$3,QRT!$4:$4,0)+3))</f>
        <v>0.05</v>
      </c>
      <c r="AC323" s="168">
        <f>AVERAGE(INDEX(QRT!$1:$1048576,MATCH(Model!$B323,QRT!$A:$A,0),MATCH(Model!AC$3,QRT!$4:$4,0)),INDEX(QRT!$1:$1048576,MATCH(Model!$B323,QRT!$A:$A,0),MATCH(Model!AC$3,QRT!$4:$4,0)+1),INDEX(QRT!$1:$1048576,MATCH(Model!$B323,QRT!$A:$A,0),MATCH(Model!AC$3,QRT!$4:$4,0)+2),INDEX(QRT!$1:$1048576,MATCH(Model!$B323,QRT!$A:$A,0),MATCH(Model!AC$3,QRT!$4:$4,0)+3))</f>
        <v>0.05</v>
      </c>
      <c r="AD323" s="168">
        <f>AVERAGE(INDEX(QRT!$1:$1048576,MATCH(Model!$B323,QRT!$A:$A,0),MATCH(Model!AD$3,QRT!$4:$4,0)),INDEX(QRT!$1:$1048576,MATCH(Model!$B323,QRT!$A:$A,0),MATCH(Model!AD$3,QRT!$4:$4,0)+1),INDEX(QRT!$1:$1048576,MATCH(Model!$B323,QRT!$A:$A,0),MATCH(Model!AD$3,QRT!$4:$4,0)+2),INDEX(QRT!$1:$1048576,MATCH(Model!$B323,QRT!$A:$A,0),MATCH(Model!AD$3,QRT!$4:$4,0)+3))</f>
        <v>0.05</v>
      </c>
      <c r="AE323" s="168">
        <f>AVERAGE(INDEX(QRT!$1:$1048576,MATCH(Model!$B323,QRT!$A:$A,0),MATCH(Model!AE$3,QRT!$4:$4,0)),INDEX(QRT!$1:$1048576,MATCH(Model!$B323,QRT!$A:$A,0),MATCH(Model!AE$3,QRT!$4:$4,0)+1),INDEX(QRT!$1:$1048576,MATCH(Model!$B323,QRT!$A:$A,0),MATCH(Model!AE$3,QRT!$4:$4,0)+2),INDEX(QRT!$1:$1048576,MATCH(Model!$B323,QRT!$A:$A,0),MATCH(Model!AE$3,QRT!$4:$4,0)+3))</f>
        <v>0.05</v>
      </c>
      <c r="AF323" s="168">
        <f>AVERAGE(INDEX(QRT!$1:$1048576,MATCH(Model!$B323,QRT!$A:$A,0),MATCH(Model!AF$3,QRT!$4:$4,0)),INDEX(QRT!$1:$1048576,MATCH(Model!$B323,QRT!$A:$A,0),MATCH(Model!AF$3,QRT!$4:$4,0)+1),INDEX(QRT!$1:$1048576,MATCH(Model!$B323,QRT!$A:$A,0),MATCH(Model!AF$3,QRT!$4:$4,0)+2),INDEX(QRT!$1:$1048576,MATCH(Model!$B323,QRT!$A:$A,0),MATCH(Model!AF$3,QRT!$4:$4,0)+3))</f>
        <v>0.05</v>
      </c>
      <c r="AG323" s="282">
        <v>0.05</v>
      </c>
      <c r="AH323" s="282">
        <v>0.05</v>
      </c>
      <c r="AI323" s="282">
        <v>0.05</v>
      </c>
      <c r="AJ323" s="282">
        <v>0.05</v>
      </c>
      <c r="AK323" s="282">
        <v>0.05</v>
      </c>
      <c r="AL323" s="282">
        <v>0.05</v>
      </c>
      <c r="AM323" s="282">
        <v>0.05</v>
      </c>
      <c r="AN323" s="282">
        <v>0.05</v>
      </c>
    </row>
    <row r="324" spans="1:42" s="3" customFormat="1" outlineLevel="1">
      <c r="A324" s="96"/>
      <c r="B324" s="96" t="s">
        <v>359</v>
      </c>
      <c r="C324" s="85"/>
      <c r="D324" s="276"/>
      <c r="E324" s="73" t="s">
        <v>359</v>
      </c>
      <c r="F324" s="85"/>
      <c r="G324" s="168"/>
      <c r="H324" s="168"/>
      <c r="I324" s="168"/>
      <c r="J324" s="168"/>
      <c r="K324" s="168"/>
      <c r="L324" s="168"/>
      <c r="M324" s="168"/>
      <c r="N324" s="168"/>
      <c r="O324" s="168"/>
      <c r="P324" s="168"/>
      <c r="Q324" s="168"/>
      <c r="R324" s="168"/>
      <c r="S324" s="168"/>
      <c r="T324" s="168"/>
      <c r="U324" s="168"/>
      <c r="V324" s="168"/>
      <c r="W324" s="168"/>
      <c r="X324" s="168">
        <f t="shared" si="273"/>
        <v>0.05</v>
      </c>
      <c r="Y324" s="168">
        <f t="shared" si="273"/>
        <v>0.05</v>
      </c>
      <c r="Z324" s="168">
        <f>AVERAGE(INDEX(QRT!$1:$1048576,MATCH(Model!$B324,QRT!$A:$A,0),MATCH(Model!Z$3,QRT!$4:$4,0)),INDEX(QRT!$1:$1048576,MATCH(Model!$B324,QRT!$A:$A,0),MATCH(Model!Z$3,QRT!$4:$4,0)+1),INDEX(QRT!$1:$1048576,MATCH(Model!$B324,QRT!$A:$A,0),MATCH(Model!Z$3,QRT!$4:$4,0)+2),INDEX(QRT!$1:$1048576,MATCH(Model!$B324,QRT!$A:$A,0),MATCH(Model!Z$3,QRT!$4:$4,0)+3))</f>
        <v>0.05</v>
      </c>
      <c r="AA324" s="168">
        <f>AVERAGE(INDEX(QRT!$1:$1048576,MATCH(Model!$B324,QRT!$A:$A,0),MATCH(Model!AA$3,QRT!$4:$4,0)),INDEX(QRT!$1:$1048576,MATCH(Model!$B324,QRT!$A:$A,0),MATCH(Model!AA$3,QRT!$4:$4,0)+1),INDEX(QRT!$1:$1048576,MATCH(Model!$B324,QRT!$A:$A,0),MATCH(Model!AA$3,QRT!$4:$4,0)+2),INDEX(QRT!$1:$1048576,MATCH(Model!$B324,QRT!$A:$A,0),MATCH(Model!AA$3,QRT!$4:$4,0)+3))</f>
        <v>0.05</v>
      </c>
      <c r="AB324" s="168">
        <f>AVERAGE(INDEX(QRT!$1:$1048576,MATCH(Model!$B324,QRT!$A:$A,0),MATCH(Model!AB$3,QRT!$4:$4,0)),INDEX(QRT!$1:$1048576,MATCH(Model!$B324,QRT!$A:$A,0),MATCH(Model!AB$3,QRT!$4:$4,0)+1),INDEX(QRT!$1:$1048576,MATCH(Model!$B324,QRT!$A:$A,0),MATCH(Model!AB$3,QRT!$4:$4,0)+2),INDEX(QRT!$1:$1048576,MATCH(Model!$B324,QRT!$A:$A,0),MATCH(Model!AB$3,QRT!$4:$4,0)+3))</f>
        <v>0.05</v>
      </c>
      <c r="AC324" s="168">
        <f>AVERAGE(INDEX(QRT!$1:$1048576,MATCH(Model!$B324,QRT!$A:$A,0),MATCH(Model!AC$3,QRT!$4:$4,0)),INDEX(QRT!$1:$1048576,MATCH(Model!$B324,QRT!$A:$A,0),MATCH(Model!AC$3,QRT!$4:$4,0)+1),INDEX(QRT!$1:$1048576,MATCH(Model!$B324,QRT!$A:$A,0),MATCH(Model!AC$3,QRT!$4:$4,0)+2),INDEX(QRT!$1:$1048576,MATCH(Model!$B324,QRT!$A:$A,0),MATCH(Model!AC$3,QRT!$4:$4,0)+3))</f>
        <v>0.05</v>
      </c>
      <c r="AD324" s="168">
        <f>AVERAGE(INDEX(QRT!$1:$1048576,MATCH(Model!$B324,QRT!$A:$A,0),MATCH(Model!AD$3,QRT!$4:$4,0)),INDEX(QRT!$1:$1048576,MATCH(Model!$B324,QRT!$A:$A,0),MATCH(Model!AD$3,QRT!$4:$4,0)+1),INDEX(QRT!$1:$1048576,MATCH(Model!$B324,QRT!$A:$A,0),MATCH(Model!AD$3,QRT!$4:$4,0)+2),INDEX(QRT!$1:$1048576,MATCH(Model!$B324,QRT!$A:$A,0),MATCH(Model!AD$3,QRT!$4:$4,0)+3))</f>
        <v>0.05</v>
      </c>
      <c r="AE324" s="168">
        <f>AVERAGE(INDEX(QRT!$1:$1048576,MATCH(Model!$B324,QRT!$A:$A,0),MATCH(Model!AE$3,QRT!$4:$4,0)),INDEX(QRT!$1:$1048576,MATCH(Model!$B324,QRT!$A:$A,0),MATCH(Model!AE$3,QRT!$4:$4,0)+1),INDEX(QRT!$1:$1048576,MATCH(Model!$B324,QRT!$A:$A,0),MATCH(Model!AE$3,QRT!$4:$4,0)+2),INDEX(QRT!$1:$1048576,MATCH(Model!$B324,QRT!$A:$A,0),MATCH(Model!AE$3,QRT!$4:$4,0)+3))</f>
        <v>0.05</v>
      </c>
      <c r="AF324" s="168">
        <f>AVERAGE(INDEX(QRT!$1:$1048576,MATCH(Model!$B324,QRT!$A:$A,0),MATCH(Model!AF$3,QRT!$4:$4,0)),INDEX(QRT!$1:$1048576,MATCH(Model!$B324,QRT!$A:$A,0),MATCH(Model!AF$3,QRT!$4:$4,0)+1),INDEX(QRT!$1:$1048576,MATCH(Model!$B324,QRT!$A:$A,0),MATCH(Model!AF$3,QRT!$4:$4,0)+2),INDEX(QRT!$1:$1048576,MATCH(Model!$B324,QRT!$A:$A,0),MATCH(Model!AF$3,QRT!$4:$4,0)+3))</f>
        <v>0.05</v>
      </c>
      <c r="AG324" s="282">
        <v>0.05</v>
      </c>
      <c r="AH324" s="282">
        <v>0.05</v>
      </c>
      <c r="AI324" s="282">
        <v>0.05</v>
      </c>
      <c r="AJ324" s="282">
        <v>0.05</v>
      </c>
      <c r="AK324" s="282">
        <v>0.05</v>
      </c>
      <c r="AL324" s="282">
        <v>0.05</v>
      </c>
      <c r="AM324" s="282">
        <v>0.05</v>
      </c>
      <c r="AN324" s="282">
        <v>0.05</v>
      </c>
    </row>
    <row r="325" spans="1:42" s="3" customFormat="1" outlineLevel="1">
      <c r="A325" s="96"/>
      <c r="B325" s="96" t="s">
        <v>360</v>
      </c>
      <c r="C325" s="85"/>
      <c r="D325" s="276"/>
      <c r="E325" s="73" t="s">
        <v>360</v>
      </c>
      <c r="F325" s="85"/>
      <c r="G325" s="158"/>
      <c r="H325" s="158"/>
      <c r="I325" s="158"/>
      <c r="J325" s="158"/>
      <c r="K325" s="158"/>
      <c r="L325" s="158"/>
      <c r="M325" s="158"/>
      <c r="N325" s="158"/>
      <c r="O325" s="158"/>
      <c r="P325" s="158"/>
      <c r="Q325" s="158"/>
      <c r="R325" s="158"/>
      <c r="S325" s="158"/>
      <c r="T325" s="158"/>
      <c r="U325" s="158"/>
      <c r="V325" s="158"/>
      <c r="W325" s="158"/>
      <c r="X325" s="158">
        <f t="shared" ref="X325:AL325" si="274">1-SUM(X322:X324)</f>
        <v>0.24999999999999989</v>
      </c>
      <c r="Y325" s="158">
        <f t="shared" si="274"/>
        <v>0.24999999999999989</v>
      </c>
      <c r="Z325" s="158">
        <f t="shared" si="274"/>
        <v>0.24999999999999989</v>
      </c>
      <c r="AA325" s="158">
        <f t="shared" si="274"/>
        <v>0.24999999999999989</v>
      </c>
      <c r="AB325" s="158">
        <f t="shared" si="274"/>
        <v>0.24999999999999989</v>
      </c>
      <c r="AC325" s="158">
        <f t="shared" si="274"/>
        <v>0.24999999999999989</v>
      </c>
      <c r="AD325" s="158">
        <f t="shared" si="274"/>
        <v>0.24999999999999989</v>
      </c>
      <c r="AE325" s="158">
        <f t="shared" si="274"/>
        <v>0.24999999999999989</v>
      </c>
      <c r="AF325" s="158">
        <f t="shared" si="274"/>
        <v>0.24999999999999989</v>
      </c>
      <c r="AG325" s="158">
        <f t="shared" si="274"/>
        <v>0.24999999999999989</v>
      </c>
      <c r="AH325" s="158">
        <f t="shared" si="274"/>
        <v>0.24999999999999989</v>
      </c>
      <c r="AI325" s="158">
        <f t="shared" si="274"/>
        <v>0.24999999999999989</v>
      </c>
      <c r="AJ325" s="158">
        <f t="shared" si="274"/>
        <v>0.24999999999999989</v>
      </c>
      <c r="AK325" s="158">
        <f t="shared" si="274"/>
        <v>0.24999999999999989</v>
      </c>
      <c r="AL325" s="158">
        <f t="shared" si="274"/>
        <v>0.24999999999999989</v>
      </c>
      <c r="AM325" s="158">
        <f>1-SUM(AM322:AM324)</f>
        <v>0.24999999999999989</v>
      </c>
      <c r="AN325" s="158">
        <f>1-SUM(AN322:AN324)</f>
        <v>0.24999999999999989</v>
      </c>
    </row>
    <row r="326" spans="1:42">
      <c r="B326"/>
      <c r="C326"/>
      <c r="N326" s="54"/>
      <c r="O326" s="54"/>
      <c r="P326" s="54"/>
      <c r="Q326" s="54"/>
      <c r="R326" s="54"/>
      <c r="S326" s="54"/>
      <c r="T326" s="54"/>
      <c r="U326" s="7"/>
    </row>
    <row r="327" spans="1:42">
      <c r="C327" s="120" t="s">
        <v>159</v>
      </c>
      <c r="D327" s="41" t="s">
        <v>159</v>
      </c>
      <c r="E327" s="41"/>
      <c r="F327" s="41"/>
      <c r="G327" s="41"/>
      <c r="H327" s="41"/>
      <c r="I327" s="41"/>
      <c r="J327" s="41"/>
      <c r="K327" s="41"/>
      <c r="L327" s="41"/>
      <c r="M327" s="41"/>
      <c r="N327" s="41"/>
      <c r="O327" s="41"/>
      <c r="P327" s="41"/>
      <c r="Q327" s="41"/>
      <c r="R327" s="41"/>
      <c r="S327" s="41"/>
      <c r="T327" s="41"/>
      <c r="U327" s="41"/>
      <c r="V327" s="41"/>
      <c r="W327" s="41"/>
      <c r="X327" s="41"/>
      <c r="Y327" s="41"/>
      <c r="Z327" s="41"/>
      <c r="AA327" s="41"/>
      <c r="AB327" s="41"/>
      <c r="AC327" s="41"/>
      <c r="AD327" s="41"/>
      <c r="AE327" s="41"/>
      <c r="AF327" s="41"/>
      <c r="AG327" s="41"/>
      <c r="AH327" s="41"/>
      <c r="AI327" s="41"/>
      <c r="AJ327" s="41"/>
      <c r="AK327" s="41"/>
      <c r="AL327" s="41"/>
      <c r="AM327" s="41"/>
      <c r="AN327" s="41"/>
    </row>
    <row r="328" spans="1:42">
      <c r="D328" s="90"/>
      <c r="E328" s="91" t="s">
        <v>184</v>
      </c>
      <c r="F328" s="90"/>
      <c r="G328" s="90"/>
      <c r="H328" s="90"/>
      <c r="I328" s="90"/>
      <c r="J328" s="90"/>
      <c r="K328" s="90"/>
      <c r="L328" s="90"/>
      <c r="M328" s="90"/>
      <c r="N328" s="90"/>
      <c r="O328" s="90"/>
      <c r="P328" s="90"/>
      <c r="Q328" s="90"/>
      <c r="R328" s="90"/>
      <c r="S328" s="90"/>
      <c r="T328" s="90"/>
      <c r="U328" s="90"/>
      <c r="V328" s="90"/>
      <c r="W328" s="90"/>
      <c r="X328" s="90"/>
      <c r="Y328" s="90"/>
      <c r="Z328" s="90"/>
      <c r="AA328" s="90"/>
      <c r="AB328" s="153"/>
      <c r="AC328" s="90"/>
      <c r="AD328" s="90"/>
      <c r="AE328" s="90"/>
      <c r="AF328" s="90"/>
      <c r="AG328" s="90"/>
      <c r="AH328" s="90"/>
      <c r="AI328" s="90"/>
      <c r="AJ328" s="90"/>
      <c r="AK328" s="90"/>
      <c r="AL328" s="90"/>
      <c r="AM328" s="90"/>
      <c r="AN328" s="90"/>
    </row>
    <row r="329" spans="1:42" ht="5.0999999999999996" customHeight="1">
      <c r="C329" s="121"/>
      <c r="D329" s="52"/>
      <c r="E329" s="52"/>
      <c r="F329" s="52"/>
      <c r="G329" s="52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  <c r="Z329" s="52"/>
      <c r="AA329" s="52"/>
      <c r="AB329" s="52"/>
      <c r="AC329" s="52"/>
      <c r="AD329" s="52"/>
      <c r="AE329" s="52"/>
      <c r="AF329" s="52"/>
      <c r="AG329" s="52"/>
      <c r="AH329" s="52"/>
      <c r="AI329" s="52"/>
      <c r="AJ329" s="52"/>
      <c r="AK329" s="52"/>
      <c r="AL329" s="52"/>
      <c r="AM329" s="52"/>
      <c r="AN329" s="52"/>
      <c r="AO329" s="7"/>
      <c r="AP329" s="1"/>
    </row>
    <row r="330" spans="1:42" outlineLevel="1">
      <c r="E330" s="33" t="s">
        <v>160</v>
      </c>
      <c r="H330" s="78"/>
      <c r="I330" s="78"/>
      <c r="J330" s="78"/>
      <c r="K330" s="78"/>
      <c r="L330" s="78"/>
      <c r="M330" s="78"/>
      <c r="N330" s="78"/>
      <c r="O330" s="78"/>
      <c r="P330" s="78"/>
      <c r="Q330" s="78"/>
      <c r="R330" s="78"/>
      <c r="S330" s="78"/>
      <c r="T330" s="78"/>
      <c r="U330" s="78"/>
      <c r="V330" s="78"/>
      <c r="W330" s="78"/>
      <c r="X330" s="78"/>
      <c r="Y330" s="78">
        <f t="shared" ref="Y330:AN330" si="275">+SUM(Y196:Y199)</f>
        <v>121.71199999999999</v>
      </c>
      <c r="Z330" s="78">
        <f t="shared" si="275"/>
        <v>218.01600000000002</v>
      </c>
      <c r="AA330" s="78">
        <f t="shared" si="275"/>
        <v>725.82800000000009</v>
      </c>
      <c r="AB330" s="78">
        <f t="shared" si="275"/>
        <v>816.93999999999994</v>
      </c>
      <c r="AC330" s="78">
        <f t="shared" si="275"/>
        <v>815.79800000000012</v>
      </c>
      <c r="AD330" s="78">
        <f t="shared" ca="1" si="275"/>
        <v>540.11832335412498</v>
      </c>
      <c r="AE330" s="78">
        <f t="shared" ca="1" si="275"/>
        <v>482.29336237369967</v>
      </c>
      <c r="AF330" s="78">
        <f t="shared" ca="1" si="275"/>
        <v>463.94308450901292</v>
      </c>
      <c r="AG330" s="78">
        <f t="shared" ca="1" si="275"/>
        <v>529.84826808724506</v>
      </c>
      <c r="AH330" s="78">
        <f t="shared" ca="1" si="275"/>
        <v>673.71656321779994</v>
      </c>
      <c r="AI330" s="78">
        <f t="shared" ca="1" si="275"/>
        <v>916.87106953191767</v>
      </c>
      <c r="AJ330" s="78">
        <f t="shared" ca="1" si="275"/>
        <v>1287.0863327584468</v>
      </c>
      <c r="AK330" s="78">
        <f t="shared" ca="1" si="275"/>
        <v>1815.0086282851414</v>
      </c>
      <c r="AL330" s="78">
        <f t="shared" ca="1" si="275"/>
        <v>2498.0843596749014</v>
      </c>
      <c r="AM330" s="78">
        <f t="shared" ca="1" si="275"/>
        <v>3327.178898084454</v>
      </c>
      <c r="AN330" s="78">
        <f t="shared" ca="1" si="275"/>
        <v>4300.5070928164196</v>
      </c>
      <c r="AP330" s="1"/>
    </row>
    <row r="331" spans="1:42" outlineLevel="1">
      <c r="E331" s="33" t="s">
        <v>161</v>
      </c>
      <c r="H331" s="196"/>
      <c r="I331" s="196"/>
      <c r="J331" s="196"/>
      <c r="K331" s="196"/>
      <c r="L331" s="196"/>
      <c r="M331" s="196"/>
      <c r="N331" s="196"/>
      <c r="O331" s="196"/>
      <c r="P331" s="196"/>
      <c r="Q331" s="196"/>
      <c r="R331" s="196"/>
      <c r="S331" s="196"/>
      <c r="T331" s="196"/>
      <c r="U331" s="196"/>
      <c r="V331" s="196"/>
      <c r="W331" s="196"/>
      <c r="X331" s="196"/>
      <c r="Y331" s="288" t="str">
        <f t="shared" ref="Y331:AN331" si="276">IFERROR(+Y330/Y216,"na")</f>
        <v>na</v>
      </c>
      <c r="Z331" s="288">
        <f t="shared" si="276"/>
        <v>2.3815953332896376</v>
      </c>
      <c r="AA331" s="288">
        <f t="shared" si="276"/>
        <v>2.4180322680587532</v>
      </c>
      <c r="AB331" s="288">
        <f t="shared" si="276"/>
        <v>2.6469025401762569</v>
      </c>
      <c r="AC331" s="288">
        <f t="shared" si="276"/>
        <v>2.5209139339703102</v>
      </c>
      <c r="AD331" s="288">
        <f t="shared" ca="1" si="276"/>
        <v>1.6436704252989505</v>
      </c>
      <c r="AE331" s="288">
        <f t="shared" ca="1" si="276"/>
        <v>1.4565347248012257</v>
      </c>
      <c r="AF331" s="288">
        <f t="shared" ca="1" si="276"/>
        <v>1.3895488059395253</v>
      </c>
      <c r="AG331" s="288">
        <f t="shared" ca="1" si="276"/>
        <v>1.5748619868847333</v>
      </c>
      <c r="AH331" s="288">
        <f t="shared" ca="1" si="276"/>
        <v>1.9885227326895742</v>
      </c>
      <c r="AI331" s="288">
        <f t="shared" ca="1" si="276"/>
        <v>2.6890711871829467</v>
      </c>
      <c r="AJ331" s="288">
        <f t="shared" ca="1" si="276"/>
        <v>3.7533695577156081</v>
      </c>
      <c r="AK331" s="288">
        <f t="shared" ca="1" si="276"/>
        <v>5.2660848715421071</v>
      </c>
      <c r="AL331" s="288">
        <f t="shared" ca="1" si="276"/>
        <v>7.2154668823445807</v>
      </c>
      <c r="AM331" s="288">
        <f t="shared" ca="1" si="276"/>
        <v>9.5723583723413981</v>
      </c>
      <c r="AN331" s="288">
        <f t="shared" ca="1" si="276"/>
        <v>12.330630377772577</v>
      </c>
    </row>
    <row r="332" spans="1:42" outlineLevel="1">
      <c r="E332" s="33" t="s">
        <v>194</v>
      </c>
      <c r="H332" s="196"/>
      <c r="I332" s="196"/>
      <c r="J332" s="196"/>
      <c r="K332" s="196"/>
      <c r="L332" s="196"/>
      <c r="M332" s="196"/>
      <c r="N332" s="196"/>
      <c r="O332" s="196"/>
      <c r="P332" s="196"/>
      <c r="Q332" s="196"/>
      <c r="R332" s="196"/>
      <c r="S332" s="196"/>
      <c r="T332" s="196"/>
      <c r="U332" s="196"/>
      <c r="V332" s="196"/>
      <c r="W332" s="196"/>
      <c r="X332" s="196"/>
      <c r="Y332" s="288" t="str">
        <f t="shared" ref="Y332:AN332" si="277">IFERROR((Y330-SUM(Y170:Y171))/Y216,"na")</f>
        <v>na</v>
      </c>
      <c r="Z332" s="288">
        <f t="shared" si="277"/>
        <v>0.62658670337113032</v>
      </c>
      <c r="AA332" s="288">
        <f t="shared" si="277"/>
        <v>0.29609591802060847</v>
      </c>
      <c r="AB332" s="288">
        <f t="shared" si="277"/>
        <v>-0.69710990150336982</v>
      </c>
      <c r="AC332" s="288">
        <f t="shared" si="277"/>
        <v>-3.1088000444977313</v>
      </c>
      <c r="AD332" s="288">
        <f t="shared" ca="1" si="277"/>
        <v>-3.2637326868284315</v>
      </c>
      <c r="AE332" s="288">
        <f t="shared" ca="1" si="277"/>
        <v>-3.1971206347760459</v>
      </c>
      <c r="AF332" s="288">
        <f t="shared" ca="1" si="277"/>
        <v>-3.0643010145859817</v>
      </c>
      <c r="AG332" s="288">
        <f t="shared" ca="1" si="277"/>
        <v>-3.0208682389410719</v>
      </c>
      <c r="AH332" s="288">
        <f t="shared" ca="1" si="277"/>
        <v>-2.6617950043282868</v>
      </c>
      <c r="AI332" s="288">
        <f t="shared" ca="1" si="277"/>
        <v>-2.3242587413876219</v>
      </c>
      <c r="AJ332" s="288">
        <f t="shared" ca="1" si="277"/>
        <v>-2.0098290741188158</v>
      </c>
      <c r="AK332" s="288">
        <f t="shared" ca="1" si="277"/>
        <v>-1.7276720370933805</v>
      </c>
      <c r="AL332" s="288">
        <f t="shared" ca="1" si="277"/>
        <v>-1.4542338104336741</v>
      </c>
      <c r="AM332" s="288">
        <f t="shared" ca="1" si="277"/>
        <v>-1.1896031989474101</v>
      </c>
      <c r="AN332" s="288">
        <f t="shared" ca="1" si="277"/>
        <v>-0.96663940209511223</v>
      </c>
    </row>
    <row r="333" spans="1:42" outlineLevel="1">
      <c r="E333" s="33" t="s">
        <v>25</v>
      </c>
      <c r="H333" s="196"/>
      <c r="I333" s="196"/>
      <c r="J333" s="196"/>
      <c r="K333" s="196"/>
      <c r="L333" s="196"/>
      <c r="M333" s="196"/>
      <c r="N333" s="196"/>
      <c r="O333" s="196"/>
      <c r="P333" s="196"/>
      <c r="Q333" s="196"/>
      <c r="R333" s="196"/>
      <c r="S333" s="196"/>
      <c r="T333" s="196"/>
      <c r="U333" s="196"/>
      <c r="V333" s="196"/>
      <c r="W333" s="196"/>
      <c r="X333" s="196"/>
      <c r="Y333" s="196">
        <f t="shared" ref="Y333:AN333" si="278">+Y130</f>
        <v>-0.13931844400948817</v>
      </c>
      <c r="Z333" s="196">
        <f t="shared" si="278"/>
        <v>-1.076351242884134</v>
      </c>
      <c r="AA333" s="196">
        <f t="shared" si="278"/>
        <v>-0.72333328776673522</v>
      </c>
      <c r="AB333" s="196">
        <f t="shared" si="278"/>
        <v>-0.39819997731624496</v>
      </c>
      <c r="AC333" s="196">
        <f t="shared" si="278"/>
        <v>-0.83346620944476979</v>
      </c>
      <c r="AD333" s="196">
        <f t="shared" ca="1" si="278"/>
        <v>-0.63674347189408009</v>
      </c>
      <c r="AE333" s="196">
        <f t="shared" ca="1" si="278"/>
        <v>-0.63528644037623239</v>
      </c>
      <c r="AF333" s="196">
        <f t="shared" ca="1" si="278"/>
        <v>-0.5763302036481972</v>
      </c>
      <c r="AG333" s="196">
        <f t="shared" ca="1" si="278"/>
        <v>-0.40882161627543778</v>
      </c>
      <c r="AH333" s="196">
        <f t="shared" ca="1" si="278"/>
        <v>-0.25100846435387369</v>
      </c>
      <c r="AI333" s="196">
        <f t="shared" ca="1" si="278"/>
        <v>-1.8744831118827049E-2</v>
      </c>
      <c r="AJ333" s="196">
        <f t="shared" ca="1" si="278"/>
        <v>0.30956752731652964</v>
      </c>
      <c r="AK333" s="196">
        <f t="shared" ca="1" si="278"/>
        <v>0.74157479065953102</v>
      </c>
      <c r="AL333" s="196">
        <f t="shared" ca="1" si="278"/>
        <v>1.180100923523776</v>
      </c>
      <c r="AM333" s="196">
        <f t="shared" ca="1" si="278"/>
        <v>1.6077337337391928</v>
      </c>
      <c r="AN333" s="196">
        <f t="shared" ca="1" si="278"/>
        <v>2.0501933442394216</v>
      </c>
    </row>
    <row r="334" spans="1:42" outlineLevel="1">
      <c r="E334" s="33" t="s">
        <v>1</v>
      </c>
      <c r="H334" s="197"/>
      <c r="I334" s="197"/>
      <c r="J334" s="197"/>
      <c r="K334" s="197"/>
      <c r="L334" s="197"/>
      <c r="M334" s="197"/>
      <c r="N334" s="197"/>
      <c r="O334" s="197"/>
      <c r="P334" s="197"/>
      <c r="Q334" s="197"/>
      <c r="R334" s="197"/>
      <c r="S334" s="197"/>
      <c r="T334" s="197"/>
      <c r="U334" s="197"/>
      <c r="V334" s="197"/>
      <c r="W334" s="197"/>
      <c r="X334" s="197"/>
      <c r="Y334" s="289" t="str">
        <f>IFERROR(+Y333/AVERAGE(X331:Y331),"na")</f>
        <v>na</v>
      </c>
      <c r="Z334" s="289">
        <f t="shared" ref="Z334:AN334" si="279">IFERROR(+Z333/AVERAGE(Y331:Z331),"na")</f>
        <v>-0.45194547866257245</v>
      </c>
      <c r="AA334" s="289">
        <f t="shared" si="279"/>
        <v>-0.30141225438553793</v>
      </c>
      <c r="AB334" s="289">
        <f t="shared" si="279"/>
        <v>-0.15723794772987676</v>
      </c>
      <c r="AC334" s="289">
        <f t="shared" si="279"/>
        <v>-0.32256029741551978</v>
      </c>
      <c r="AD334" s="289">
        <f t="shared" ca="1" si="279"/>
        <v>-0.30578968605923801</v>
      </c>
      <c r="AE334" s="289">
        <f t="shared" ca="1" si="279"/>
        <v>-0.40983509775519505</v>
      </c>
      <c r="AF334" s="289">
        <f t="shared" ca="1" si="279"/>
        <v>-0.40499879741631867</v>
      </c>
      <c r="AG334" s="289">
        <f t="shared" ca="1" si="279"/>
        <v>-0.27581981368104824</v>
      </c>
      <c r="AH334" s="289">
        <f t="shared" ca="1" si="279"/>
        <v>-0.14088204564331178</v>
      </c>
      <c r="AI334" s="289">
        <f t="shared" ca="1" si="279"/>
        <v>-8.0147321207985085E-3</v>
      </c>
      <c r="AJ334" s="289">
        <f t="shared" ca="1" si="279"/>
        <v>9.6102560993412509E-2</v>
      </c>
      <c r="AK334" s="289">
        <f t="shared" ca="1" si="279"/>
        <v>0.16443894616374513</v>
      </c>
      <c r="AL334" s="289">
        <f t="shared" ca="1" si="279"/>
        <v>0.18909522578493479</v>
      </c>
      <c r="AM334" s="289">
        <f t="shared" ca="1" si="279"/>
        <v>0.19153567652134418</v>
      </c>
      <c r="AN334" s="289">
        <f t="shared" ca="1" si="279"/>
        <v>0.18720672029096969</v>
      </c>
    </row>
    <row r="335" spans="1:42" outlineLevel="1">
      <c r="E335" s="33" t="s">
        <v>195</v>
      </c>
      <c r="H335" s="197"/>
      <c r="I335" s="197"/>
      <c r="J335" s="197"/>
      <c r="K335" s="197"/>
      <c r="L335" s="197"/>
      <c r="M335" s="197"/>
      <c r="N335" s="197"/>
      <c r="O335" s="197"/>
      <c r="P335" s="197"/>
      <c r="Q335" s="197"/>
      <c r="R335" s="197"/>
      <c r="S335" s="197"/>
      <c r="T335" s="197"/>
      <c r="U335" s="197"/>
      <c r="V335" s="197"/>
      <c r="W335" s="197"/>
      <c r="X335" s="197"/>
      <c r="Y335" s="289" t="str">
        <f>IFERROR(+Y333/AVERAGE(X332:Y332),"na")</f>
        <v>na</v>
      </c>
      <c r="Z335" s="289">
        <f t="shared" ref="Z335:AN335" si="280">IFERROR(+Z333/AVERAGE(Y332:Z332),"na")</f>
        <v>-1.7178009636865945</v>
      </c>
      <c r="AA335" s="289">
        <f t="shared" si="280"/>
        <v>-1.5678918644326201</v>
      </c>
      <c r="AB335" s="289">
        <f t="shared" si="280"/>
        <v>1.985965545928962</v>
      </c>
      <c r="AC335" s="289">
        <f t="shared" si="280"/>
        <v>0.43798524992452809</v>
      </c>
      <c r="AD335" s="289">
        <f t="shared" ca="1" si="280"/>
        <v>0.19984000043309935</v>
      </c>
      <c r="AE335" s="289">
        <f t="shared" ca="1" si="280"/>
        <v>0.19665713142005409</v>
      </c>
      <c r="AF335" s="289">
        <f t="shared" ca="1" si="280"/>
        <v>0.18408924871140697</v>
      </c>
      <c r="AG335" s="289">
        <f t="shared" ca="1" si="280"/>
        <v>0.13436655555257687</v>
      </c>
      <c r="AH335" s="289">
        <f t="shared" ca="1" si="280"/>
        <v>8.8341840298621369E-2</v>
      </c>
      <c r="AI335" s="289">
        <f t="shared" ca="1" si="280"/>
        <v>7.5189045585129866E-3</v>
      </c>
      <c r="AJ335" s="289">
        <f t="shared" ca="1" si="280"/>
        <v>-0.14285244807867684</v>
      </c>
      <c r="AK335" s="289">
        <f t="shared" ca="1" si="280"/>
        <v>-0.39682920143347522</v>
      </c>
      <c r="AL335" s="289">
        <f t="shared" ca="1" si="280"/>
        <v>-0.74175728640175753</v>
      </c>
      <c r="AM335" s="289">
        <f t="shared" ca="1" si="280"/>
        <v>-1.2162124427750254</v>
      </c>
      <c r="AN335" s="289">
        <f t="shared" ca="1" si="280"/>
        <v>-1.9016351344214915</v>
      </c>
    </row>
    <row r="336" spans="1:42" outlineLevel="1">
      <c r="E336" s="33" t="s">
        <v>162</v>
      </c>
      <c r="H336" s="78"/>
      <c r="I336" s="78"/>
      <c r="J336" s="78"/>
      <c r="K336" s="78"/>
      <c r="L336" s="78"/>
      <c r="M336" s="78"/>
      <c r="N336" s="78"/>
      <c r="O336" s="78"/>
      <c r="P336" s="78"/>
      <c r="Q336" s="78"/>
      <c r="R336" s="78"/>
      <c r="S336" s="78"/>
      <c r="T336" s="78"/>
      <c r="U336" s="78"/>
      <c r="V336" s="78"/>
      <c r="W336" s="78"/>
      <c r="X336" s="78"/>
      <c r="Y336" s="78">
        <f t="shared" ref="Y336:AN336" si="281">AVERAGE(SUM(Y196:Y199,Y190,Y184,Y186,Y191),SUM(X196:X199,X190,X184,X186,X191))</f>
        <v>66.317999999999998</v>
      </c>
      <c r="Z336" s="78">
        <f t="shared" si="281"/>
        <v>180.67500000000001</v>
      </c>
      <c r="AA336" s="78">
        <f t="shared" si="281"/>
        <v>482.52400000000006</v>
      </c>
      <c r="AB336" s="78">
        <f t="shared" si="281"/>
        <v>990.78750000000002</v>
      </c>
      <c r="AC336" s="78">
        <f t="shared" si="281"/>
        <v>1677.1224999999999</v>
      </c>
      <c r="AD336" s="78">
        <f t="shared" ca="1" si="281"/>
        <v>2128.0906960288262</v>
      </c>
      <c r="AE336" s="78">
        <f t="shared" ca="1" si="281"/>
        <v>2165.5966132437466</v>
      </c>
      <c r="AF336" s="78">
        <f t="shared" ca="1" si="281"/>
        <v>2224.9162340114763</v>
      </c>
      <c r="AG336" s="78">
        <f t="shared" ca="1" si="281"/>
        <v>2372.2690973549115</v>
      </c>
      <c r="AH336" s="78">
        <f t="shared" ca="1" si="281"/>
        <v>2571.4738437102824</v>
      </c>
      <c r="AI336" s="78">
        <f t="shared" ca="1" si="281"/>
        <v>2828.5132018169434</v>
      </c>
      <c r="AJ336" s="78">
        <f t="shared" ca="1" si="281"/>
        <v>3200.7706749937588</v>
      </c>
      <c r="AK336" s="78">
        <f t="shared" ca="1" si="281"/>
        <v>3716.3704199708027</v>
      </c>
      <c r="AL336" s="78">
        <f t="shared" ca="1" si="281"/>
        <v>4386.5083765697409</v>
      </c>
      <c r="AM336" s="78">
        <f t="shared" ca="1" si="281"/>
        <v>5204.0549271535183</v>
      </c>
      <c r="AN336" s="78">
        <f t="shared" ca="1" si="281"/>
        <v>6161.1190961877182</v>
      </c>
    </row>
    <row r="337" spans="3:42" outlineLevel="1">
      <c r="E337" s="33" t="s">
        <v>196</v>
      </c>
      <c r="H337" s="78"/>
      <c r="I337" s="78"/>
      <c r="J337" s="78"/>
      <c r="K337" s="78"/>
      <c r="L337" s="78"/>
      <c r="M337" s="78"/>
      <c r="N337" s="78"/>
      <c r="O337" s="78"/>
      <c r="P337" s="78"/>
      <c r="Q337" s="78"/>
      <c r="R337" s="78"/>
      <c r="S337" s="78"/>
      <c r="T337" s="78"/>
      <c r="U337" s="78"/>
      <c r="V337" s="78"/>
      <c r="W337" s="78"/>
      <c r="X337" s="78"/>
      <c r="Y337" s="78">
        <f t="shared" ref="Y337:AN337" si="282">Y336-AVERAGE(Y170+Y171,X170+X171)</f>
        <v>29.6145</v>
      </c>
      <c r="Z337" s="78">
        <f t="shared" si="282"/>
        <v>63.643000000000001</v>
      </c>
      <c r="AA337" s="78">
        <f t="shared" si="282"/>
        <v>83.721500000000049</v>
      </c>
      <c r="AB337" s="78">
        <f t="shared" si="282"/>
        <v>156.26550000000009</v>
      </c>
      <c r="AC337" s="78">
        <f t="shared" si="282"/>
        <v>250.15299999999979</v>
      </c>
      <c r="AD337" s="78">
        <f t="shared" ca="1" si="282"/>
        <v>410.8705913487031</v>
      </c>
      <c r="AE337" s="78">
        <f t="shared" ca="1" si="282"/>
        <v>588.82990626513242</v>
      </c>
      <c r="AF337" s="78">
        <f t="shared" ca="1" si="282"/>
        <v>710.92159459455934</v>
      </c>
      <c r="AG337" s="78">
        <f t="shared" ca="1" si="282"/>
        <v>855.64633941563534</v>
      </c>
      <c r="AH337" s="78">
        <f t="shared" ca="1" si="282"/>
        <v>1010.607880016812</v>
      </c>
      <c r="AI337" s="78">
        <f t="shared" ca="1" si="282"/>
        <v>1186.0659785872094</v>
      </c>
      <c r="AJ337" s="78">
        <f t="shared" ca="1" si="282"/>
        <v>1357.9498639648734</v>
      </c>
      <c r="AK337" s="78">
        <f t="shared" ca="1" si="282"/>
        <v>1522.9930831117154</v>
      </c>
      <c r="AL337" s="78">
        <f t="shared" ca="1" si="282"/>
        <v>1680.4952761920135</v>
      </c>
      <c r="AM337" s="78">
        <f t="shared" ca="1" si="282"/>
        <v>1832.9440897717191</v>
      </c>
      <c r="AN337" s="78">
        <f t="shared" ca="1" si="282"/>
        <v>1971.9682313682424</v>
      </c>
    </row>
    <row r="338" spans="3:42" outlineLevel="1">
      <c r="E338" s="33" t="s">
        <v>579</v>
      </c>
      <c r="H338" s="78"/>
      <c r="I338" s="78"/>
      <c r="J338" s="78"/>
      <c r="K338" s="78"/>
      <c r="L338" s="78"/>
      <c r="M338" s="78"/>
      <c r="N338" s="78"/>
      <c r="O338" s="78"/>
      <c r="P338" s="78"/>
      <c r="Q338" s="78"/>
      <c r="R338" s="78"/>
      <c r="S338" s="78"/>
      <c r="T338" s="78"/>
      <c r="U338" s="78"/>
      <c r="V338" s="78"/>
      <c r="W338" s="78"/>
      <c r="X338" s="78"/>
      <c r="Y338" s="290">
        <f>DCF!$C$31</f>
        <v>0.24</v>
      </c>
      <c r="Z338" s="290">
        <f>DCF!$C$31</f>
        <v>0.24</v>
      </c>
      <c r="AA338" s="290">
        <f>DCF!$C$31</f>
        <v>0.24</v>
      </c>
      <c r="AB338" s="290">
        <f>DCF!$C$31</f>
        <v>0.24</v>
      </c>
      <c r="AC338" s="290">
        <f>DCF!$C$31</f>
        <v>0.24</v>
      </c>
      <c r="AD338" s="290">
        <f>DCF!$C$31</f>
        <v>0.24</v>
      </c>
      <c r="AE338" s="290">
        <f>DCF!$C$31</f>
        <v>0.24</v>
      </c>
      <c r="AF338" s="290">
        <f>DCF!$C$31</f>
        <v>0.24</v>
      </c>
      <c r="AG338" s="290">
        <f>DCF!$C$31</f>
        <v>0.24</v>
      </c>
      <c r="AH338" s="290">
        <f>DCF!$C$31</f>
        <v>0.24</v>
      </c>
      <c r="AI338" s="290">
        <f>DCF!$C$31</f>
        <v>0.24</v>
      </c>
      <c r="AJ338" s="290">
        <f>DCF!$C$31</f>
        <v>0.24</v>
      </c>
      <c r="AK338" s="290">
        <f>DCF!$C$31</f>
        <v>0.24</v>
      </c>
      <c r="AL338" s="290">
        <f>DCF!$C$31</f>
        <v>0.24</v>
      </c>
      <c r="AM338" s="290">
        <f>DCF!$C$31</f>
        <v>0.24</v>
      </c>
      <c r="AN338" s="290">
        <f>DCF!$C$31</f>
        <v>0.24</v>
      </c>
    </row>
    <row r="339" spans="3:42" outlineLevel="1">
      <c r="E339" s="33" t="s">
        <v>55</v>
      </c>
      <c r="H339" s="198"/>
      <c r="I339" s="198"/>
      <c r="J339" s="198"/>
      <c r="K339" s="198"/>
      <c r="L339" s="198"/>
      <c r="M339" s="198"/>
      <c r="N339" s="198"/>
      <c r="O339" s="198"/>
      <c r="P339" s="198"/>
      <c r="Q339" s="198"/>
      <c r="R339" s="198"/>
      <c r="S339" s="198"/>
      <c r="T339" s="198"/>
      <c r="U339" s="198"/>
      <c r="V339" s="198"/>
      <c r="W339" s="198"/>
      <c r="X339" s="198"/>
      <c r="Y339" s="198">
        <f t="shared" ref="Y339:AN339" si="283">Y113*(1-Y338)/AVERAGE(X336:Y336)</f>
        <v>-0.11018727947163651</v>
      </c>
      <c r="Z339" s="198">
        <f t="shared" si="283"/>
        <v>-0.53533824845238553</v>
      </c>
      <c r="AA339" s="198">
        <f t="shared" si="283"/>
        <v>-0.25070870130986317</v>
      </c>
      <c r="AB339" s="198">
        <f t="shared" si="283"/>
        <v>-0.10997500528571182</v>
      </c>
      <c r="AC339" s="198">
        <f t="shared" si="283"/>
        <v>-0.11435252313608781</v>
      </c>
      <c r="AD339" s="198">
        <f t="shared" ca="1" si="283"/>
        <v>-8.2171293716355356E-2</v>
      </c>
      <c r="AE339" s="198">
        <f t="shared" ca="1" si="283"/>
        <v>-7.0547177864923843E-2</v>
      </c>
      <c r="AF339" s="198">
        <f t="shared" ca="1" si="283"/>
        <v>-6.3577813329100716E-2</v>
      </c>
      <c r="AG339" s="198">
        <f t="shared" ca="1" si="283"/>
        <v>-3.7688556505612689E-2</v>
      </c>
      <c r="AH339" s="198">
        <f t="shared" ca="1" si="283"/>
        <v>-1.0871194404208639E-2</v>
      </c>
      <c r="AI339" s="198">
        <f t="shared" ca="1" si="283"/>
        <v>2.1003960019384565E-2</v>
      </c>
      <c r="AJ339" s="198">
        <f t="shared" ca="1" si="283"/>
        <v>5.869043944390416E-2</v>
      </c>
      <c r="AK339" s="198">
        <f t="shared" ca="1" si="283"/>
        <v>9.6569772505321172E-2</v>
      </c>
      <c r="AL339" s="198">
        <f t="shared" ca="1" si="283"/>
        <v>0.12235278872198746</v>
      </c>
      <c r="AM339" s="198">
        <f t="shared" ca="1" si="283"/>
        <v>0.13608788661392446</v>
      </c>
      <c r="AN339" s="198">
        <f t="shared" ca="1" si="283"/>
        <v>0.14370812997301294</v>
      </c>
    </row>
    <row r="340" spans="3:42" outlineLevel="1">
      <c r="E340" s="33" t="s">
        <v>192</v>
      </c>
      <c r="F340" s="83"/>
      <c r="G340" s="83"/>
      <c r="H340" s="199"/>
      <c r="I340" s="199"/>
      <c r="J340" s="199"/>
      <c r="K340" s="199"/>
      <c r="L340" s="199"/>
      <c r="M340" s="199"/>
      <c r="N340" s="199"/>
      <c r="O340" s="199"/>
      <c r="P340" s="199"/>
      <c r="Q340" s="199"/>
      <c r="R340" s="199"/>
      <c r="S340" s="199"/>
      <c r="T340" s="199"/>
      <c r="U340" s="199"/>
      <c r="V340" s="199"/>
      <c r="W340" s="199"/>
      <c r="X340" s="199"/>
      <c r="Y340" s="198">
        <f t="shared" ref="Y340:AN340" si="284">Y113*(1-Y338)/AVERAGE(X337:Y337)</f>
        <v>-0.24675074710023773</v>
      </c>
      <c r="Z340" s="198">
        <f t="shared" si="284"/>
        <v>-1.4178462858215162</v>
      </c>
      <c r="AA340" s="198">
        <f t="shared" si="284"/>
        <v>-1.1282891062637197</v>
      </c>
      <c r="AB340" s="198">
        <f t="shared" si="284"/>
        <v>-0.67515090400730005</v>
      </c>
      <c r="AC340" s="198">
        <f t="shared" si="284"/>
        <v>-0.75066031689010249</v>
      </c>
      <c r="AD340" s="198">
        <f t="shared" ca="1" si="284"/>
        <v>-0.4730228924905216</v>
      </c>
      <c r="AE340" s="198">
        <f t="shared" ca="1" si="284"/>
        <v>-0.30299827100878929</v>
      </c>
      <c r="AF340" s="198">
        <f t="shared" ca="1" si="284"/>
        <v>-0.21476351905512756</v>
      </c>
      <c r="AG340" s="198">
        <f t="shared" ca="1" si="284"/>
        <v>-0.1105992758861413</v>
      </c>
      <c r="AH340" s="198">
        <f t="shared" ca="1" si="284"/>
        <v>-2.8798000849583224E-2</v>
      </c>
      <c r="AI340" s="198">
        <f t="shared" ca="1" si="284"/>
        <v>5.1633114112591638E-2</v>
      </c>
      <c r="AJ340" s="198">
        <f t="shared" ca="1" si="284"/>
        <v>0.1390955647143623</v>
      </c>
      <c r="AK340" s="198">
        <f t="shared" ca="1" si="284"/>
        <v>0.23186392587391202</v>
      </c>
      <c r="AL340" s="198">
        <f t="shared" ca="1" si="284"/>
        <v>0.30947820195871661</v>
      </c>
      <c r="AM340" s="198">
        <f t="shared" ca="1" si="284"/>
        <v>0.3714763101035477</v>
      </c>
      <c r="AN340" s="198">
        <f t="shared" ca="1" si="284"/>
        <v>0.42925244207017665</v>
      </c>
    </row>
    <row r="341" spans="3:42" outlineLevel="1">
      <c r="D341" s="33"/>
      <c r="E341" s="33"/>
      <c r="F341" s="33"/>
      <c r="G341" s="33"/>
      <c r="H341" s="200"/>
      <c r="I341" s="200"/>
      <c r="J341" s="200"/>
      <c r="K341" s="200"/>
      <c r="L341" s="200"/>
      <c r="M341" s="200"/>
      <c r="N341" s="201"/>
      <c r="O341" s="201"/>
      <c r="P341" s="201"/>
      <c r="Q341" s="201"/>
      <c r="R341" s="201"/>
      <c r="S341" s="201"/>
      <c r="T341" s="201"/>
      <c r="U341" s="201"/>
      <c r="V341" s="201"/>
      <c r="W341" s="201"/>
      <c r="X341" s="201"/>
      <c r="Y341" s="201"/>
      <c r="Z341" s="201"/>
      <c r="AA341" s="202"/>
      <c r="AB341" s="201"/>
      <c r="AC341" s="33"/>
      <c r="AD341" s="33"/>
      <c r="AE341" s="33"/>
      <c r="AF341" s="33"/>
      <c r="AG341" s="33"/>
      <c r="AH341" s="33"/>
      <c r="AI341" s="33"/>
      <c r="AJ341" s="33"/>
      <c r="AK341" s="33"/>
      <c r="AL341" s="33"/>
      <c r="AM341" s="33"/>
      <c r="AN341" s="78"/>
    </row>
    <row r="342" spans="3:42" outlineLevel="1">
      <c r="E342" s="123" t="s">
        <v>164</v>
      </c>
      <c r="H342" s="87"/>
      <c r="I342" s="87"/>
      <c r="J342" s="87"/>
      <c r="K342" s="87"/>
      <c r="L342" s="87"/>
      <c r="M342" s="87"/>
      <c r="N342" s="87"/>
      <c r="O342" s="87"/>
      <c r="P342" s="87"/>
      <c r="Q342" s="87"/>
      <c r="R342" s="87"/>
      <c r="S342" s="87"/>
      <c r="T342" s="87"/>
      <c r="U342" s="87"/>
      <c r="V342" s="87"/>
      <c r="W342" s="87"/>
      <c r="X342" s="87"/>
      <c r="Y342" s="87">
        <f>+Y352</f>
        <v>-7.9664974243041795E-2</v>
      </c>
      <c r="Z342" s="87">
        <f>+Z352</f>
        <v>-0.45239108546041529</v>
      </c>
      <c r="AA342" s="87">
        <f t="shared" ref="AA342:AN342" si="285">+AA352</f>
        <v>-0.36871041244225167</v>
      </c>
      <c r="AB342" s="87">
        <f t="shared" si="285"/>
        <v>-0.27692264863974542</v>
      </c>
      <c r="AC342" s="87">
        <f t="shared" si="285"/>
        <v>-0.39655498106412596</v>
      </c>
      <c r="AD342" s="87">
        <f t="shared" ca="1" si="285"/>
        <v>-0.22448917053315362</v>
      </c>
      <c r="AE342" s="87">
        <f t="shared" ca="1" si="285"/>
        <v>-0.16835382424879144</v>
      </c>
      <c r="AF342" s="87">
        <f t="shared" ca="1" si="285"/>
        <v>-0.11725271338149378</v>
      </c>
      <c r="AG342" s="87">
        <f t="shared" ca="1" si="285"/>
        <v>-6.5481881193083694E-2</v>
      </c>
      <c r="AH342" s="87">
        <f t="shared" ca="1" si="285"/>
        <v>-3.2443281649034955E-2</v>
      </c>
      <c r="AI342" s="87">
        <f t="shared" ca="1" si="285"/>
        <v>-2.0034499483132877E-3</v>
      </c>
      <c r="AJ342" s="87">
        <f t="shared" ca="1" si="285"/>
        <v>2.7964951250384572E-2</v>
      </c>
      <c r="AK342" s="87">
        <f t="shared" ca="1" si="285"/>
        <v>5.7675581298285566E-2</v>
      </c>
      <c r="AL342" s="87">
        <f t="shared" ca="1" si="285"/>
        <v>8.0527257663670526E-2</v>
      </c>
      <c r="AM342" s="87">
        <f t="shared" ca="1" si="285"/>
        <v>9.7845387011074633E-2</v>
      </c>
      <c r="AN342" s="87">
        <f t="shared" ca="1" si="285"/>
        <v>0.11310145720427699</v>
      </c>
    </row>
    <row r="343" spans="3:42" outlineLevel="1">
      <c r="E343" s="123" t="s">
        <v>165</v>
      </c>
      <c r="H343" s="198"/>
      <c r="I343" s="198"/>
      <c r="J343" s="198"/>
      <c r="K343" s="198"/>
      <c r="L343" s="198"/>
      <c r="M343" s="198"/>
      <c r="N343" s="198"/>
      <c r="O343" s="198"/>
      <c r="P343" s="198"/>
      <c r="Q343" s="198"/>
      <c r="R343" s="198"/>
      <c r="S343" s="198"/>
      <c r="T343" s="198"/>
      <c r="U343" s="198"/>
      <c r="V343" s="198"/>
      <c r="W343" s="198"/>
      <c r="X343" s="198"/>
      <c r="Y343" s="198">
        <f t="shared" ref="Y343:AN343" si="286">+Y104/Y182</f>
        <v>0.82697388180921028</v>
      </c>
      <c r="Z343" s="198">
        <f t="shared" si="286"/>
        <v>0.6457336282592665</v>
      </c>
      <c r="AA343" s="198">
        <f t="shared" si="286"/>
        <v>0.34546666923439873</v>
      </c>
      <c r="AB343" s="198">
        <f t="shared" si="286"/>
        <v>0.31221431049555615</v>
      </c>
      <c r="AC343" s="198">
        <f t="shared" si="286"/>
        <v>0.27673117710220313</v>
      </c>
      <c r="AD343" s="198">
        <f t="shared" ca="1" si="286"/>
        <v>0.3935957480372525</v>
      </c>
      <c r="AE343" s="198">
        <f t="shared" ca="1" si="286"/>
        <v>0.51942243001516175</v>
      </c>
      <c r="AF343" s="198">
        <f t="shared" ca="1" si="286"/>
        <v>0.65890381135391562</v>
      </c>
      <c r="AG343" s="198">
        <f t="shared" ca="1" si="286"/>
        <v>0.77484134353473411</v>
      </c>
      <c r="AH343" s="198">
        <f t="shared" ca="1" si="286"/>
        <v>0.90424804660008584</v>
      </c>
      <c r="AI343" s="198">
        <f t="shared" ca="1" si="286"/>
        <v>0.9875961108989102</v>
      </c>
      <c r="AJ343" s="198">
        <f t="shared" ca="1" si="286"/>
        <v>1.0397016387149933</v>
      </c>
      <c r="AK343" s="198">
        <f t="shared" ca="1" si="286"/>
        <v>1.0387561241441323</v>
      </c>
      <c r="AL343" s="198">
        <f t="shared" ca="1" si="286"/>
        <v>1.0183366856766825</v>
      </c>
      <c r="AM343" s="198">
        <f t="shared" ca="1" si="286"/>
        <v>0.97378610715200464</v>
      </c>
      <c r="AN343" s="198">
        <f t="shared" ca="1" si="286"/>
        <v>0.92511439465949574</v>
      </c>
    </row>
    <row r="344" spans="3:42" outlineLevel="1">
      <c r="E344" s="123" t="s">
        <v>166</v>
      </c>
      <c r="H344" s="198"/>
      <c r="I344" s="198"/>
      <c r="J344" s="198"/>
      <c r="K344" s="198"/>
      <c r="L344" s="198"/>
      <c r="M344" s="198"/>
      <c r="N344" s="198"/>
      <c r="O344" s="198"/>
      <c r="P344" s="198"/>
      <c r="Q344" s="198"/>
      <c r="R344" s="198"/>
      <c r="S344" s="198"/>
      <c r="T344" s="198"/>
      <c r="U344" s="198"/>
      <c r="V344" s="198"/>
      <c r="W344" s="198"/>
      <c r="X344" s="198"/>
      <c r="Y344" s="198">
        <f t="shared" ref="Y344:AN344" si="287">+Y182/SUM(Y196:Y199)</f>
        <v>1.3404019324306564</v>
      </c>
      <c r="Z344" s="198">
        <f t="shared" si="287"/>
        <v>1.3686151475121093</v>
      </c>
      <c r="AA344" s="198">
        <f t="shared" si="287"/>
        <v>1.1446568608540864</v>
      </c>
      <c r="AB344" s="198">
        <f t="shared" si="287"/>
        <v>1.690027419394325</v>
      </c>
      <c r="AC344" s="198">
        <f t="shared" si="287"/>
        <v>2.9076695456473289</v>
      </c>
      <c r="AD344" s="198">
        <f t="shared" ca="1" si="287"/>
        <v>4.5769848993156579</v>
      </c>
      <c r="AE344" s="198">
        <f t="shared" ca="1" si="287"/>
        <v>5.2198044698776869</v>
      </c>
      <c r="AF344" s="198">
        <f t="shared" ca="1" si="287"/>
        <v>5.6138712341297312</v>
      </c>
      <c r="AG344" s="198">
        <f t="shared" ca="1" si="287"/>
        <v>5.3503587682532876</v>
      </c>
      <c r="AH344" s="198">
        <f t="shared" ca="1" si="287"/>
        <v>4.4994161702464295</v>
      </c>
      <c r="AI344" s="198">
        <f t="shared" ca="1" si="287"/>
        <v>3.6841483084018223</v>
      </c>
      <c r="AJ344" s="198">
        <f t="shared" ca="1" si="287"/>
        <v>2.9664897170543321</v>
      </c>
      <c r="AK344" s="198">
        <f t="shared" ca="1" si="287"/>
        <v>2.4582307232432634</v>
      </c>
      <c r="AL344" s="198">
        <f t="shared" ca="1" si="287"/>
        <v>2.0859861519261571</v>
      </c>
      <c r="AM344" s="198">
        <f t="shared" ca="1" si="287"/>
        <v>1.8438117448927838</v>
      </c>
      <c r="AN344" s="198">
        <f t="shared" ca="1" si="287"/>
        <v>1.6623275319774815</v>
      </c>
    </row>
    <row r="345" spans="3:42" outlineLevel="1">
      <c r="E345" s="129" t="s">
        <v>1</v>
      </c>
      <c r="H345" s="197"/>
      <c r="I345" s="197"/>
      <c r="J345" s="197"/>
      <c r="K345" s="197"/>
      <c r="L345" s="197"/>
      <c r="M345" s="197"/>
      <c r="N345" s="197"/>
      <c r="O345" s="197"/>
      <c r="P345" s="197"/>
      <c r="Q345" s="197"/>
      <c r="R345" s="197"/>
      <c r="S345" s="197"/>
      <c r="T345" s="197"/>
      <c r="U345" s="197"/>
      <c r="V345" s="197"/>
      <c r="W345" s="197"/>
      <c r="X345" s="197"/>
      <c r="Y345" s="198">
        <f>+Y342*Y343*Y344</f>
        <v>-8.8306822663336296E-2</v>
      </c>
      <c r="Z345" s="198">
        <f>+Z342*Z343*Z344</f>
        <v>-0.39980551886100119</v>
      </c>
      <c r="AA345" s="198">
        <f t="shared" ref="AA345:AN345" si="288">+AA342*AA343*AA344</f>
        <v>-0.14580313793350486</v>
      </c>
      <c r="AB345" s="198">
        <f t="shared" si="288"/>
        <v>-0.14611844199084392</v>
      </c>
      <c r="AC345" s="198">
        <f t="shared" si="288"/>
        <v>-0.31908511665878064</v>
      </c>
      <c r="AD345" s="198">
        <f t="shared" ca="1" si="288"/>
        <v>-0.40441315393532878</v>
      </c>
      <c r="AE345" s="198">
        <f t="shared" ca="1" si="288"/>
        <v>-0.4564549495426562</v>
      </c>
      <c r="AF345" s="198">
        <f t="shared" ca="1" si="288"/>
        <v>-0.4337179219457557</v>
      </c>
      <c r="AG345" s="198">
        <f t="shared" ca="1" si="288"/>
        <v>-0.2714668712927637</v>
      </c>
      <c r="AH345" s="198">
        <f t="shared" ca="1" si="288"/>
        <v>-0.13199835557239528</v>
      </c>
      <c r="AI345" s="198">
        <f t="shared" ca="1" si="288"/>
        <v>-7.2894535490129961E-3</v>
      </c>
      <c r="AJ345" s="198">
        <f t="shared" ca="1" si="288"/>
        <v>8.6251298557075404E-2</v>
      </c>
      <c r="AK345" s="198">
        <f t="shared" ca="1" si="288"/>
        <v>0.14727472478854062</v>
      </c>
      <c r="AL345" s="198">
        <f t="shared" ca="1" si="288"/>
        <v>0.17105891777431437</v>
      </c>
      <c r="AM345" s="198">
        <f t="shared" ca="1" si="288"/>
        <v>0.17567926535472578</v>
      </c>
      <c r="AN345" s="198">
        <f t="shared" ca="1" si="288"/>
        <v>0.17393229878167249</v>
      </c>
    </row>
    <row r="347" spans="3:42">
      <c r="D347" s="90"/>
      <c r="E347" s="91" t="s">
        <v>185</v>
      </c>
      <c r="F347" s="90"/>
      <c r="G347" s="90"/>
      <c r="H347" s="90"/>
      <c r="I347" s="90"/>
      <c r="J347" s="90"/>
      <c r="K347" s="90"/>
      <c r="L347" s="90"/>
      <c r="M347" s="90"/>
      <c r="N347" s="90"/>
      <c r="O347" s="90"/>
      <c r="P347" s="90"/>
      <c r="Q347" s="90"/>
      <c r="R347" s="90"/>
      <c r="S347" s="90"/>
      <c r="T347" s="90"/>
      <c r="U347" s="90"/>
      <c r="V347" s="90"/>
      <c r="W347" s="90"/>
      <c r="X347" s="90"/>
      <c r="Y347" s="90"/>
      <c r="Z347" s="90"/>
      <c r="AA347" s="90"/>
      <c r="AB347" s="90"/>
      <c r="AC347" s="90"/>
      <c r="AD347" s="90"/>
      <c r="AE347" s="90"/>
      <c r="AF347" s="90"/>
      <c r="AG347" s="90"/>
      <c r="AH347" s="90"/>
      <c r="AI347" s="90"/>
      <c r="AJ347" s="90"/>
      <c r="AK347" s="90"/>
      <c r="AL347" s="90"/>
      <c r="AM347" s="90"/>
      <c r="AN347" s="90"/>
    </row>
    <row r="348" spans="3:42" ht="5.0999999999999996" customHeight="1">
      <c r="C348" s="121"/>
      <c r="D348" s="52"/>
      <c r="E348" s="52"/>
      <c r="F348" s="52"/>
      <c r="G348" s="52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  <c r="Z348" s="52"/>
      <c r="AA348" s="52"/>
      <c r="AB348" s="52"/>
      <c r="AC348" s="52"/>
      <c r="AD348" s="52"/>
      <c r="AE348" s="52"/>
      <c r="AF348" s="52"/>
      <c r="AG348" s="52"/>
      <c r="AH348" s="52"/>
      <c r="AI348" s="52"/>
      <c r="AJ348" s="52"/>
      <c r="AK348" s="52"/>
      <c r="AL348" s="52"/>
      <c r="AM348" s="52"/>
      <c r="AN348" s="52"/>
      <c r="AO348" s="7"/>
      <c r="AP348" s="1"/>
    </row>
    <row r="349" spans="3:42" outlineLevel="1">
      <c r="E349" s="123" t="s">
        <v>148</v>
      </c>
      <c r="G349" s="33"/>
      <c r="H349" s="87"/>
      <c r="I349" s="87"/>
      <c r="J349" s="87"/>
      <c r="K349" s="87"/>
      <c r="L349" s="87"/>
      <c r="M349" s="87"/>
      <c r="N349" s="87"/>
      <c r="O349" s="87"/>
      <c r="P349" s="87"/>
      <c r="Q349" s="87"/>
      <c r="R349" s="87"/>
      <c r="S349" s="87"/>
      <c r="T349" s="87"/>
      <c r="U349" s="87"/>
      <c r="V349" s="87"/>
      <c r="W349" s="87"/>
      <c r="X349" s="87"/>
      <c r="Y349" s="87">
        <f t="shared" ref="Y349:AN349" si="289">+Y106/Y$104</f>
        <v>0.85191586812308551</v>
      </c>
      <c r="Z349" s="87">
        <f t="shared" si="289"/>
        <v>0.84474916179660975</v>
      </c>
      <c r="AA349" s="87">
        <f t="shared" si="289"/>
        <v>0.85411257673627805</v>
      </c>
      <c r="AB349" s="87">
        <f t="shared" si="289"/>
        <v>0.85276934247979974</v>
      </c>
      <c r="AC349" s="87">
        <f t="shared" si="289"/>
        <v>0.85292576771791484</v>
      </c>
      <c r="AD349" s="87">
        <f t="shared" si="289"/>
        <v>0.8472462285514456</v>
      </c>
      <c r="AE349" s="87">
        <f t="shared" si="289"/>
        <v>0.84551040936780508</v>
      </c>
      <c r="AF349" s="87">
        <f t="shared" si="289"/>
        <v>0.84351312575623305</v>
      </c>
      <c r="AG349" s="87">
        <f t="shared" si="289"/>
        <v>0.84191312575623301</v>
      </c>
      <c r="AH349" s="87">
        <f t="shared" si="289"/>
        <v>0.84031312575623296</v>
      </c>
      <c r="AI349" s="87">
        <f t="shared" si="289"/>
        <v>0.83871312575623291</v>
      </c>
      <c r="AJ349" s="87">
        <f t="shared" si="289"/>
        <v>0.83711312575623287</v>
      </c>
      <c r="AK349" s="87">
        <f t="shared" si="289"/>
        <v>0.83551312575623282</v>
      </c>
      <c r="AL349" s="87">
        <f t="shared" si="289"/>
        <v>0.83391312575623266</v>
      </c>
      <c r="AM349" s="87">
        <f t="shared" si="289"/>
        <v>0.83231312575623273</v>
      </c>
      <c r="AN349" s="87">
        <f t="shared" si="289"/>
        <v>0.83071312575623268</v>
      </c>
    </row>
    <row r="350" spans="3:42" outlineLevel="1">
      <c r="E350" s="123" t="s">
        <v>104</v>
      </c>
      <c r="G350" s="33"/>
      <c r="H350" s="87"/>
      <c r="I350" s="87"/>
      <c r="J350" s="87"/>
      <c r="K350" s="87"/>
      <c r="L350" s="87"/>
      <c r="M350" s="87"/>
      <c r="N350" s="87"/>
      <c r="O350" s="87"/>
      <c r="P350" s="87"/>
      <c r="Q350" s="87"/>
      <c r="R350" s="87"/>
      <c r="S350" s="87"/>
      <c r="T350" s="87"/>
      <c r="U350" s="87"/>
      <c r="V350" s="87"/>
      <c r="W350" s="87"/>
      <c r="X350" s="87"/>
      <c r="Y350" s="87">
        <f t="shared" ref="Y350:AN350" si="290">(+Y113+SUM(Y111:Y111))/Y$104</f>
        <v>-0.16150168624689601</v>
      </c>
      <c r="Z350" s="87">
        <f t="shared" si="290"/>
        <v>-0.5862493123099124</v>
      </c>
      <c r="AA350" s="87">
        <f t="shared" si="290"/>
        <v>-0.52152099839036714</v>
      </c>
      <c r="AB350" s="87">
        <f t="shared" si="290"/>
        <v>-0.4020516912997989</v>
      </c>
      <c r="AC350" s="87">
        <f t="shared" si="290"/>
        <v>-0.4518193977691316</v>
      </c>
      <c r="AD350" s="87">
        <f t="shared" si="290"/>
        <v>-0.36330838758821793</v>
      </c>
      <c r="AE350" s="87">
        <f t="shared" si="290"/>
        <v>-0.29942429758551986</v>
      </c>
      <c r="AF350" s="87">
        <f t="shared" si="290"/>
        <v>-0.24072176624442129</v>
      </c>
      <c r="AG350" s="87">
        <f t="shared" si="290"/>
        <v>-0.16288639926636769</v>
      </c>
      <c r="AH350" s="87">
        <f t="shared" si="290"/>
        <v>-0.11729868062321573</v>
      </c>
      <c r="AI350" s="87">
        <f t="shared" si="290"/>
        <v>-7.9164098906058009E-2</v>
      </c>
      <c r="AJ350" s="87">
        <f t="shared" si="290"/>
        <v>-4.0010135198169754E-2</v>
      </c>
      <c r="AK350" s="87">
        <f t="shared" si="290"/>
        <v>-1.0558437511934769E-3</v>
      </c>
      <c r="AL350" s="87">
        <f t="shared" si="290"/>
        <v>2.972713859107121E-2</v>
      </c>
      <c r="AM350" s="87">
        <f t="shared" si="290"/>
        <v>5.2970832671178338E-2</v>
      </c>
      <c r="AN350" s="87">
        <f t="shared" si="290"/>
        <v>7.4046764703600054E-2</v>
      </c>
    </row>
    <row r="351" spans="3:42" outlineLevel="1">
      <c r="E351" s="123" t="s">
        <v>163</v>
      </c>
      <c r="G351" s="33"/>
      <c r="H351" s="87"/>
      <c r="I351" s="87"/>
      <c r="J351" s="87"/>
      <c r="K351" s="87"/>
      <c r="L351" s="87"/>
      <c r="M351" s="87"/>
      <c r="N351" s="87"/>
      <c r="O351" s="87"/>
      <c r="P351" s="87"/>
      <c r="Q351" s="87"/>
      <c r="R351" s="87"/>
      <c r="S351" s="87"/>
      <c r="T351" s="87"/>
      <c r="U351" s="87"/>
      <c r="V351" s="87"/>
      <c r="W351" s="87"/>
      <c r="X351" s="87"/>
      <c r="Y351" s="87">
        <f t="shared" ref="Y351:AN351" si="291">+Y113/Y$104</f>
        <v>-7.1267094096282735E-2</v>
      </c>
      <c r="Z351" s="87">
        <f t="shared" si="291"/>
        <v>-0.45148800564684416</v>
      </c>
      <c r="AA351" s="87">
        <f t="shared" si="291"/>
        <v>-0.38111364285664501</v>
      </c>
      <c r="AB351" s="87">
        <f t="shared" si="291"/>
        <v>-0.24729097408939379</v>
      </c>
      <c r="AC351" s="87">
        <f t="shared" si="291"/>
        <v>-0.30576485392108171</v>
      </c>
      <c r="AD351" s="87">
        <f t="shared" si="291"/>
        <v>-0.21141545992077251</v>
      </c>
      <c r="AE351" s="87">
        <f t="shared" si="291"/>
        <v>-0.15239834513361994</v>
      </c>
      <c r="AF351" s="87">
        <f t="shared" si="291"/>
        <v>-0.10701091537236823</v>
      </c>
      <c r="AG351" s="87">
        <f t="shared" si="291"/>
        <v>-5.189323188334144E-2</v>
      </c>
      <c r="AH351" s="87">
        <f t="shared" si="291"/>
        <v>-1.2899372561765449E-2</v>
      </c>
      <c r="AI351" s="87">
        <f t="shared" si="291"/>
        <v>2.236791829681338E-2</v>
      </c>
      <c r="AJ351" s="87">
        <f t="shared" si="291"/>
        <v>5.864490015075751E-2</v>
      </c>
      <c r="AK351" s="87">
        <f t="shared" si="291"/>
        <v>9.4822045874245656E-2</v>
      </c>
      <c r="AL351" s="87">
        <f t="shared" si="291"/>
        <v>0.12291353704537797</v>
      </c>
      <c r="AM351" s="87">
        <f t="shared" si="291"/>
        <v>0.14373538408543154</v>
      </c>
      <c r="AN351" s="87">
        <f t="shared" si="291"/>
        <v>0.16247335010164241</v>
      </c>
    </row>
    <row r="352" spans="3:42" outlineLevel="1">
      <c r="E352" s="123" t="s">
        <v>149</v>
      </c>
      <c r="G352" s="33"/>
      <c r="H352" s="87"/>
      <c r="I352" s="87"/>
      <c r="J352" s="87"/>
      <c r="K352" s="87"/>
      <c r="L352" s="87"/>
      <c r="M352" s="87"/>
      <c r="N352" s="87"/>
      <c r="O352" s="87"/>
      <c r="P352" s="87"/>
      <c r="Q352" s="87"/>
      <c r="R352" s="87"/>
      <c r="S352" s="87"/>
      <c r="T352" s="87"/>
      <c r="U352" s="87"/>
      <c r="V352" s="87"/>
      <c r="W352" s="87"/>
      <c r="X352" s="87"/>
      <c r="Y352" s="87">
        <f t="shared" ref="Y352:AN352" si="292">+Y122/Y$104</f>
        <v>-7.9664974243041795E-2</v>
      </c>
      <c r="Z352" s="87">
        <f t="shared" si="292"/>
        <v>-0.45239108546041529</v>
      </c>
      <c r="AA352" s="87">
        <f t="shared" si="292"/>
        <v>-0.36871041244225167</v>
      </c>
      <c r="AB352" s="87">
        <f t="shared" si="292"/>
        <v>-0.27692264863974542</v>
      </c>
      <c r="AC352" s="87">
        <f t="shared" si="292"/>
        <v>-0.39655498106412596</v>
      </c>
      <c r="AD352" s="87">
        <f t="shared" ca="1" si="292"/>
        <v>-0.22448917053315362</v>
      </c>
      <c r="AE352" s="87">
        <f t="shared" ca="1" si="292"/>
        <v>-0.16835382424879144</v>
      </c>
      <c r="AF352" s="87">
        <f t="shared" ca="1" si="292"/>
        <v>-0.11725271338149378</v>
      </c>
      <c r="AG352" s="87">
        <f t="shared" ca="1" si="292"/>
        <v>-6.5481881193083694E-2</v>
      </c>
      <c r="AH352" s="87">
        <f t="shared" ca="1" si="292"/>
        <v>-3.2443281649034955E-2</v>
      </c>
      <c r="AI352" s="87">
        <f t="shared" ca="1" si="292"/>
        <v>-2.0034499483132877E-3</v>
      </c>
      <c r="AJ352" s="87">
        <f t="shared" ca="1" si="292"/>
        <v>2.7964951250384572E-2</v>
      </c>
      <c r="AK352" s="87">
        <f t="shared" ca="1" si="292"/>
        <v>5.7675581298285566E-2</v>
      </c>
      <c r="AL352" s="87">
        <f t="shared" ca="1" si="292"/>
        <v>8.0527257663670526E-2</v>
      </c>
      <c r="AM352" s="87">
        <f t="shared" ca="1" si="292"/>
        <v>9.7845387011074633E-2</v>
      </c>
      <c r="AN352" s="87">
        <f t="shared" ca="1" si="292"/>
        <v>0.11310145720427699</v>
      </c>
    </row>
    <row r="354" spans="1:41">
      <c r="C354" s="120"/>
      <c r="D354" s="41" t="s">
        <v>235</v>
      </c>
      <c r="E354" s="41"/>
      <c r="F354" s="41"/>
      <c r="G354" s="41"/>
      <c r="H354" s="41"/>
      <c r="I354" s="41"/>
      <c r="J354" s="41"/>
      <c r="K354" s="41"/>
      <c r="L354" s="41"/>
      <c r="M354" s="41"/>
      <c r="N354" s="41"/>
      <c r="O354" s="41"/>
      <c r="P354" s="41"/>
      <c r="Q354" s="41"/>
      <c r="R354" s="41"/>
      <c r="S354" s="41"/>
      <c r="T354" s="41"/>
      <c r="U354" s="41"/>
      <c r="V354" s="41"/>
      <c r="W354" s="41"/>
      <c r="X354" s="41"/>
      <c r="Y354" s="41"/>
      <c r="Z354" s="41"/>
      <c r="AA354" s="41"/>
      <c r="AB354" s="41"/>
      <c r="AC354" s="41"/>
      <c r="AD354" s="41"/>
      <c r="AE354" s="41"/>
      <c r="AF354" s="41"/>
      <c r="AG354" s="41"/>
      <c r="AH354" s="41"/>
      <c r="AI354" s="41"/>
      <c r="AJ354" s="41"/>
      <c r="AK354" s="41"/>
      <c r="AL354" s="41"/>
      <c r="AM354" s="41"/>
      <c r="AN354" s="41"/>
    </row>
    <row r="355" spans="1:41">
      <c r="U355" s="54"/>
      <c r="V355" s="54"/>
      <c r="W355" s="54"/>
      <c r="X355" s="54"/>
      <c r="Y355" s="54"/>
      <c r="Z355" s="54"/>
      <c r="AA355" s="54"/>
      <c r="AB355" s="54"/>
      <c r="AC355" s="54"/>
      <c r="AD355" s="54"/>
      <c r="AE355" s="54"/>
      <c r="AF355" s="54"/>
      <c r="AG355" s="54"/>
      <c r="AH355" s="54"/>
      <c r="AI355" s="54"/>
      <c r="AJ355" s="54"/>
      <c r="AK355" s="54"/>
      <c r="AL355" s="54"/>
      <c r="AM355" s="54"/>
      <c r="AN355" s="54"/>
      <c r="AO355" s="54"/>
    </row>
    <row r="356" spans="1:41">
      <c r="D356" s="90"/>
      <c r="E356" s="91" t="s">
        <v>508</v>
      </c>
      <c r="F356" s="90"/>
      <c r="G356" s="91"/>
      <c r="H356" s="90"/>
      <c r="I356" s="90"/>
      <c r="J356" s="90"/>
      <c r="K356" s="90"/>
      <c r="L356" s="90"/>
      <c r="M356" s="90"/>
      <c r="N356" s="90"/>
      <c r="O356" s="90"/>
      <c r="P356" s="90"/>
      <c r="Q356" s="90"/>
      <c r="R356" s="90"/>
      <c r="S356" s="90"/>
      <c r="T356" s="90"/>
      <c r="U356" s="90"/>
      <c r="V356" s="90"/>
      <c r="W356" s="90"/>
      <c r="X356" s="90"/>
      <c r="Y356" s="90"/>
      <c r="Z356" s="90"/>
      <c r="AA356" s="90"/>
      <c r="AB356" s="90"/>
      <c r="AC356" s="314"/>
      <c r="AD356" s="90"/>
      <c r="AE356" s="90"/>
      <c r="AF356" s="90"/>
      <c r="AG356" s="90"/>
      <c r="AH356" s="90"/>
      <c r="AI356" s="90"/>
      <c r="AJ356" s="90"/>
      <c r="AK356" s="90"/>
      <c r="AL356" s="90"/>
      <c r="AM356" s="90"/>
      <c r="AN356" s="90"/>
    </row>
    <row r="357" spans="1:41" s="33" customFormat="1" outlineLevel="1">
      <c r="A357" s="192"/>
      <c r="B357" s="192"/>
      <c r="H357" s="191"/>
      <c r="I357" s="191"/>
      <c r="J357" s="191"/>
      <c r="K357" s="191"/>
      <c r="L357" s="191"/>
      <c r="M357" s="191"/>
      <c r="N357" s="191"/>
      <c r="O357" s="191"/>
      <c r="P357" s="141"/>
      <c r="Q357" s="141"/>
      <c r="R357" s="141"/>
      <c r="S357" s="141"/>
      <c r="T357" s="141"/>
      <c r="U357" s="141"/>
      <c r="V357" s="141"/>
      <c r="W357" s="141"/>
      <c r="X357" s="141"/>
      <c r="Y357" s="141"/>
      <c r="Z357" s="141"/>
      <c r="AA357" s="141"/>
      <c r="AB357" s="141"/>
      <c r="AC357" s="227"/>
    </row>
    <row r="358" spans="1:41" s="33" customFormat="1" outlineLevel="1">
      <c r="A358" s="192"/>
      <c r="B358" s="192"/>
      <c r="E358" s="123" t="s">
        <v>509</v>
      </c>
      <c r="H358" s="191"/>
      <c r="I358" s="191"/>
      <c r="J358" s="191"/>
      <c r="K358" s="191"/>
      <c r="L358" s="191"/>
      <c r="M358" s="77"/>
      <c r="N358" s="77"/>
      <c r="O358" s="77"/>
      <c r="P358" s="77"/>
      <c r="Q358" s="77"/>
      <c r="R358" s="77"/>
      <c r="S358" s="77"/>
      <c r="T358" s="77">
        <f t="shared" ref="T358:AC358" si="293">T419</f>
        <v>1373.9469999999999</v>
      </c>
      <c r="U358" s="77">
        <f t="shared" si="293"/>
        <v>1577.922</v>
      </c>
      <c r="V358" s="77">
        <f t="shared" si="293"/>
        <v>1963.8739999999998</v>
      </c>
      <c r="W358" s="77">
        <f t="shared" si="293"/>
        <v>2197.4479999999999</v>
      </c>
      <c r="X358" s="77">
        <f t="shared" si="293"/>
        <v>2347.9880000000003</v>
      </c>
      <c r="Y358" s="77">
        <f t="shared" si="293"/>
        <v>2489.0349999999999</v>
      </c>
      <c r="Z358" s="77">
        <f t="shared" si="293"/>
        <v>2714.4740000000002</v>
      </c>
      <c r="AA358" s="77">
        <f t="shared" si="293"/>
        <v>2893.6170000000002</v>
      </c>
      <c r="AB358" s="77">
        <f t="shared" si="293"/>
        <v>3198.1490000000003</v>
      </c>
      <c r="AC358" s="77">
        <f t="shared" si="293"/>
        <v>3461.223</v>
      </c>
    </row>
    <row r="359" spans="1:41" s="33" customFormat="1" outlineLevel="1">
      <c r="A359" s="192"/>
      <c r="B359" s="192"/>
      <c r="E359" s="123" t="s">
        <v>510</v>
      </c>
      <c r="H359" s="191"/>
      <c r="I359" s="191"/>
      <c r="J359" s="191"/>
      <c r="K359" s="191"/>
      <c r="L359" s="191"/>
      <c r="M359" s="77"/>
      <c r="N359" s="77"/>
      <c r="O359" s="77"/>
      <c r="P359" s="77"/>
      <c r="Q359" s="77"/>
      <c r="R359" s="77"/>
      <c r="S359" s="77"/>
      <c r="T359" s="77"/>
      <c r="U359" s="77"/>
      <c r="V359" s="77"/>
      <c r="W359" s="77"/>
      <c r="X359" s="77"/>
      <c r="Y359" s="77">
        <f>Y509</f>
        <v>104.9</v>
      </c>
      <c r="Z359" s="77">
        <f>Z509</f>
        <v>144.56299999999999</v>
      </c>
      <c r="AA359" s="77">
        <f>AA509</f>
        <v>200.46199999999999</v>
      </c>
      <c r="AB359" s="77">
        <f>AB509</f>
        <v>290.87400000000002</v>
      </c>
      <c r="AC359" s="77">
        <f>AC509</f>
        <v>354.33000000000004</v>
      </c>
    </row>
    <row r="360" spans="1:41" s="33" customFormat="1" outlineLevel="1">
      <c r="A360" s="192"/>
      <c r="B360" s="192"/>
      <c r="E360" s="123" t="s">
        <v>657</v>
      </c>
      <c r="H360" s="191"/>
      <c r="I360" s="191"/>
      <c r="J360" s="191"/>
      <c r="K360" s="191"/>
      <c r="L360" s="191"/>
      <c r="M360" s="77"/>
      <c r="N360" s="77"/>
      <c r="O360" s="77"/>
      <c r="P360" s="77"/>
      <c r="Q360" s="77"/>
      <c r="R360" s="77"/>
      <c r="S360" s="77"/>
      <c r="T360" s="77">
        <f t="shared" ref="T360:AB360" si="294">T558</f>
        <v>180.23599999999999</v>
      </c>
      <c r="U360" s="77">
        <f t="shared" si="294"/>
        <v>173.43299999999999</v>
      </c>
      <c r="V360" s="77">
        <f t="shared" si="294"/>
        <v>162.25899999999999</v>
      </c>
      <c r="W360" s="77">
        <f t="shared" si="294"/>
        <v>170.91200000000001</v>
      </c>
      <c r="X360" s="77">
        <f t="shared" si="294"/>
        <v>168.23400000000001</v>
      </c>
      <c r="Y360" s="77">
        <f t="shared" si="294"/>
        <v>184.36</v>
      </c>
      <c r="Z360" s="77">
        <f t="shared" si="294"/>
        <v>195.67</v>
      </c>
      <c r="AA360" s="77">
        <f t="shared" si="294"/>
        <v>200.63399999999999</v>
      </c>
      <c r="AB360" s="77">
        <f t="shared" si="294"/>
        <v>230.19399999999999</v>
      </c>
      <c r="AC360" s="77">
        <f>AC558</f>
        <v>217.63</v>
      </c>
    </row>
    <row r="361" spans="1:41" s="33" customFormat="1" outlineLevel="1">
      <c r="A361" s="192"/>
      <c r="B361" s="192"/>
      <c r="E361" s="123" t="s">
        <v>634</v>
      </c>
      <c r="H361" s="191"/>
      <c r="I361" s="191"/>
      <c r="J361" s="191"/>
      <c r="K361" s="191"/>
      <c r="L361" s="191"/>
      <c r="M361" s="77"/>
      <c r="N361" s="77"/>
      <c r="O361" s="77"/>
      <c r="P361" s="77"/>
      <c r="Q361" s="77"/>
      <c r="R361" s="77"/>
      <c r="S361" s="77"/>
      <c r="T361" s="77"/>
      <c r="U361" s="77"/>
      <c r="V361" s="77"/>
      <c r="W361" s="77">
        <f t="shared" ref="W361:AB361" si="295">W617</f>
        <v>53.707000000000001</v>
      </c>
      <c r="X361" s="77">
        <f t="shared" si="295"/>
        <v>80.324999999999989</v>
      </c>
      <c r="Y361" s="77">
        <f t="shared" si="295"/>
        <v>125.71700000000001</v>
      </c>
      <c r="Z361" s="77">
        <f t="shared" si="295"/>
        <v>190.17400000000001</v>
      </c>
      <c r="AA361" s="77">
        <f t="shared" si="295"/>
        <v>302.83600000000001</v>
      </c>
      <c r="AB361" s="77">
        <f t="shared" si="295"/>
        <v>431.26900000000001</v>
      </c>
      <c r="AC361" s="77">
        <f>AC617</f>
        <v>673.1</v>
      </c>
    </row>
    <row r="362" spans="1:41" s="122" customFormat="1" outlineLevel="1">
      <c r="A362" s="230"/>
      <c r="B362" s="230"/>
      <c r="E362" s="122" t="s">
        <v>511</v>
      </c>
      <c r="H362" s="231"/>
      <c r="I362" s="231"/>
      <c r="J362" s="231"/>
      <c r="K362" s="231"/>
      <c r="L362" s="231"/>
      <c r="M362" s="232"/>
      <c r="N362" s="232"/>
      <c r="O362" s="232"/>
      <c r="P362" s="232"/>
      <c r="Q362" s="232"/>
      <c r="R362" s="232"/>
      <c r="S362" s="232"/>
      <c r="T362" s="232"/>
      <c r="U362" s="232"/>
      <c r="V362" s="232"/>
      <c r="W362" s="232"/>
      <c r="X362" s="232">
        <f t="shared" ref="X362:AN362" si="296">X7</f>
        <v>84.790999999999997</v>
      </c>
      <c r="Y362" s="232">
        <f t="shared" si="296"/>
        <v>134.91500000000002</v>
      </c>
      <c r="Z362" s="232">
        <f t="shared" si="296"/>
        <v>192.67399999999998</v>
      </c>
      <c r="AA362" s="232">
        <f t="shared" si="296"/>
        <v>287.02200000000005</v>
      </c>
      <c r="AB362" s="232">
        <f t="shared" si="296"/>
        <v>431.05900000000003</v>
      </c>
      <c r="AC362" s="232">
        <f t="shared" si="296"/>
        <v>656.42600000000004</v>
      </c>
      <c r="AD362" s="232">
        <f t="shared" si="296"/>
        <v>973.01332677713503</v>
      </c>
      <c r="AE362" s="232">
        <f t="shared" si="296"/>
        <v>1307.6340461486454</v>
      </c>
      <c r="AF362" s="232">
        <f t="shared" si="296"/>
        <v>1716.126004348077</v>
      </c>
      <c r="AG362" s="232">
        <f t="shared" si="296"/>
        <v>2196.5809316535965</v>
      </c>
      <c r="AH362" s="232">
        <f t="shared" si="296"/>
        <v>2741.0753150269111</v>
      </c>
      <c r="AI362" s="232">
        <f t="shared" si="296"/>
        <v>3335.9900392887948</v>
      </c>
      <c r="AJ362" s="232">
        <f t="shared" si="296"/>
        <v>3969.7143242455481</v>
      </c>
      <c r="AK362" s="232">
        <f t="shared" si="296"/>
        <v>4634.6285586109307</v>
      </c>
      <c r="AL362" s="232">
        <f t="shared" si="296"/>
        <v>5306.5212882285059</v>
      </c>
      <c r="AM362" s="232">
        <f t="shared" si="296"/>
        <v>5973.8773832338611</v>
      </c>
      <c r="AN362" s="232">
        <f t="shared" si="296"/>
        <v>6613.5052816292218</v>
      </c>
    </row>
    <row r="363" spans="1:41" s="33" customFormat="1" outlineLevel="1">
      <c r="A363" s="192"/>
      <c r="B363" s="192"/>
      <c r="H363" s="191"/>
      <c r="I363" s="191"/>
      <c r="J363" s="191"/>
      <c r="K363" s="191"/>
      <c r="L363" s="191"/>
      <c r="M363" s="191"/>
      <c r="N363" s="191"/>
      <c r="O363" s="191"/>
      <c r="P363" s="141"/>
      <c r="Q363" s="141"/>
      <c r="R363" s="141"/>
      <c r="S363" s="141"/>
      <c r="T363" s="141"/>
      <c r="U363" s="141"/>
      <c r="V363" s="141"/>
      <c r="W363" s="141"/>
      <c r="X363" s="141"/>
      <c r="Y363" s="141"/>
      <c r="Z363" s="141"/>
      <c r="AA363" s="141"/>
      <c r="AB363" s="141"/>
      <c r="AC363" s="141"/>
    </row>
    <row r="364" spans="1:41" s="121" customFormat="1" outlineLevel="1">
      <c r="A364" s="223"/>
      <c r="B364" s="223"/>
      <c r="E364" s="224" t="s">
        <v>585</v>
      </c>
      <c r="H364" s="225"/>
      <c r="I364" s="225"/>
      <c r="J364" s="225"/>
      <c r="K364" s="225"/>
      <c r="L364" s="225"/>
      <c r="M364" s="225"/>
      <c r="N364" s="225"/>
      <c r="O364" s="225"/>
      <c r="P364" s="226"/>
      <c r="Q364" s="226"/>
      <c r="R364" s="226"/>
      <c r="S364" s="226"/>
      <c r="T364" s="226"/>
      <c r="U364" s="236">
        <f t="shared" ref="U364:AB364" si="297">U358/T358-1</f>
        <v>0.14845914725968345</v>
      </c>
      <c r="V364" s="236">
        <f t="shared" si="297"/>
        <v>0.24459510672897622</v>
      </c>
      <c r="W364" s="236">
        <f t="shared" si="297"/>
        <v>0.11893532884492597</v>
      </c>
      <c r="X364" s="236">
        <f t="shared" si="297"/>
        <v>6.8506740546306677E-2</v>
      </c>
      <c r="Y364" s="236">
        <f t="shared" si="297"/>
        <v>6.007143137017712E-2</v>
      </c>
      <c r="Z364" s="236">
        <f t="shared" si="297"/>
        <v>9.0572852531201953E-2</v>
      </c>
      <c r="AA364" s="236">
        <f t="shared" si="297"/>
        <v>6.599547462970734E-2</v>
      </c>
      <c r="AB364" s="236">
        <f t="shared" si="297"/>
        <v>0.10524267724443148</v>
      </c>
      <c r="AC364" s="236">
        <f>AC358/AB358-1</f>
        <v>8.2258206231166753E-2</v>
      </c>
    </row>
    <row r="365" spans="1:41" s="121" customFormat="1" outlineLevel="1">
      <c r="A365" s="223"/>
      <c r="B365" s="223"/>
      <c r="E365" s="224" t="s">
        <v>586</v>
      </c>
      <c r="H365" s="225"/>
      <c r="I365" s="225"/>
      <c r="J365" s="225"/>
      <c r="K365" s="225"/>
      <c r="L365" s="225"/>
      <c r="M365" s="225"/>
      <c r="N365" s="225"/>
      <c r="O365" s="225"/>
      <c r="P365" s="226"/>
      <c r="Q365" s="226"/>
      <c r="R365" s="226"/>
      <c r="S365" s="226"/>
      <c r="T365" s="226"/>
      <c r="U365" s="226"/>
      <c r="V365" s="226"/>
      <c r="W365" s="226"/>
      <c r="X365" s="226"/>
      <c r="Y365" s="236"/>
      <c r="Z365" s="236">
        <f t="shared" ref="Z365:AB366" si="298">Z359/Y359-1</f>
        <v>0.37810295519542403</v>
      </c>
      <c r="AA365" s="236">
        <f t="shared" si="298"/>
        <v>0.38667570540179708</v>
      </c>
      <c r="AB365" s="236">
        <f t="shared" si="298"/>
        <v>0.45101814807794005</v>
      </c>
      <c r="AC365" s="236">
        <f>AC359/AB359-1</f>
        <v>0.2181563151055097</v>
      </c>
    </row>
    <row r="366" spans="1:41" s="121" customFormat="1" outlineLevel="1">
      <c r="A366" s="223"/>
      <c r="B366" s="223"/>
      <c r="E366" s="224" t="s">
        <v>658</v>
      </c>
      <c r="H366" s="225"/>
      <c r="I366" s="225"/>
      <c r="J366" s="225"/>
      <c r="K366" s="225"/>
      <c r="L366" s="225"/>
      <c r="M366" s="225"/>
      <c r="N366" s="225"/>
      <c r="O366" s="225"/>
      <c r="P366" s="226"/>
      <c r="Q366" s="226"/>
      <c r="R366" s="226"/>
      <c r="S366" s="226"/>
      <c r="T366" s="226"/>
      <c r="U366" s="236">
        <f>U360/T360-1</f>
        <v>-3.7744956612441483E-2</v>
      </c>
      <c r="V366" s="236">
        <f>V360/U360-1</f>
        <v>-6.4428338320850154E-2</v>
      </c>
      <c r="W366" s="236">
        <f>W360/V360-1</f>
        <v>5.3328320771113047E-2</v>
      </c>
      <c r="X366" s="236">
        <f>X360/W360-1</f>
        <v>-1.5668882231791748E-2</v>
      </c>
      <c r="Y366" s="236">
        <f>Y360/X360-1</f>
        <v>9.5854583496796097E-2</v>
      </c>
      <c r="Z366" s="236">
        <f t="shared" si="298"/>
        <v>6.1347363853330394E-2</v>
      </c>
      <c r="AA366" s="236">
        <f t="shared" si="298"/>
        <v>2.5369244135534208E-2</v>
      </c>
      <c r="AB366" s="236">
        <f t="shared" si="298"/>
        <v>0.14733295453412687</v>
      </c>
      <c r="AC366" s="236">
        <f>AC360/AB360-1</f>
        <v>-5.4580049870978309E-2</v>
      </c>
    </row>
    <row r="367" spans="1:41" s="121" customFormat="1" outlineLevel="1">
      <c r="A367" s="223"/>
      <c r="B367" s="223"/>
      <c r="E367" s="224" t="s">
        <v>635</v>
      </c>
      <c r="H367" s="225"/>
      <c r="I367" s="225"/>
      <c r="J367" s="225"/>
      <c r="K367" s="225"/>
      <c r="L367" s="225"/>
      <c r="M367" s="225"/>
      <c r="N367" s="225"/>
      <c r="O367" s="225"/>
      <c r="P367" s="226"/>
      <c r="Q367" s="226"/>
      <c r="R367" s="226"/>
      <c r="S367" s="226"/>
      <c r="T367" s="226"/>
      <c r="U367" s="226"/>
      <c r="V367" s="226"/>
      <c r="W367" s="226"/>
      <c r="X367" s="236">
        <f t="shared" ref="X367:AC367" si="299">X361/W361-1</f>
        <v>0.49561509672854531</v>
      </c>
      <c r="Y367" s="236">
        <f t="shared" si="299"/>
        <v>0.56510426392779367</v>
      </c>
      <c r="Z367" s="236">
        <f t="shared" si="299"/>
        <v>0.51271506637924857</v>
      </c>
      <c r="AA367" s="236">
        <f t="shared" si="299"/>
        <v>0.59241536697971342</v>
      </c>
      <c r="AB367" s="236">
        <f t="shared" si="299"/>
        <v>0.42410083345441096</v>
      </c>
      <c r="AC367" s="236">
        <f t="shared" si="299"/>
        <v>0.56074283104048761</v>
      </c>
    </row>
    <row r="368" spans="1:41" s="124" customFormat="1" outlineLevel="1">
      <c r="A368" s="233"/>
      <c r="B368" s="233"/>
      <c r="E368" s="124" t="s">
        <v>587</v>
      </c>
      <c r="H368" s="234"/>
      <c r="I368" s="234"/>
      <c r="J368" s="234"/>
      <c r="K368" s="234"/>
      <c r="L368" s="234"/>
      <c r="M368" s="234"/>
      <c r="N368" s="234"/>
      <c r="O368" s="234"/>
      <c r="P368" s="235"/>
      <c r="Q368" s="235"/>
      <c r="R368" s="235"/>
      <c r="S368" s="235"/>
      <c r="T368" s="235"/>
      <c r="U368" s="235"/>
      <c r="V368" s="235"/>
      <c r="W368" s="235"/>
      <c r="X368" s="235"/>
      <c r="Y368" s="237">
        <f t="shared" ref="Y368:AN368" si="300">Y362/X362-1</f>
        <v>0.59114764538689268</v>
      </c>
      <c r="Z368" s="237">
        <f t="shared" si="300"/>
        <v>0.42811399770225655</v>
      </c>
      <c r="AA368" s="237">
        <f t="shared" si="300"/>
        <v>0.48967686351038586</v>
      </c>
      <c r="AB368" s="237">
        <f t="shared" si="300"/>
        <v>0.50183261213426134</v>
      </c>
      <c r="AC368" s="237">
        <f t="shared" si="300"/>
        <v>0.52282170190159594</v>
      </c>
      <c r="AD368" s="237">
        <f t="shared" si="300"/>
        <v>0.48228943822629655</v>
      </c>
      <c r="AE368" s="237">
        <f t="shared" si="300"/>
        <v>0.3439014761286554</v>
      </c>
      <c r="AF368" s="237">
        <f t="shared" si="300"/>
        <v>0.31239012122891463</v>
      </c>
      <c r="AG368" s="237">
        <f t="shared" si="300"/>
        <v>0.27996483130505045</v>
      </c>
      <c r="AH368" s="237">
        <f t="shared" si="300"/>
        <v>0.24788268691899118</v>
      </c>
      <c r="AI368" s="237">
        <f t="shared" si="300"/>
        <v>0.2170369858137382</v>
      </c>
      <c r="AJ368" s="237">
        <f t="shared" si="300"/>
        <v>0.18996588044125517</v>
      </c>
      <c r="AK368" s="237">
        <f t="shared" si="300"/>
        <v>0.16749674663094316</v>
      </c>
      <c r="AL368" s="237">
        <f t="shared" si="300"/>
        <v>0.14497229305878867</v>
      </c>
      <c r="AM368" s="237">
        <f t="shared" si="300"/>
        <v>0.12576150339503123</v>
      </c>
      <c r="AN368" s="237">
        <f t="shared" si="300"/>
        <v>0.10707081136123153</v>
      </c>
    </row>
    <row r="369" spans="1:40" s="33" customFormat="1" outlineLevel="1">
      <c r="A369" s="192"/>
      <c r="B369" s="192"/>
      <c r="H369" s="191"/>
      <c r="I369" s="191"/>
      <c r="J369" s="191"/>
      <c r="K369" s="191"/>
      <c r="L369" s="191"/>
      <c r="M369" s="191"/>
      <c r="N369" s="191"/>
      <c r="O369" s="191"/>
      <c r="P369" s="141"/>
      <c r="Q369" s="141"/>
      <c r="R369" s="141"/>
      <c r="S369" s="141"/>
      <c r="T369" s="141"/>
      <c r="U369" s="141"/>
      <c r="V369" s="141"/>
      <c r="W369" s="141"/>
      <c r="X369" s="141"/>
      <c r="Y369" s="141"/>
      <c r="Z369" s="141"/>
      <c r="AA369" s="141"/>
      <c r="AB369" s="141"/>
      <c r="AC369" s="141"/>
    </row>
    <row r="370" spans="1:40" s="121" customFormat="1" outlineLevel="1">
      <c r="A370" s="223"/>
      <c r="B370" s="223"/>
      <c r="E370" s="224" t="s">
        <v>512</v>
      </c>
      <c r="H370" s="225"/>
      <c r="I370" s="225"/>
      <c r="J370" s="225"/>
      <c r="K370" s="225"/>
      <c r="L370" s="225"/>
      <c r="M370" s="225"/>
      <c r="N370" s="225"/>
      <c r="O370" s="225"/>
      <c r="P370" s="226"/>
      <c r="Q370" s="226"/>
      <c r="R370" s="226"/>
      <c r="S370" s="226"/>
      <c r="T370" s="236">
        <f t="shared" ref="T370:AB370" si="301">T430</f>
        <v>0.72768891376450462</v>
      </c>
      <c r="U370" s="236">
        <f t="shared" si="301"/>
        <v>0.75734351888116136</v>
      </c>
      <c r="V370" s="236">
        <f t="shared" si="301"/>
        <v>0.7731122261407809</v>
      </c>
      <c r="W370" s="236">
        <f t="shared" si="301"/>
        <v>0.76347062592607429</v>
      </c>
      <c r="X370" s="236">
        <f t="shared" si="301"/>
        <v>0.75294379698703739</v>
      </c>
      <c r="Y370" s="236">
        <f t="shared" si="301"/>
        <v>0.74812768803974239</v>
      </c>
      <c r="Z370" s="236">
        <f t="shared" si="301"/>
        <v>0.7582725050967517</v>
      </c>
      <c r="AA370" s="236">
        <f t="shared" si="301"/>
        <v>0.7604219908854557</v>
      </c>
      <c r="AB370" s="236">
        <f t="shared" si="301"/>
        <v>0.74759493694633983</v>
      </c>
      <c r="AC370" s="236">
        <f>AC430</f>
        <v>0.74621513840628007</v>
      </c>
    </row>
    <row r="371" spans="1:40" s="121" customFormat="1" outlineLevel="1">
      <c r="A371" s="223"/>
      <c r="B371" s="223"/>
      <c r="E371" s="224" t="s">
        <v>513</v>
      </c>
      <c r="H371" s="225"/>
      <c r="I371" s="225"/>
      <c r="J371" s="225"/>
      <c r="K371" s="225"/>
      <c r="L371" s="225"/>
      <c r="M371" s="225"/>
      <c r="N371" s="225"/>
      <c r="O371" s="225"/>
      <c r="P371" s="226"/>
      <c r="Q371" s="226"/>
      <c r="R371" s="226"/>
      <c r="S371" s="226"/>
      <c r="T371" s="236"/>
      <c r="U371" s="236"/>
      <c r="V371" s="236"/>
      <c r="W371" s="236"/>
      <c r="X371" s="236"/>
      <c r="Y371" s="236">
        <f>Y519</f>
        <v>0.5996892278360344</v>
      </c>
      <c r="Z371" s="236">
        <f>Z519</f>
        <v>0.6118024667446027</v>
      </c>
      <c r="AA371" s="236">
        <f>AA519</f>
        <v>0.62522024124272924</v>
      </c>
      <c r="AB371" s="236">
        <f>AB519</f>
        <v>0.70856659584562387</v>
      </c>
      <c r="AC371" s="236">
        <f>AC519</f>
        <v>0.69307651059746567</v>
      </c>
    </row>
    <row r="372" spans="1:40" s="121" customFormat="1" outlineLevel="1">
      <c r="A372" s="223"/>
      <c r="B372" s="223"/>
      <c r="E372" s="224" t="s">
        <v>659</v>
      </c>
      <c r="H372" s="225"/>
      <c r="I372" s="225"/>
      <c r="J372" s="225"/>
      <c r="K372" s="225"/>
      <c r="L372" s="225"/>
      <c r="M372" s="225"/>
      <c r="N372" s="225"/>
      <c r="O372" s="225"/>
      <c r="P372" s="226"/>
      <c r="Q372" s="226"/>
      <c r="R372" s="226"/>
      <c r="S372" s="226"/>
      <c r="T372" s="236">
        <f t="shared" ref="T372:AB372" si="302">T568</f>
        <v>0.52714219134911999</v>
      </c>
      <c r="U372" s="236">
        <f t="shared" si="302"/>
        <v>0.48808473589224655</v>
      </c>
      <c r="V372" s="236">
        <f t="shared" si="302"/>
        <v>0.49355043479868599</v>
      </c>
      <c r="W372" s="236">
        <f t="shared" si="302"/>
        <v>0.50373291518442243</v>
      </c>
      <c r="X372" s="236">
        <f t="shared" si="302"/>
        <v>0.53126597477323256</v>
      </c>
      <c r="Y372" s="236">
        <f t="shared" si="302"/>
        <v>0.5746203080928618</v>
      </c>
      <c r="Z372" s="236">
        <f t="shared" si="302"/>
        <v>0.56089334082894671</v>
      </c>
      <c r="AA372" s="236">
        <f t="shared" si="302"/>
        <v>0.5020933640360058</v>
      </c>
      <c r="AB372" s="236">
        <f t="shared" si="302"/>
        <v>0.45476858649660717</v>
      </c>
      <c r="AC372" s="236">
        <f>AC568</f>
        <v>0.38072416486697608</v>
      </c>
    </row>
    <row r="373" spans="1:40" s="121" customFormat="1" outlineLevel="1">
      <c r="A373" s="223"/>
      <c r="B373" s="223"/>
      <c r="E373" s="224" t="s">
        <v>636</v>
      </c>
      <c r="H373" s="225"/>
      <c r="I373" s="225"/>
      <c r="J373" s="225"/>
      <c r="K373" s="225"/>
      <c r="L373" s="225"/>
      <c r="M373" s="225"/>
      <c r="N373" s="225"/>
      <c r="O373" s="225"/>
      <c r="P373" s="226"/>
      <c r="Q373" s="226"/>
      <c r="R373" s="226"/>
      <c r="S373" s="226"/>
      <c r="T373" s="236"/>
      <c r="U373" s="236"/>
      <c r="V373" s="236"/>
      <c r="W373" s="236"/>
      <c r="X373" s="236">
        <f t="shared" ref="X373:AC373" si="303">X627</f>
        <v>0.83994895736072206</v>
      </c>
      <c r="Y373" s="236">
        <f t="shared" si="303"/>
        <v>0.86674674069537139</v>
      </c>
      <c r="Z373" s="236">
        <f t="shared" si="303"/>
        <v>0.87875997770462833</v>
      </c>
      <c r="AA373" s="236">
        <f t="shared" si="303"/>
        <v>0.87180289001307643</v>
      </c>
      <c r="AB373" s="236">
        <f t="shared" si="303"/>
        <v>0.87396427751588912</v>
      </c>
      <c r="AC373" s="236">
        <f t="shared" si="303"/>
        <v>0.88115020056455207</v>
      </c>
    </row>
    <row r="374" spans="1:40" s="124" customFormat="1" outlineLevel="1">
      <c r="A374" s="233"/>
      <c r="B374" s="233"/>
      <c r="E374" s="124" t="s">
        <v>514</v>
      </c>
      <c r="H374" s="234"/>
      <c r="I374" s="234"/>
      <c r="J374" s="234"/>
      <c r="K374" s="234"/>
      <c r="L374" s="234"/>
      <c r="M374" s="234"/>
      <c r="N374" s="234"/>
      <c r="O374" s="234"/>
      <c r="P374" s="235"/>
      <c r="Q374" s="235"/>
      <c r="R374" s="235"/>
      <c r="S374" s="235"/>
      <c r="T374" s="235"/>
      <c r="U374" s="235"/>
      <c r="V374" s="235"/>
      <c r="W374" s="235"/>
      <c r="X374" s="237">
        <f t="shared" ref="X374:AN374" si="304">X24</f>
        <v>0.78775760911868731</v>
      </c>
      <c r="Y374" s="237">
        <f t="shared" si="304"/>
        <v>0.85191586812308551</v>
      </c>
      <c r="Z374" s="237">
        <f t="shared" si="304"/>
        <v>0.84474916179660975</v>
      </c>
      <c r="AA374" s="237">
        <f t="shared" si="304"/>
        <v>0.85411257673627805</v>
      </c>
      <c r="AB374" s="237">
        <f t="shared" si="304"/>
        <v>0.85276934247979974</v>
      </c>
      <c r="AC374" s="237">
        <f t="shared" si="304"/>
        <v>0.85292576771791484</v>
      </c>
      <c r="AD374" s="237">
        <f t="shared" si="304"/>
        <v>0.8472462285514456</v>
      </c>
      <c r="AE374" s="237">
        <f t="shared" si="304"/>
        <v>0.84551040936780508</v>
      </c>
      <c r="AF374" s="237">
        <f t="shared" si="304"/>
        <v>0.84351312575623305</v>
      </c>
      <c r="AG374" s="237">
        <f t="shared" si="304"/>
        <v>0.84191312575623301</v>
      </c>
      <c r="AH374" s="237">
        <f t="shared" si="304"/>
        <v>0.84031312575623296</v>
      </c>
      <c r="AI374" s="237">
        <f t="shared" si="304"/>
        <v>0.83871312575623291</v>
      </c>
      <c r="AJ374" s="237">
        <f t="shared" si="304"/>
        <v>0.83711312575623287</v>
      </c>
      <c r="AK374" s="237">
        <f t="shared" si="304"/>
        <v>0.83551312575623282</v>
      </c>
      <c r="AL374" s="237">
        <f t="shared" si="304"/>
        <v>0.83391312575623278</v>
      </c>
      <c r="AM374" s="237">
        <f t="shared" si="304"/>
        <v>0.83231312575623273</v>
      </c>
      <c r="AN374" s="237">
        <f t="shared" si="304"/>
        <v>0.83071312575623268</v>
      </c>
    </row>
    <row r="375" spans="1:40" s="33" customFormat="1" outlineLevel="1">
      <c r="A375" s="192"/>
      <c r="B375" s="192"/>
      <c r="H375" s="191"/>
      <c r="I375" s="191"/>
      <c r="J375" s="191"/>
      <c r="K375" s="191"/>
      <c r="L375" s="191"/>
      <c r="M375" s="191"/>
      <c r="N375" s="191"/>
      <c r="O375" s="191"/>
      <c r="P375" s="141"/>
      <c r="Q375" s="141"/>
      <c r="R375" s="141"/>
      <c r="S375" s="141"/>
      <c r="T375" s="141"/>
      <c r="U375" s="141"/>
      <c r="V375" s="141"/>
      <c r="W375" s="141"/>
      <c r="X375" s="141"/>
      <c r="Y375" s="141"/>
      <c r="Z375" s="141"/>
      <c r="AA375" s="141"/>
      <c r="AB375" s="141"/>
      <c r="AC375" s="141"/>
    </row>
    <row r="376" spans="1:40" s="121" customFormat="1" outlineLevel="1">
      <c r="A376" s="223"/>
      <c r="B376" s="223"/>
      <c r="E376" s="224" t="s">
        <v>515</v>
      </c>
      <c r="H376" s="225"/>
      <c r="I376" s="225"/>
      <c r="J376" s="225"/>
      <c r="K376" s="225"/>
      <c r="L376" s="225"/>
      <c r="M376" s="225"/>
      <c r="N376" s="225"/>
      <c r="O376" s="225"/>
      <c r="P376" s="226"/>
      <c r="Q376" s="226"/>
      <c r="R376" s="226"/>
      <c r="S376" s="226"/>
      <c r="T376" s="236">
        <f t="shared" ref="T376:AB376" si="305">T431</f>
        <v>0.37238117627535844</v>
      </c>
      <c r="U376" s="236">
        <f t="shared" si="305"/>
        <v>0.37552109673355216</v>
      </c>
      <c r="V376" s="236">
        <f t="shared" si="305"/>
        <v>0.37078855364448016</v>
      </c>
      <c r="W376" s="236">
        <f t="shared" si="305"/>
        <v>0.34330960277558331</v>
      </c>
      <c r="X376" s="236">
        <f t="shared" si="305"/>
        <v>0.33997362848532447</v>
      </c>
      <c r="Y376" s="236">
        <f t="shared" si="305"/>
        <v>0.29132696004676517</v>
      </c>
      <c r="Z376" s="236">
        <f t="shared" si="305"/>
        <v>0.29498901076230616</v>
      </c>
      <c r="AA376" s="236">
        <f t="shared" si="305"/>
        <v>0.3378525907195043</v>
      </c>
      <c r="AB376" s="236">
        <f t="shared" si="305"/>
        <v>0.35838667929480461</v>
      </c>
      <c r="AC376" s="236">
        <f>AC431</f>
        <v>0.37974669647116061</v>
      </c>
    </row>
    <row r="377" spans="1:40" s="121" customFormat="1" outlineLevel="1">
      <c r="A377" s="223"/>
      <c r="B377" s="223"/>
      <c r="E377" s="224" t="s">
        <v>516</v>
      </c>
      <c r="H377" s="225"/>
      <c r="I377" s="225"/>
      <c r="J377" s="225"/>
      <c r="K377" s="225"/>
      <c r="L377" s="225"/>
      <c r="M377" s="225"/>
      <c r="N377" s="225"/>
      <c r="O377" s="225"/>
      <c r="P377" s="226"/>
      <c r="Q377" s="226"/>
      <c r="R377" s="226"/>
      <c r="S377" s="226"/>
      <c r="T377" s="236"/>
      <c r="U377" s="236"/>
      <c r="V377" s="236"/>
      <c r="W377" s="236"/>
      <c r="X377" s="236"/>
      <c r="Y377" s="236">
        <f>Y520</f>
        <v>-0.20484270734032398</v>
      </c>
      <c r="Z377" s="236">
        <f>Z520</f>
        <v>-0.10886603072708799</v>
      </c>
      <c r="AA377" s="236">
        <f>AA520</f>
        <v>-0.13818579082319848</v>
      </c>
      <c r="AB377" s="236">
        <f>AB520</f>
        <v>-0.19552796056024252</v>
      </c>
      <c r="AC377" s="236">
        <f>AC520</f>
        <v>-0.38251629836592982</v>
      </c>
    </row>
    <row r="378" spans="1:40" s="121" customFormat="1" outlineLevel="1">
      <c r="A378" s="223"/>
      <c r="B378" s="223"/>
      <c r="E378" s="224" t="s">
        <v>660</v>
      </c>
      <c r="H378" s="225"/>
      <c r="I378" s="225"/>
      <c r="J378" s="225"/>
      <c r="K378" s="225"/>
      <c r="L378" s="225"/>
      <c r="M378" s="225"/>
      <c r="N378" s="225"/>
      <c r="O378" s="225"/>
      <c r="P378" s="226"/>
      <c r="Q378" s="226"/>
      <c r="R378" s="226"/>
      <c r="S378" s="226"/>
      <c r="T378" s="236">
        <f t="shared" ref="T378:AB378" si="306">T569</f>
        <v>-2.6165693868039769E-2</v>
      </c>
      <c r="U378" s="236">
        <f t="shared" si="306"/>
        <v>-6.1874037812873074E-2</v>
      </c>
      <c r="V378" s="236">
        <f t="shared" si="306"/>
        <v>-4.0158018969672069E-2</v>
      </c>
      <c r="W378" s="236">
        <f t="shared" si="306"/>
        <v>-2.8184094738812893E-2</v>
      </c>
      <c r="X378" s="236">
        <f t="shared" si="306"/>
        <v>1.2215128927565174E-2</v>
      </c>
      <c r="Y378" s="236">
        <f t="shared" si="306"/>
        <v>6.7498372748969457E-2</v>
      </c>
      <c r="Z378" s="236">
        <f t="shared" si="306"/>
        <v>7.0271375274697109E-2</v>
      </c>
      <c r="AA378" s="236">
        <f t="shared" si="306"/>
        <v>2.1631428372060533E-2</v>
      </c>
      <c r="AB378" s="236">
        <f t="shared" si="306"/>
        <v>3.8124364666324913E-2</v>
      </c>
      <c r="AC378" s="236">
        <f>AC569</f>
        <v>-3.9806092909984853E-2</v>
      </c>
    </row>
    <row r="379" spans="1:40" s="121" customFormat="1" outlineLevel="1">
      <c r="A379" s="223"/>
      <c r="B379" s="223"/>
      <c r="E379" s="224" t="s">
        <v>637</v>
      </c>
      <c r="H379" s="225"/>
      <c r="I379" s="225"/>
      <c r="J379" s="225"/>
      <c r="K379" s="225"/>
      <c r="L379" s="225"/>
      <c r="M379" s="225"/>
      <c r="N379" s="225"/>
      <c r="O379" s="225"/>
      <c r="P379" s="226"/>
      <c r="Q379" s="226"/>
      <c r="R379" s="226"/>
      <c r="S379" s="226"/>
      <c r="T379" s="236"/>
      <c r="U379" s="236"/>
      <c r="V379" s="236"/>
      <c r="W379" s="236"/>
      <c r="X379" s="236">
        <f t="shared" ref="X379:AC379" si="307">X628</f>
        <v>-0.20486772486772495</v>
      </c>
      <c r="Y379" s="236">
        <f t="shared" si="307"/>
        <v>-0.11082033456095829</v>
      </c>
      <c r="Z379" s="236">
        <f t="shared" si="307"/>
        <v>-2.8479182222596187E-2</v>
      </c>
      <c r="AA379" s="236">
        <f t="shared" si="307"/>
        <v>2.5502252044010687E-2</v>
      </c>
      <c r="AB379" s="236">
        <f t="shared" si="307"/>
        <v>-8.1756397978987566E-2</v>
      </c>
      <c r="AC379" s="236">
        <f t="shared" si="307"/>
        <v>-0.16250928539592921</v>
      </c>
    </row>
    <row r="380" spans="1:40" s="124" customFormat="1" outlineLevel="1">
      <c r="A380" s="233"/>
      <c r="B380" s="233"/>
      <c r="E380" s="124" t="s">
        <v>577</v>
      </c>
      <c r="H380" s="234"/>
      <c r="I380" s="234"/>
      <c r="J380" s="234"/>
      <c r="K380" s="234"/>
      <c r="L380" s="234"/>
      <c r="M380" s="234"/>
      <c r="N380" s="234"/>
      <c r="O380" s="234"/>
      <c r="P380" s="235"/>
      <c r="Q380" s="235"/>
      <c r="R380" s="235"/>
      <c r="S380" s="235"/>
      <c r="T380" s="235"/>
      <c r="U380" s="235"/>
      <c r="V380" s="235"/>
      <c r="W380" s="235"/>
      <c r="X380" s="237">
        <f t="shared" ref="X380:AN380" si="308">X27</f>
        <v>-8.3405078369166497E-2</v>
      </c>
      <c r="Y380" s="237">
        <f t="shared" si="308"/>
        <v>1.8115109513397367E-2</v>
      </c>
      <c r="Z380" s="237">
        <f t="shared" si="308"/>
        <v>-0.18494451768271819</v>
      </c>
      <c r="AA380" s="237">
        <f t="shared" si="308"/>
        <v>-0.2356822821943963</v>
      </c>
      <c r="AB380" s="237">
        <f t="shared" si="308"/>
        <v>-3.2508310927274367E-2</v>
      </c>
      <c r="AC380" s="237">
        <f t="shared" si="308"/>
        <v>-1.0235731064887871E-2</v>
      </c>
      <c r="AD380" s="237">
        <f t="shared" si="308"/>
        <v>-1.7586986875497489E-2</v>
      </c>
      <c r="AE380" s="237">
        <f t="shared" si="308"/>
        <v>2.766197656487325E-2</v>
      </c>
      <c r="AF380" s="237">
        <f t="shared" si="308"/>
        <v>5.6765051801621016E-2</v>
      </c>
      <c r="AG380" s="237">
        <f t="shared" si="308"/>
        <v>8.495628684819756E-2</v>
      </c>
      <c r="AH380" s="237">
        <f t="shared" si="308"/>
        <v>0.11942468656044955</v>
      </c>
      <c r="AI380" s="237">
        <f t="shared" si="308"/>
        <v>0.15000160260681034</v>
      </c>
      <c r="AJ380" s="237">
        <f t="shared" si="308"/>
        <v>0.18467724046081449</v>
      </c>
      <c r="AK380" s="237">
        <f t="shared" si="308"/>
        <v>0.21664493416743788</v>
      </c>
      <c r="AL380" s="237">
        <f t="shared" si="308"/>
        <v>0.24292267051543612</v>
      </c>
      <c r="AM380" s="237">
        <f t="shared" si="308"/>
        <v>0.26010201246709358</v>
      </c>
      <c r="AN380" s="237">
        <f t="shared" si="308"/>
        <v>0.27712298374109123</v>
      </c>
    </row>
    <row r="381" spans="1:40" s="33" customFormat="1" outlineLevel="1">
      <c r="A381" s="192"/>
      <c r="B381" s="192"/>
      <c r="H381" s="191"/>
      <c r="I381" s="191"/>
      <c r="J381" s="191"/>
      <c r="K381" s="191"/>
      <c r="L381" s="191"/>
      <c r="M381" s="191"/>
      <c r="N381" s="191"/>
      <c r="O381" s="191"/>
      <c r="P381" s="141"/>
      <c r="Q381" s="141"/>
      <c r="R381" s="141"/>
      <c r="S381" s="141"/>
      <c r="T381" s="141"/>
      <c r="U381" s="141"/>
      <c r="V381" s="141"/>
      <c r="W381" s="141"/>
      <c r="X381" s="141"/>
      <c r="Y381" s="141"/>
      <c r="Z381" s="141"/>
      <c r="AA381" s="141"/>
      <c r="AB381" s="141"/>
      <c r="AC381" s="141"/>
    </row>
    <row r="382" spans="1:40" s="33" customFormat="1" outlineLevel="1">
      <c r="A382" s="192"/>
      <c r="B382" s="192"/>
      <c r="E382" s="123" t="s">
        <v>624</v>
      </c>
      <c r="H382" s="191"/>
      <c r="I382" s="191"/>
      <c r="J382" s="191"/>
      <c r="K382" s="191"/>
      <c r="L382" s="191"/>
      <c r="M382" s="191"/>
      <c r="N382" s="191"/>
      <c r="O382" s="191"/>
      <c r="P382" s="141"/>
      <c r="Q382" s="141"/>
      <c r="R382" s="141"/>
      <c r="S382" s="141"/>
      <c r="T382" s="127">
        <f t="shared" ref="T382:AB382" si="309">T358/AVERAGE(T475,S475)</f>
        <v>4.3061394628714345</v>
      </c>
      <c r="U382" s="127">
        <f t="shared" si="309"/>
        <v>3.9677285517074905</v>
      </c>
      <c r="V382" s="127">
        <f t="shared" si="309"/>
        <v>3.7340337947936928</v>
      </c>
      <c r="W382" s="127">
        <f t="shared" si="309"/>
        <v>3.2440139329820314</v>
      </c>
      <c r="X382" s="127">
        <f t="shared" si="309"/>
        <v>3.0214805459024823</v>
      </c>
      <c r="Y382" s="127">
        <f t="shared" si="309"/>
        <v>2.9924342611472317</v>
      </c>
      <c r="Z382" s="127">
        <f t="shared" si="309"/>
        <v>3.0617481965741256</v>
      </c>
      <c r="AA382" s="127">
        <f t="shared" si="309"/>
        <v>2.8055630023885345</v>
      </c>
      <c r="AB382" s="127">
        <f t="shared" si="309"/>
        <v>2.4316595227007043</v>
      </c>
      <c r="AC382" s="127">
        <f>AC358/AVERAGE(AC475,AB475)</f>
        <v>2.2978303466008279</v>
      </c>
    </row>
    <row r="383" spans="1:40" s="33" customFormat="1" outlineLevel="1">
      <c r="A383" s="192"/>
      <c r="B383" s="192"/>
      <c r="E383" s="123" t="s">
        <v>625</v>
      </c>
      <c r="H383" s="191"/>
      <c r="I383" s="191"/>
      <c r="J383" s="191"/>
      <c r="K383" s="191"/>
      <c r="L383" s="191"/>
      <c r="M383" s="191"/>
      <c r="N383" s="191"/>
      <c r="O383" s="191"/>
      <c r="P383" s="141"/>
      <c r="Q383" s="141"/>
      <c r="R383" s="141"/>
      <c r="S383" s="141"/>
      <c r="T383" s="127"/>
      <c r="U383" s="127"/>
      <c r="V383" s="127"/>
      <c r="W383" s="127"/>
      <c r="X383" s="127"/>
      <c r="Y383" s="127">
        <f>Y359/AVERAGE(Y544,X544)</f>
        <v>2.837205528358532</v>
      </c>
      <c r="Z383" s="127">
        <f>Z359/AVERAGE(Z544,Y544)</f>
        <v>3.64473634449809</v>
      </c>
      <c r="AA383" s="127">
        <f>AA359/AVERAGE(AA544,Z544)</f>
        <v>3.9156175835766818</v>
      </c>
      <c r="AB383" s="127">
        <f>AB359/AVERAGE(AB544,AA544)</f>
        <v>3.7287714080607124</v>
      </c>
      <c r="AC383" s="127">
        <f>AC359/AVERAGE(AC544,AB544)</f>
        <v>2.6951395755685712</v>
      </c>
    </row>
    <row r="384" spans="1:40" s="33" customFormat="1" outlineLevel="1">
      <c r="A384" s="192"/>
      <c r="B384" s="192"/>
      <c r="E384" s="123" t="s">
        <v>661</v>
      </c>
      <c r="H384" s="191"/>
      <c r="I384" s="191"/>
      <c r="J384" s="191"/>
      <c r="K384" s="191"/>
      <c r="L384" s="191"/>
      <c r="M384" s="191"/>
      <c r="N384" s="191"/>
      <c r="O384" s="191"/>
      <c r="P384" s="141"/>
      <c r="Q384" s="141"/>
      <c r="R384" s="141"/>
      <c r="S384" s="141"/>
      <c r="T384" s="127">
        <f t="shared" ref="T384:AB384" si="310">T558/AVERAGE(S590:T590)</f>
        <v>3.6926418012886835</v>
      </c>
      <c r="U384" s="127">
        <f t="shared" si="310"/>
        <v>4.6775176654619983</v>
      </c>
      <c r="V384" s="127">
        <f t="shared" si="310"/>
        <v>4.951373949131078</v>
      </c>
      <c r="W384" s="127">
        <f t="shared" si="310"/>
        <v>4.9698890649762291</v>
      </c>
      <c r="X384" s="127">
        <f t="shared" si="310"/>
        <v>5.060049627791563</v>
      </c>
      <c r="Y384" s="127">
        <f t="shared" si="310"/>
        <v>6.213369731897612</v>
      </c>
      <c r="Z384" s="127">
        <f t="shared" si="310"/>
        <v>6.9424683780091891</v>
      </c>
      <c r="AA384" s="127">
        <f t="shared" si="310"/>
        <v>5.4583888783088925</v>
      </c>
      <c r="AB384" s="127">
        <f t="shared" si="310"/>
        <v>4.9742636730989469</v>
      </c>
      <c r="AC384" s="127">
        <f>AC558/AVERAGE(AB590:AC590)</f>
        <v>5.4380309845077468</v>
      </c>
    </row>
    <row r="385" spans="1:40" s="33" customFormat="1" outlineLevel="1">
      <c r="A385" s="192"/>
      <c r="B385" s="192"/>
      <c r="E385" s="123" t="s">
        <v>638</v>
      </c>
      <c r="H385" s="191"/>
      <c r="I385" s="191"/>
      <c r="J385" s="191"/>
      <c r="K385" s="191"/>
      <c r="L385" s="191"/>
      <c r="M385" s="191"/>
      <c r="N385" s="191"/>
      <c r="O385" s="191"/>
      <c r="P385" s="141"/>
      <c r="Q385" s="141"/>
      <c r="R385" s="141"/>
      <c r="S385" s="141"/>
      <c r="T385" s="127"/>
      <c r="U385" s="127"/>
      <c r="V385" s="127"/>
      <c r="W385" s="127"/>
      <c r="X385" s="127"/>
      <c r="Y385" s="127">
        <f>Y361/AVERAGE(Y652,X652)</f>
        <v>9.5682319811248959</v>
      </c>
      <c r="Z385" s="127">
        <f>Z361/AVERAGE(Z652,Y652)</f>
        <v>11.559324094335038</v>
      </c>
      <c r="AA385" s="127">
        <f>AA361/AVERAGE(AA652,Z652)</f>
        <v>9.95990856917334</v>
      </c>
      <c r="AB385" s="127">
        <f>AB361/AVERAGE(AB652,AA652)</f>
        <v>7.3860078780613119</v>
      </c>
      <c r="AC385" s="127">
        <f>AC361/AVERAGE(AC652,AB652)</f>
        <v>7.3039986978460201</v>
      </c>
    </row>
    <row r="386" spans="1:40" s="33" customFormat="1" outlineLevel="1">
      <c r="A386" s="192"/>
      <c r="B386" s="192"/>
      <c r="E386" s="122" t="s">
        <v>626</v>
      </c>
      <c r="H386" s="191"/>
      <c r="I386" s="191"/>
      <c r="J386" s="191"/>
      <c r="K386" s="191"/>
      <c r="L386" s="191"/>
      <c r="M386" s="191"/>
      <c r="N386" s="191"/>
      <c r="O386" s="191"/>
      <c r="P386" s="141"/>
      <c r="Q386" s="141"/>
      <c r="R386" s="141"/>
      <c r="S386" s="141"/>
      <c r="T386" s="127"/>
      <c r="U386" s="127"/>
      <c r="V386" s="127"/>
      <c r="W386" s="127"/>
      <c r="X386" s="127"/>
      <c r="Y386" s="320">
        <f t="shared" ref="Y386:AN386" si="311">Y7/AVERAGE(Y267,X267)</f>
        <v>2.6236314489625268</v>
      </c>
      <c r="Z386" s="320">
        <f t="shared" si="311"/>
        <v>3.0918617059687241</v>
      </c>
      <c r="AA386" s="320">
        <f t="shared" si="311"/>
        <v>3.2863358446495234</v>
      </c>
      <c r="AB386" s="320">
        <f t="shared" si="311"/>
        <v>3.829014807642769</v>
      </c>
      <c r="AC386" s="320">
        <f t="shared" si="311"/>
        <v>4.2704928697824505</v>
      </c>
      <c r="AD386" s="320">
        <f t="shared" si="311"/>
        <v>4.2459147106854322</v>
      </c>
      <c r="AE386" s="320">
        <f t="shared" si="311"/>
        <v>4.2329274641037484</v>
      </c>
      <c r="AF386" s="320">
        <f t="shared" si="311"/>
        <v>4.4722219336255877</v>
      </c>
      <c r="AG386" s="320">
        <f t="shared" si="311"/>
        <v>4.7044914842979235</v>
      </c>
      <c r="AH386" s="320">
        <f t="shared" si="311"/>
        <v>4.9226960075462642</v>
      </c>
      <c r="AI386" s="320">
        <f t="shared" si="311"/>
        <v>5.0964811643208412</v>
      </c>
      <c r="AJ386" s="320">
        <f t="shared" si="311"/>
        <v>5.2389507588000681</v>
      </c>
      <c r="AK386" s="320">
        <f t="shared" si="311"/>
        <v>5.3718842788435213</v>
      </c>
      <c r="AL386" s="320">
        <f t="shared" si="311"/>
        <v>5.4980751556176948</v>
      </c>
      <c r="AM386" s="320">
        <f t="shared" si="311"/>
        <v>5.6384716688590721</v>
      </c>
      <c r="AN386" s="320">
        <f t="shared" si="311"/>
        <v>5.8021507858060035</v>
      </c>
    </row>
    <row r="387" spans="1:40" s="33" customFormat="1" outlineLevel="1">
      <c r="A387" s="192"/>
      <c r="B387" s="192"/>
      <c r="H387" s="191"/>
      <c r="I387" s="191"/>
      <c r="J387" s="191"/>
      <c r="K387" s="191"/>
      <c r="L387" s="191"/>
      <c r="M387" s="191"/>
      <c r="N387" s="191"/>
      <c r="O387" s="191"/>
      <c r="P387" s="141"/>
      <c r="Q387" s="141"/>
      <c r="R387" s="141"/>
      <c r="S387" s="141"/>
      <c r="T387" s="141"/>
      <c r="U387" s="141"/>
      <c r="V387" s="141"/>
      <c r="W387" s="141"/>
      <c r="X387" s="141"/>
      <c r="Y387" s="141"/>
      <c r="Z387" s="141"/>
      <c r="AA387" s="141"/>
      <c r="AB387" s="141"/>
      <c r="AC387" s="141"/>
    </row>
    <row r="388" spans="1:40" s="33" customFormat="1" outlineLevel="1">
      <c r="A388" s="192"/>
      <c r="B388" s="192"/>
      <c r="E388" s="123" t="s">
        <v>639</v>
      </c>
      <c r="H388" s="191"/>
      <c r="I388" s="191"/>
      <c r="J388" s="191"/>
      <c r="K388" s="191"/>
      <c r="L388" s="191"/>
      <c r="M388" s="191"/>
      <c r="N388" s="191"/>
      <c r="O388" s="191"/>
      <c r="P388" s="141"/>
      <c r="Q388" s="141"/>
      <c r="R388" s="141"/>
      <c r="S388" s="141"/>
      <c r="T388" s="127"/>
      <c r="U388" s="127"/>
      <c r="V388" s="127"/>
      <c r="W388" s="127"/>
      <c r="X388" s="127"/>
      <c r="Y388" s="127"/>
      <c r="Z388" s="127"/>
      <c r="AA388" s="127"/>
      <c r="AB388" s="127">
        <f>AB358/AVERAGE(AB475+AB476,AA475+AA476)</f>
        <v>1.529183182637551</v>
      </c>
      <c r="AC388" s="127">
        <f>AC358/AVERAGE(AC475+AC476,AB475+AB476)</f>
        <v>1.4976193669818054</v>
      </c>
    </row>
    <row r="389" spans="1:40" s="33" customFormat="1" outlineLevel="1">
      <c r="A389" s="192"/>
      <c r="B389" s="192"/>
      <c r="E389" s="123" t="s">
        <v>640</v>
      </c>
      <c r="H389" s="191"/>
      <c r="I389" s="191"/>
      <c r="J389" s="191"/>
      <c r="K389" s="191"/>
      <c r="L389" s="191"/>
      <c r="M389" s="191"/>
      <c r="N389" s="191"/>
      <c r="O389" s="191"/>
      <c r="P389" s="141"/>
      <c r="Q389" s="141"/>
      <c r="R389" s="141"/>
      <c r="S389" s="141"/>
      <c r="T389" s="127"/>
      <c r="U389" s="127"/>
      <c r="V389" s="127"/>
      <c r="W389" s="127"/>
      <c r="X389" s="127"/>
      <c r="Y389" s="127"/>
      <c r="Z389" s="127"/>
      <c r="AA389" s="127"/>
      <c r="AB389" s="127"/>
      <c r="AC389" s="127">
        <f>AC359/AVERAGE(AC544+AC546,AB544+AB546)</f>
        <v>1.8050892788914645</v>
      </c>
    </row>
    <row r="390" spans="1:40" s="33" customFormat="1" outlineLevel="1">
      <c r="A390" s="192"/>
      <c r="B390" s="192"/>
      <c r="E390" s="123" t="s">
        <v>662</v>
      </c>
      <c r="H390" s="191"/>
      <c r="I390" s="191"/>
      <c r="J390" s="191"/>
      <c r="K390" s="191"/>
      <c r="L390" s="191"/>
      <c r="M390" s="191"/>
      <c r="N390" s="191"/>
      <c r="O390" s="191"/>
      <c r="P390" s="141"/>
      <c r="Q390" s="141"/>
      <c r="R390" s="141"/>
      <c r="S390" s="141"/>
      <c r="T390" s="127"/>
      <c r="U390" s="127"/>
      <c r="V390" s="127"/>
      <c r="W390" s="127"/>
      <c r="X390" s="127"/>
      <c r="Y390" s="127"/>
      <c r="Z390" s="127"/>
      <c r="AA390" s="127"/>
      <c r="AB390" s="127">
        <f>AB558/AVERAGE(AB590+AB592,AA590+AA592)</f>
        <v>3.9844564069721149</v>
      </c>
      <c r="AC390" s="127">
        <f>AC558/AVERAGE(AC590+AC592,AB590+AB592)</f>
        <v>4.509157964528427</v>
      </c>
    </row>
    <row r="391" spans="1:40" s="33" customFormat="1" outlineLevel="1">
      <c r="A391" s="192"/>
      <c r="B391" s="192"/>
      <c r="E391" s="123" t="s">
        <v>641</v>
      </c>
      <c r="H391" s="191"/>
      <c r="I391" s="191"/>
      <c r="J391" s="191"/>
      <c r="K391" s="191"/>
      <c r="L391" s="191"/>
      <c r="M391" s="191"/>
      <c r="N391" s="191"/>
      <c r="O391" s="191"/>
      <c r="P391" s="141"/>
      <c r="Q391" s="141"/>
      <c r="R391" s="141"/>
      <c r="S391" s="141"/>
      <c r="T391" s="127"/>
      <c r="U391" s="127"/>
      <c r="V391" s="127"/>
      <c r="W391" s="127"/>
      <c r="X391" s="127"/>
      <c r="Y391" s="127"/>
      <c r="Z391" s="127"/>
      <c r="AA391" s="127"/>
      <c r="AB391" s="127">
        <f>AB361/AVERAGE(AB652+AB654,AA652+AA654)</f>
        <v>5.6412272153513108</v>
      </c>
      <c r="AC391" s="127">
        <f>AC361/AVERAGE(AC652+AC654,AB652+AB654)</f>
        <v>5.0844512932076391</v>
      </c>
    </row>
    <row r="392" spans="1:40" s="33" customFormat="1" outlineLevel="1">
      <c r="A392" s="192"/>
      <c r="B392" s="192"/>
      <c r="E392" s="122" t="s">
        <v>626</v>
      </c>
      <c r="H392" s="191"/>
      <c r="I392" s="191"/>
      <c r="J392" s="191"/>
      <c r="K392" s="191"/>
      <c r="L392" s="191"/>
      <c r="M392" s="191"/>
      <c r="N392" s="191"/>
      <c r="O392" s="191"/>
      <c r="P392" s="141"/>
      <c r="Q392" s="141"/>
      <c r="R392" s="141"/>
      <c r="S392" s="141"/>
      <c r="T392" s="127"/>
      <c r="U392" s="127"/>
      <c r="V392" s="127"/>
      <c r="W392" s="127"/>
      <c r="X392" s="127"/>
      <c r="Y392" s="320"/>
      <c r="Z392" s="320"/>
      <c r="AA392" s="320"/>
      <c r="AB392" s="320"/>
      <c r="AC392" s="320">
        <f t="shared" ref="AC392:AN392" si="312">AC7/AVERAGE(AC267+AC277,AB267+AB277)</f>
        <v>2.7300690808216506</v>
      </c>
      <c r="AD392" s="320">
        <f t="shared" si="312"/>
        <v>2.6533733833870294</v>
      </c>
      <c r="AE392" s="320">
        <f t="shared" si="312"/>
        <v>2.7644248435469971</v>
      </c>
      <c r="AF392" s="320">
        <f t="shared" si="312"/>
        <v>2.9199645773540404</v>
      </c>
      <c r="AG392" s="320">
        <f t="shared" si="312"/>
        <v>3.0069506417563132</v>
      </c>
      <c r="AH392" s="320">
        <f t="shared" si="312"/>
        <v>3.1138997482375599</v>
      </c>
      <c r="AI392" s="320">
        <f t="shared" si="312"/>
        <v>3.2029332454332451</v>
      </c>
      <c r="AJ392" s="320">
        <f t="shared" si="312"/>
        <v>3.2800014343924477</v>
      </c>
      <c r="AK392" s="320">
        <f t="shared" si="312"/>
        <v>3.3539667176343757</v>
      </c>
      <c r="AL392" s="320">
        <f t="shared" si="312"/>
        <v>3.426043963725967</v>
      </c>
      <c r="AM392" s="320">
        <f t="shared" si="312"/>
        <v>3.5044310613380469</v>
      </c>
      <c r="AN392" s="320">
        <f t="shared" si="312"/>
        <v>3.5926007758496028</v>
      </c>
    </row>
    <row r="393" spans="1:40" s="33" customFormat="1" outlineLevel="1">
      <c r="A393" s="192"/>
      <c r="B393" s="192"/>
      <c r="H393" s="191"/>
      <c r="I393" s="191"/>
      <c r="J393" s="191"/>
      <c r="K393" s="191"/>
      <c r="L393" s="191"/>
      <c r="M393" s="191"/>
      <c r="N393" s="191"/>
      <c r="O393" s="191"/>
      <c r="P393" s="141"/>
      <c r="Q393" s="141"/>
      <c r="R393" s="141"/>
      <c r="S393" s="141"/>
      <c r="T393" s="141"/>
      <c r="U393" s="141"/>
      <c r="V393" s="141"/>
      <c r="W393" s="141"/>
      <c r="X393" s="141"/>
      <c r="Y393" s="141"/>
      <c r="Z393" s="141"/>
      <c r="AA393" s="141"/>
      <c r="AB393" s="141"/>
      <c r="AC393" s="141"/>
    </row>
    <row r="394" spans="1:40" s="33" customFormat="1" outlineLevel="1">
      <c r="A394" s="192"/>
      <c r="B394" s="192"/>
      <c r="E394" s="123" t="s">
        <v>620</v>
      </c>
      <c r="H394" s="191"/>
      <c r="I394" s="191"/>
      <c r="J394" s="191"/>
      <c r="K394" s="191"/>
      <c r="L394" s="191"/>
      <c r="M394" s="191"/>
      <c r="N394" s="191"/>
      <c r="O394" s="191"/>
      <c r="P394" s="141"/>
      <c r="Q394" s="141"/>
      <c r="R394" s="141"/>
      <c r="S394" s="141"/>
      <c r="T394" s="141"/>
      <c r="U394" s="141"/>
      <c r="V394" s="141"/>
      <c r="W394" s="141"/>
      <c r="X394" s="227">
        <v>0.70799999999999996</v>
      </c>
      <c r="Y394" s="227">
        <v>0.71499999999999997</v>
      </c>
      <c r="Z394" s="227">
        <v>0.74099999999999999</v>
      </c>
      <c r="AA394" s="227">
        <v>0.74399999999999999</v>
      </c>
      <c r="AB394" s="227">
        <v>0.80100000000000005</v>
      </c>
      <c r="AC394" s="227">
        <v>0.81100000000000005</v>
      </c>
      <c r="AD394" s="227">
        <v>0.80599999999999994</v>
      </c>
    </row>
    <row r="395" spans="1:40" s="33" customFormat="1" outlineLevel="1">
      <c r="A395" s="192"/>
      <c r="B395" s="192"/>
      <c r="E395" s="123" t="s">
        <v>485</v>
      </c>
      <c r="H395" s="191"/>
      <c r="I395" s="191"/>
      <c r="J395" s="191"/>
      <c r="K395" s="191"/>
      <c r="L395" s="191"/>
      <c r="M395" s="191"/>
      <c r="N395" s="191"/>
      <c r="O395" s="191"/>
      <c r="P395" s="141"/>
      <c r="Q395" s="141"/>
      <c r="R395" s="141"/>
      <c r="S395" s="141"/>
      <c r="T395" s="141"/>
      <c r="U395" s="141"/>
      <c r="V395" s="141"/>
      <c r="W395" s="141"/>
      <c r="X395" s="227">
        <v>1.6E-2</v>
      </c>
      <c r="Y395" s="227">
        <v>2.1999999999999999E-2</v>
      </c>
      <c r="Z395" s="227">
        <v>3.3000000000000002E-2</v>
      </c>
      <c r="AA395" s="227">
        <v>4.2000000000000003E-2</v>
      </c>
      <c r="AB395" s="227">
        <v>0.04</v>
      </c>
      <c r="AC395" s="227">
        <v>0.04</v>
      </c>
      <c r="AD395" s="227">
        <v>6.2E-2</v>
      </c>
    </row>
    <row r="396" spans="1:40" s="33" customFormat="1" outlineLevel="1">
      <c r="A396" s="192"/>
      <c r="B396" s="192"/>
      <c r="E396" s="123" t="s">
        <v>622</v>
      </c>
      <c r="H396" s="191"/>
      <c r="I396" s="191"/>
      <c r="J396" s="191"/>
      <c r="K396" s="191"/>
      <c r="L396" s="191"/>
      <c r="M396" s="191"/>
      <c r="N396" s="191"/>
      <c r="O396" s="191"/>
      <c r="P396" s="141"/>
      <c r="Q396" s="141"/>
      <c r="R396" s="141"/>
      <c r="S396" s="141"/>
      <c r="T396" s="141"/>
      <c r="U396" s="141"/>
      <c r="V396" s="141"/>
      <c r="W396" s="141"/>
      <c r="X396" s="227">
        <v>0.03</v>
      </c>
      <c r="Y396" s="227">
        <v>3.5999999999999997E-2</v>
      </c>
      <c r="Z396" s="227">
        <v>5.2999999999999999E-2</v>
      </c>
      <c r="AA396" s="227">
        <v>6.3E-2</v>
      </c>
      <c r="AB396" s="227">
        <v>5.7000000000000002E-2</v>
      </c>
      <c r="AC396" s="227">
        <v>5.1999999999999998E-2</v>
      </c>
      <c r="AD396" s="227">
        <v>5.4000000000000006E-2</v>
      </c>
      <c r="AE396" s="227"/>
    </row>
    <row r="397" spans="1:40" s="33" customFormat="1" outlineLevel="1">
      <c r="A397" s="192"/>
      <c r="B397" s="192"/>
      <c r="E397" s="123" t="s">
        <v>619</v>
      </c>
      <c r="H397" s="191"/>
      <c r="I397" s="191"/>
      <c r="J397" s="191"/>
      <c r="K397" s="191"/>
      <c r="L397" s="191"/>
      <c r="M397" s="191"/>
      <c r="N397" s="191"/>
      <c r="O397" s="191"/>
      <c r="P397" s="141"/>
      <c r="Q397" s="141"/>
      <c r="R397" s="141"/>
      <c r="S397" s="141"/>
      <c r="T397" s="141"/>
      <c r="U397" s="141"/>
      <c r="V397" s="141"/>
      <c r="W397" s="141"/>
      <c r="X397" s="227">
        <v>0.14899999999999999</v>
      </c>
      <c r="Y397" s="227">
        <v>0.128</v>
      </c>
      <c r="Z397" s="227">
        <v>8.6999999999999994E-2</v>
      </c>
      <c r="AA397" s="227">
        <v>7.4999999999999997E-2</v>
      </c>
      <c r="AB397" s="227">
        <v>3.3000000000000002E-2</v>
      </c>
      <c r="AC397" s="227">
        <v>2.5000000000000001E-2</v>
      </c>
      <c r="AD397" s="227">
        <v>0.02</v>
      </c>
    </row>
    <row r="398" spans="1:40" s="33" customFormat="1" outlineLevel="1">
      <c r="A398" s="192"/>
      <c r="B398" s="192"/>
      <c r="E398" s="123" t="s">
        <v>123</v>
      </c>
      <c r="H398" s="191"/>
      <c r="I398" s="191"/>
      <c r="J398" s="191"/>
      <c r="K398" s="191"/>
      <c r="L398" s="191"/>
      <c r="M398" s="191"/>
      <c r="N398" s="191"/>
      <c r="O398" s="191"/>
      <c r="P398" s="141"/>
      <c r="Q398" s="141"/>
      <c r="R398" s="141"/>
      <c r="S398" s="141"/>
      <c r="T398" s="141"/>
      <c r="U398" s="141"/>
      <c r="V398" s="141"/>
      <c r="W398" s="141"/>
      <c r="X398" s="227">
        <f>1-SUM(X394:X397)</f>
        <v>9.6999999999999975E-2</v>
      </c>
      <c r="Y398" s="227">
        <f t="shared" ref="Y398:AD398" si="313">1-SUM(Y394:Y397)</f>
        <v>9.8999999999999977E-2</v>
      </c>
      <c r="Z398" s="227">
        <f t="shared" si="313"/>
        <v>8.5999999999999965E-2</v>
      </c>
      <c r="AA398" s="227">
        <f t="shared" si="313"/>
        <v>7.6000000000000068E-2</v>
      </c>
      <c r="AB398" s="227">
        <f t="shared" si="313"/>
        <v>6.8999999999999839E-2</v>
      </c>
      <c r="AC398" s="227">
        <f t="shared" si="313"/>
        <v>7.1999999999999842E-2</v>
      </c>
      <c r="AD398" s="227">
        <f t="shared" si="313"/>
        <v>5.8000000000000052E-2</v>
      </c>
    </row>
    <row r="399" spans="1:40" s="317" customFormat="1" outlineLevel="1">
      <c r="E399" s="317" t="s">
        <v>623</v>
      </c>
      <c r="P399" s="232"/>
      <c r="Q399" s="232"/>
      <c r="R399" s="232"/>
      <c r="S399" s="232"/>
      <c r="T399" s="232"/>
      <c r="U399" s="232"/>
      <c r="V399" s="232"/>
      <c r="W399" s="232"/>
      <c r="X399" s="318">
        <f>SUM(X394:X398)</f>
        <v>1</v>
      </c>
      <c r="Y399" s="318">
        <f t="shared" ref="Y399:AD399" si="314">SUM(Y394:Y398)</f>
        <v>1</v>
      </c>
      <c r="Z399" s="318">
        <f t="shared" si="314"/>
        <v>1</v>
      </c>
      <c r="AA399" s="318">
        <f t="shared" si="314"/>
        <v>1</v>
      </c>
      <c r="AB399" s="318">
        <f t="shared" si="314"/>
        <v>1</v>
      </c>
      <c r="AC399" s="318">
        <f t="shared" si="314"/>
        <v>1</v>
      </c>
      <c r="AD399" s="318">
        <f t="shared" si="314"/>
        <v>1</v>
      </c>
    </row>
    <row r="400" spans="1:40" s="33" customFormat="1" outlineLevel="1">
      <c r="A400" s="192"/>
      <c r="B400" s="192"/>
      <c r="H400" s="191"/>
      <c r="I400" s="191"/>
      <c r="J400" s="191"/>
      <c r="K400" s="191"/>
      <c r="L400" s="191"/>
      <c r="M400" s="191"/>
      <c r="N400" s="191"/>
      <c r="O400" s="191"/>
      <c r="P400" s="141"/>
      <c r="Q400" s="141"/>
      <c r="R400" s="141"/>
      <c r="S400" s="141"/>
      <c r="T400" s="141"/>
      <c r="U400" s="141"/>
      <c r="V400" s="141"/>
      <c r="W400" s="141"/>
      <c r="X400" s="141"/>
      <c r="Y400" s="141"/>
      <c r="Z400" s="141"/>
      <c r="AA400" s="141"/>
      <c r="AB400" s="141"/>
      <c r="AC400" s="141"/>
    </row>
    <row r="401" spans="1:40" s="33" customFormat="1" outlineLevel="1">
      <c r="A401" s="192"/>
      <c r="B401" s="192"/>
      <c r="E401" s="123" t="s">
        <v>665</v>
      </c>
      <c r="H401" s="191"/>
      <c r="I401" s="191"/>
      <c r="J401" s="191"/>
      <c r="K401" s="191"/>
      <c r="L401" s="191"/>
      <c r="M401" s="191"/>
      <c r="N401" s="191"/>
      <c r="O401" s="191"/>
      <c r="P401" s="141"/>
      <c r="Q401" s="141"/>
      <c r="R401" s="141"/>
      <c r="S401" s="141"/>
      <c r="T401" s="236">
        <f t="shared" ref="T401:AB401" si="315">T423/T419</f>
        <v>0.16255940003508143</v>
      </c>
      <c r="U401" s="236">
        <f t="shared" si="315"/>
        <v>0.17768939149083415</v>
      </c>
      <c r="V401" s="236">
        <f t="shared" si="315"/>
        <v>0.19300372630830698</v>
      </c>
      <c r="W401" s="236">
        <f t="shared" si="315"/>
        <v>0.20068188189208575</v>
      </c>
      <c r="X401" s="236">
        <f t="shared" si="315"/>
        <v>0.18223474736668158</v>
      </c>
      <c r="Y401" s="236">
        <f t="shared" si="315"/>
        <v>0.1934573037341781</v>
      </c>
      <c r="Z401" s="236">
        <f t="shared" si="315"/>
        <v>0.19059051587895109</v>
      </c>
      <c r="AA401" s="236">
        <f t="shared" si="315"/>
        <v>0.18104780280182209</v>
      </c>
      <c r="AB401" s="236">
        <f t="shared" si="315"/>
        <v>0.15959387758356472</v>
      </c>
      <c r="AC401" s="236">
        <f>AC423/AC419</f>
        <v>0.13346929683525158</v>
      </c>
    </row>
    <row r="402" spans="1:40" s="33" customFormat="1" outlineLevel="1">
      <c r="A402" s="192"/>
      <c r="B402" s="192"/>
      <c r="E402" s="123" t="s">
        <v>666</v>
      </c>
      <c r="H402" s="191"/>
      <c r="I402" s="191"/>
      <c r="J402" s="191"/>
      <c r="K402" s="191"/>
      <c r="L402" s="191"/>
      <c r="M402" s="191"/>
      <c r="N402" s="191"/>
      <c r="O402" s="191"/>
      <c r="P402" s="141"/>
      <c r="Q402" s="141"/>
      <c r="R402" s="141"/>
      <c r="S402" s="141"/>
      <c r="T402" s="236"/>
      <c r="U402" s="236"/>
      <c r="V402" s="236"/>
      <c r="W402" s="236"/>
      <c r="X402" s="236"/>
      <c r="Y402" s="236">
        <f>Y513/Y509</f>
        <v>0.3891134413727359</v>
      </c>
      <c r="Z402" s="236">
        <f>Z513/Z509</f>
        <v>0.34679689823813842</v>
      </c>
      <c r="AA402" s="236">
        <f>AA513/AA509</f>
        <v>0.35466572218176012</v>
      </c>
      <c r="AB402" s="236">
        <f>AB513/AB509</f>
        <v>0.34785164710493199</v>
      </c>
      <c r="AC402" s="236">
        <f>AC513/AC509</f>
        <v>0.43079897270905648</v>
      </c>
    </row>
    <row r="403" spans="1:40" s="33" customFormat="1" outlineLevel="1">
      <c r="A403" s="192"/>
      <c r="B403" s="192"/>
      <c r="E403" s="123" t="s">
        <v>667</v>
      </c>
      <c r="H403" s="191"/>
      <c r="I403" s="191"/>
      <c r="J403" s="191"/>
      <c r="K403" s="191"/>
      <c r="L403" s="191"/>
      <c r="M403" s="191"/>
      <c r="N403" s="191"/>
      <c r="O403" s="191"/>
      <c r="P403" s="141"/>
      <c r="Q403" s="141"/>
      <c r="R403" s="141"/>
      <c r="S403" s="141"/>
      <c r="T403" s="236">
        <f t="shared" ref="T403:AB403" si="316">T562/T558</f>
        <v>0.24991677578286248</v>
      </c>
      <c r="U403" s="236">
        <f t="shared" si="316"/>
        <v>0.2391355739680453</v>
      </c>
      <c r="V403" s="236">
        <f t="shared" si="316"/>
        <v>0.23085314219858374</v>
      </c>
      <c r="W403" s="236">
        <f t="shared" si="316"/>
        <v>0.22156431379891406</v>
      </c>
      <c r="X403" s="236">
        <f t="shared" si="316"/>
        <v>0.1958284294494573</v>
      </c>
      <c r="Y403" s="236">
        <f t="shared" si="316"/>
        <v>0.19580169234107181</v>
      </c>
      <c r="Z403" s="236">
        <f t="shared" si="316"/>
        <v>0.20214136045382533</v>
      </c>
      <c r="AA403" s="236">
        <f t="shared" si="316"/>
        <v>0.21470937129300122</v>
      </c>
      <c r="AB403" s="236">
        <f t="shared" si="316"/>
        <v>0.18656003197303145</v>
      </c>
      <c r="AC403" s="236">
        <f>AC562/AC558</f>
        <v>0.13674585305334744</v>
      </c>
    </row>
    <row r="404" spans="1:40" s="33" customFormat="1" outlineLevel="1">
      <c r="A404" s="192"/>
      <c r="B404" s="192"/>
      <c r="E404" s="123" t="s">
        <v>668</v>
      </c>
      <c r="H404" s="191"/>
      <c r="I404" s="191"/>
      <c r="J404" s="191"/>
      <c r="K404" s="191"/>
      <c r="L404" s="191"/>
      <c r="M404" s="191"/>
      <c r="N404" s="191"/>
      <c r="O404" s="191"/>
      <c r="P404" s="141"/>
      <c r="Q404" s="141"/>
      <c r="R404" s="141"/>
      <c r="S404" s="141"/>
      <c r="T404" s="236"/>
      <c r="U404" s="236"/>
      <c r="V404" s="236"/>
      <c r="W404" s="236"/>
      <c r="X404" s="236">
        <f t="shared" ref="X404:AC404" si="317">X621/X617</f>
        <v>0.70590725178960478</v>
      </c>
      <c r="Y404" s="236">
        <f t="shared" si="317"/>
        <v>0.63027275547459771</v>
      </c>
      <c r="Z404" s="236">
        <f t="shared" si="317"/>
        <v>0.61211837580321182</v>
      </c>
      <c r="AA404" s="236">
        <f t="shared" si="317"/>
        <v>0.56103963861628081</v>
      </c>
      <c r="AB404" s="236">
        <f t="shared" si="317"/>
        <v>0.64439363830926866</v>
      </c>
      <c r="AC404" s="236">
        <f t="shared" si="317"/>
        <v>0.68203833011439607</v>
      </c>
    </row>
    <row r="405" spans="1:40" s="122" customFormat="1" outlineLevel="1">
      <c r="A405" s="230"/>
      <c r="B405" s="230"/>
      <c r="E405" s="327" t="s">
        <v>669</v>
      </c>
      <c r="H405" s="231"/>
      <c r="I405" s="231"/>
      <c r="J405" s="231"/>
      <c r="K405" s="231"/>
      <c r="L405" s="231"/>
      <c r="M405" s="231"/>
      <c r="N405" s="231"/>
      <c r="O405" s="231"/>
      <c r="P405" s="284"/>
      <c r="Q405" s="284"/>
      <c r="R405" s="284"/>
      <c r="S405" s="284"/>
      <c r="T405" s="236"/>
      <c r="U405" s="236"/>
      <c r="V405" s="236"/>
      <c r="W405" s="236"/>
      <c r="X405" s="236">
        <f t="shared" ref="X405:AN405" si="318">X10/X7</f>
        <v>0.45026806321220519</v>
      </c>
      <c r="Y405" s="236">
        <f t="shared" si="318"/>
        <v>0.45523713803699267</v>
      </c>
      <c r="Z405" s="236">
        <f t="shared" si="318"/>
        <v>0.44935798291414519</v>
      </c>
      <c r="AA405" s="236">
        <f t="shared" si="318"/>
        <v>0.51335542223244202</v>
      </c>
      <c r="AB405" s="236">
        <f t="shared" si="318"/>
        <v>0.46134218285663908</v>
      </c>
      <c r="AC405" s="236">
        <f t="shared" si="318"/>
        <v>0.45170354312595784</v>
      </c>
      <c r="AD405" s="236">
        <f t="shared" si="318"/>
        <v>0.43043393083363651</v>
      </c>
      <c r="AE405" s="236">
        <f t="shared" si="318"/>
        <v>0.41422614801563956</v>
      </c>
      <c r="AF405" s="236">
        <f t="shared" si="318"/>
        <v>0.40094952073723988</v>
      </c>
      <c r="AG405" s="236">
        <f t="shared" si="318"/>
        <v>0.38494952073723987</v>
      </c>
      <c r="AH405" s="236">
        <f t="shared" si="318"/>
        <v>0.36694952073723985</v>
      </c>
      <c r="AI405" s="236">
        <f t="shared" si="318"/>
        <v>0.34694952073723984</v>
      </c>
      <c r="AJ405" s="236">
        <f t="shared" si="318"/>
        <v>0.32694952073723982</v>
      </c>
      <c r="AK405" s="236">
        <f t="shared" si="318"/>
        <v>0.3069495207372398</v>
      </c>
      <c r="AL405" s="236">
        <f t="shared" si="318"/>
        <v>0.29194952073723979</v>
      </c>
      <c r="AM405" s="236">
        <f t="shared" si="318"/>
        <v>0.28194952073723978</v>
      </c>
      <c r="AN405" s="236">
        <f t="shared" si="318"/>
        <v>0.27194952073723977</v>
      </c>
    </row>
    <row r="406" spans="1:40" s="33" customFormat="1" outlineLevel="1">
      <c r="A406" s="192"/>
      <c r="B406" s="192"/>
      <c r="H406" s="191"/>
      <c r="I406" s="191"/>
      <c r="J406" s="191"/>
      <c r="K406" s="191"/>
      <c r="L406" s="191"/>
      <c r="M406" s="191"/>
      <c r="N406" s="191"/>
      <c r="O406" s="191"/>
      <c r="P406" s="141"/>
      <c r="Q406" s="141"/>
      <c r="R406" s="141"/>
      <c r="S406" s="141"/>
      <c r="T406" s="141"/>
      <c r="U406" s="141"/>
      <c r="V406" s="141"/>
      <c r="W406" s="141"/>
      <c r="X406" s="141"/>
      <c r="Y406" s="141"/>
      <c r="Z406" s="141"/>
      <c r="AA406" s="141"/>
      <c r="AB406" s="141"/>
      <c r="AC406" s="141"/>
    </row>
    <row r="407" spans="1:40" s="33" customFormat="1" outlineLevel="1">
      <c r="A407" s="192"/>
      <c r="B407" s="192"/>
      <c r="E407" s="123" t="s">
        <v>671</v>
      </c>
      <c r="H407" s="191"/>
      <c r="I407" s="191"/>
      <c r="J407" s="191"/>
      <c r="K407" s="191"/>
      <c r="L407" s="191"/>
      <c r="M407" s="191"/>
      <c r="N407" s="191"/>
      <c r="O407" s="191"/>
      <c r="P407" s="141"/>
      <c r="Q407" s="141"/>
      <c r="R407" s="141"/>
      <c r="S407" s="141"/>
      <c r="T407" s="236">
        <f t="shared" ref="T407:AB407" si="319">(T422)/T419</f>
        <v>5.4400933951600755E-2</v>
      </c>
      <c r="U407" s="236">
        <f>(U422)/U419</f>
        <v>5.9495336271374634E-2</v>
      </c>
      <c r="V407" s="236">
        <f t="shared" si="319"/>
        <v>6.3795335138608703E-2</v>
      </c>
      <c r="W407" s="236">
        <f t="shared" si="319"/>
        <v>6.7619802607388216E-2</v>
      </c>
      <c r="X407" s="236">
        <f t="shared" si="319"/>
        <v>7.1392187694315282E-2</v>
      </c>
      <c r="Y407" s="236">
        <f t="shared" si="319"/>
        <v>8.9365557334468979E-2</v>
      </c>
      <c r="Z407" s="236">
        <f t="shared" si="319"/>
        <v>9.0686077671033122E-2</v>
      </c>
      <c r="AA407" s="236">
        <f t="shared" si="319"/>
        <v>9.0324669781799038E-2</v>
      </c>
      <c r="AB407" s="236">
        <f t="shared" si="319"/>
        <v>8.420964751798618E-2</v>
      </c>
      <c r="AC407" s="236">
        <f>(AC422)/AC419</f>
        <v>9.689407472445434E-2</v>
      </c>
    </row>
    <row r="408" spans="1:40" s="33" customFormat="1" outlineLevel="1">
      <c r="A408" s="192"/>
      <c r="B408" s="192"/>
      <c r="E408" s="123" t="s">
        <v>672</v>
      </c>
      <c r="H408" s="191"/>
      <c r="I408" s="191"/>
      <c r="J408" s="191"/>
      <c r="K408" s="191"/>
      <c r="L408" s="191"/>
      <c r="M408" s="191"/>
      <c r="N408" s="191"/>
      <c r="O408" s="191"/>
      <c r="P408" s="141"/>
      <c r="Q408" s="141"/>
      <c r="R408" s="141"/>
      <c r="S408" s="141"/>
      <c r="T408" s="236"/>
      <c r="U408" s="236"/>
      <c r="V408" s="236"/>
      <c r="W408" s="236"/>
      <c r="X408" s="236"/>
      <c r="Y408" s="236">
        <f>(Y512)/Y509</f>
        <v>0.26270448045757866</v>
      </c>
      <c r="Z408" s="236">
        <f>(Z512)/Z509</f>
        <v>0.22556255750088203</v>
      </c>
      <c r="AA408" s="236">
        <f>(AA512)/AA509</f>
        <v>0.2178215821452445</v>
      </c>
      <c r="AB408" s="236">
        <f>(AB512)/AB509</f>
        <v>0.23124548773695822</v>
      </c>
      <c r="AC408" s="236">
        <f>(AC512)/AC509</f>
        <v>0.32203567296023478</v>
      </c>
    </row>
    <row r="409" spans="1:40" s="33" customFormat="1" outlineLevel="1">
      <c r="A409" s="192"/>
      <c r="B409" s="192"/>
      <c r="E409" s="123" t="s">
        <v>673</v>
      </c>
      <c r="H409" s="191"/>
      <c r="I409" s="191"/>
      <c r="J409" s="191"/>
      <c r="K409" s="191"/>
      <c r="L409" s="191"/>
      <c r="M409" s="191"/>
      <c r="N409" s="191"/>
      <c r="O409" s="191"/>
      <c r="P409" s="141"/>
      <c r="Q409" s="141"/>
      <c r="R409" s="141"/>
      <c r="S409" s="141"/>
      <c r="T409" s="236">
        <f t="shared" ref="T409:AB409" si="320">(T561)/T558</f>
        <v>0.11197541001797642</v>
      </c>
      <c r="U409" s="236">
        <f t="shared" si="320"/>
        <v>0.12686743583977675</v>
      </c>
      <c r="V409" s="236">
        <f t="shared" si="320"/>
        <v>0.12920700854806205</v>
      </c>
      <c r="W409" s="236">
        <f t="shared" si="320"/>
        <v>0.16392061411720649</v>
      </c>
      <c r="X409" s="236">
        <f t="shared" si="320"/>
        <v>0.14464971408870977</v>
      </c>
      <c r="Y409" s="236">
        <f t="shared" si="320"/>
        <v>0.13745931872423517</v>
      </c>
      <c r="Z409" s="236">
        <f t="shared" si="320"/>
        <v>0.12303878979915164</v>
      </c>
      <c r="AA409" s="236">
        <f t="shared" si="320"/>
        <v>0.11231396473180019</v>
      </c>
      <c r="AB409" s="236">
        <f t="shared" si="320"/>
        <v>9.418142957679175E-2</v>
      </c>
      <c r="AC409" s="236">
        <f>(AC561)/AC558</f>
        <v>9.9568074254468591E-2</v>
      </c>
    </row>
    <row r="410" spans="1:40" s="33" customFormat="1" outlineLevel="1">
      <c r="A410" s="192"/>
      <c r="B410" s="192"/>
      <c r="E410" s="123" t="s">
        <v>674</v>
      </c>
      <c r="H410" s="191"/>
      <c r="I410" s="191"/>
      <c r="J410" s="191"/>
      <c r="K410" s="191"/>
      <c r="L410" s="191"/>
      <c r="M410" s="191"/>
      <c r="N410" s="191"/>
      <c r="O410" s="191"/>
      <c r="P410" s="141"/>
      <c r="Q410" s="141"/>
      <c r="R410" s="141"/>
      <c r="S410" s="141"/>
      <c r="T410" s="236"/>
      <c r="U410" s="236"/>
      <c r="V410" s="236"/>
      <c r="W410" s="236"/>
      <c r="X410" s="236">
        <f t="shared" ref="X410:AC410" si="321">(X620)/X617</f>
        <v>0.24129411764705885</v>
      </c>
      <c r="Y410" s="236">
        <f t="shared" si="321"/>
        <v>0.24868474430665699</v>
      </c>
      <c r="Z410" s="236">
        <f t="shared" si="321"/>
        <v>0.19037118638720327</v>
      </c>
      <c r="AA410" s="236">
        <f t="shared" si="321"/>
        <v>0.18896580987729331</v>
      </c>
      <c r="AB410" s="236">
        <f t="shared" si="321"/>
        <v>0.20443702190512186</v>
      </c>
      <c r="AC410" s="236">
        <f t="shared" si="321"/>
        <v>0.23914812063586388</v>
      </c>
    </row>
    <row r="411" spans="1:40" s="122" customFormat="1" outlineLevel="1">
      <c r="A411" s="230"/>
      <c r="B411" s="230"/>
      <c r="E411" s="327" t="s">
        <v>675</v>
      </c>
      <c r="H411" s="231"/>
      <c r="I411" s="231"/>
      <c r="J411" s="231"/>
      <c r="K411" s="231"/>
      <c r="L411" s="231"/>
      <c r="M411" s="231"/>
      <c r="N411" s="231"/>
      <c r="O411" s="231"/>
      <c r="P411" s="284"/>
      <c r="Q411" s="284"/>
      <c r="R411" s="284"/>
      <c r="S411" s="284"/>
      <c r="T411" s="236"/>
      <c r="U411" s="236"/>
      <c r="V411" s="236"/>
      <c r="W411" s="236"/>
      <c r="X411" s="236">
        <f t="shared" ref="X411:AC411" si="322">SUM(X11)/X7</f>
        <v>0.27504899515073639</v>
      </c>
      <c r="Y411" s="236">
        <f t="shared" si="322"/>
        <v>0.2458534520124587</v>
      </c>
      <c r="Z411" s="236">
        <f t="shared" si="322"/>
        <v>0.27875374985727192</v>
      </c>
      <c r="AA411" s="236">
        <f t="shared" si="322"/>
        <v>0.31194925824501257</v>
      </c>
      <c r="AB411" s="236">
        <f t="shared" si="322"/>
        <v>0.27776638464804121</v>
      </c>
      <c r="AC411" s="236">
        <f t="shared" si="322"/>
        <v>0.2850587118730824</v>
      </c>
      <c r="AD411" s="236">
        <f t="shared" ref="AD411:AN411" si="323">SUM(AD11)/AD7</f>
        <v>0.30295731169800966</v>
      </c>
      <c r="AE411" s="236">
        <f t="shared" si="323"/>
        <v>0.28204358002606578</v>
      </c>
      <c r="AF411" s="236">
        <f t="shared" si="323"/>
        <v>0.26724244634620553</v>
      </c>
      <c r="AG411" s="236">
        <f t="shared" si="323"/>
        <v>0.25524244634620552</v>
      </c>
      <c r="AH411" s="236">
        <f t="shared" si="323"/>
        <v>0.24324244634620548</v>
      </c>
      <c r="AI411" s="236">
        <f t="shared" si="323"/>
        <v>0.23124244634620547</v>
      </c>
      <c r="AJ411" s="236">
        <f t="shared" si="323"/>
        <v>0.21724244634620549</v>
      </c>
      <c r="AK411" s="236">
        <f t="shared" si="323"/>
        <v>0.20324244634620547</v>
      </c>
      <c r="AL411" s="236">
        <f t="shared" si="323"/>
        <v>0.19124244634620546</v>
      </c>
      <c r="AM411" s="236">
        <f t="shared" si="323"/>
        <v>0.18124244634620548</v>
      </c>
      <c r="AN411" s="236">
        <f t="shared" si="323"/>
        <v>0.17324244634620545</v>
      </c>
    </row>
    <row r="412" spans="1:40" s="33" customFormat="1" outlineLevel="1">
      <c r="A412" s="192"/>
      <c r="B412" s="192"/>
      <c r="H412" s="191"/>
      <c r="I412" s="191"/>
      <c r="J412" s="191"/>
      <c r="K412" s="191"/>
      <c r="L412" s="191"/>
      <c r="M412" s="191"/>
      <c r="N412" s="191"/>
      <c r="O412" s="191"/>
      <c r="P412" s="141"/>
      <c r="Q412" s="141"/>
      <c r="R412" s="141"/>
      <c r="S412" s="141"/>
      <c r="T412" s="141"/>
      <c r="U412" s="141"/>
      <c r="V412" s="141"/>
      <c r="W412" s="141"/>
      <c r="X412" s="141"/>
      <c r="Y412" s="141"/>
      <c r="Z412" s="141"/>
      <c r="AA412" s="141"/>
      <c r="AB412" s="141"/>
      <c r="AC412" s="141"/>
    </row>
    <row r="413" spans="1:40" s="33" customFormat="1" outlineLevel="1">
      <c r="A413" s="192"/>
      <c r="B413" s="192"/>
      <c r="H413" s="191"/>
      <c r="I413" s="191"/>
      <c r="J413" s="191"/>
      <c r="K413" s="191"/>
      <c r="L413" s="191"/>
      <c r="M413" s="191"/>
      <c r="N413" s="191"/>
      <c r="O413" s="191"/>
      <c r="P413" s="141"/>
      <c r="Q413" s="141"/>
      <c r="R413" s="141"/>
      <c r="S413" s="141"/>
      <c r="T413" s="141"/>
      <c r="U413" s="141"/>
      <c r="V413" s="141"/>
      <c r="W413" s="141"/>
      <c r="X413" s="141"/>
      <c r="Y413" s="141"/>
      <c r="Z413" s="141"/>
      <c r="AA413" s="141"/>
      <c r="AB413" s="141"/>
      <c r="AC413" s="141"/>
    </row>
    <row r="414" spans="1:40" s="33" customFormat="1">
      <c r="A414" s="192"/>
      <c r="B414" s="192"/>
      <c r="H414" s="191"/>
      <c r="I414" s="191"/>
      <c r="J414" s="191"/>
      <c r="K414" s="191"/>
      <c r="L414" s="191"/>
      <c r="M414" s="191"/>
      <c r="N414" s="191"/>
      <c r="O414" s="191"/>
      <c r="P414" s="141"/>
      <c r="Q414" s="141"/>
      <c r="R414" s="141"/>
      <c r="S414" s="141"/>
      <c r="T414" s="141"/>
      <c r="U414" s="141"/>
      <c r="V414" s="141"/>
      <c r="W414" s="141"/>
      <c r="X414" s="141"/>
      <c r="Y414" s="141"/>
      <c r="Z414" s="141"/>
      <c r="AA414" s="141"/>
      <c r="AB414" s="141"/>
    </row>
    <row r="415" spans="1:40">
      <c r="D415" s="90"/>
      <c r="E415" s="91" t="s">
        <v>451</v>
      </c>
      <c r="F415" s="90"/>
      <c r="G415" s="91" t="s">
        <v>452</v>
      </c>
      <c r="H415" s="90"/>
      <c r="I415" s="90"/>
      <c r="J415" s="90"/>
      <c r="K415" s="90"/>
      <c r="L415" s="90"/>
      <c r="M415" s="90"/>
      <c r="N415" s="90"/>
      <c r="O415" s="90"/>
      <c r="P415" s="90"/>
      <c r="Q415" s="90"/>
      <c r="R415" s="90"/>
      <c r="S415" s="90"/>
      <c r="T415" s="90"/>
      <c r="U415" s="90"/>
      <c r="V415" s="90"/>
      <c r="W415" s="90"/>
      <c r="X415" s="90"/>
      <c r="Y415" s="90"/>
      <c r="Z415" s="90"/>
      <c r="AA415" s="90"/>
      <c r="AB415" s="90"/>
      <c r="AC415" s="90"/>
      <c r="AD415" s="90"/>
      <c r="AE415" s="90"/>
      <c r="AF415" s="90"/>
      <c r="AG415" s="90"/>
      <c r="AH415" s="90"/>
      <c r="AI415" s="90"/>
      <c r="AJ415" s="90"/>
      <c r="AK415" s="90"/>
      <c r="AL415" s="90"/>
      <c r="AM415" s="90"/>
      <c r="AN415" s="90"/>
    </row>
    <row r="416" spans="1:40" s="33" customFormat="1" hidden="1" outlineLevel="1">
      <c r="A416" s="192"/>
      <c r="B416" s="192"/>
      <c r="H416" s="191"/>
      <c r="I416" s="191"/>
      <c r="J416" s="191"/>
      <c r="K416" s="191"/>
      <c r="L416" s="191"/>
      <c r="M416" s="191"/>
      <c r="N416" s="191"/>
      <c r="O416" s="191"/>
      <c r="P416" s="141"/>
      <c r="Q416" s="141"/>
      <c r="R416" s="141"/>
      <c r="S416" s="141"/>
      <c r="T416" s="141"/>
      <c r="U416" s="141"/>
      <c r="V416" s="141"/>
      <c r="W416" s="141"/>
      <c r="X416" s="141"/>
      <c r="Y416" s="141"/>
      <c r="Z416" s="141"/>
      <c r="AA416" s="141"/>
      <c r="AB416" s="141"/>
      <c r="AC416" s="141"/>
    </row>
    <row r="417" spans="1:41" s="33" customFormat="1" hidden="1" outlineLevel="1">
      <c r="A417" s="192"/>
      <c r="B417" s="192"/>
      <c r="E417" s="59" t="s">
        <v>474</v>
      </c>
      <c r="F417" s="52"/>
      <c r="G417" s="52"/>
      <c r="H417" s="177"/>
      <c r="I417" s="177"/>
      <c r="J417" s="177"/>
      <c r="K417" s="177"/>
      <c r="L417" s="177"/>
      <c r="M417" s="177"/>
      <c r="N417" s="177"/>
      <c r="O417" s="177"/>
      <c r="P417" s="177"/>
      <c r="Q417" s="177"/>
      <c r="R417" s="177"/>
      <c r="S417" s="177"/>
      <c r="T417" s="177"/>
      <c r="U417" s="177"/>
      <c r="V417" s="177"/>
      <c r="W417" s="177"/>
      <c r="X417" s="177"/>
      <c r="Y417" s="177"/>
      <c r="Z417" s="177"/>
      <c r="AA417" s="177">
        <v>848.73299999999995</v>
      </c>
      <c r="AB417" s="177">
        <v>1061.6220000000001</v>
      </c>
      <c r="AC417" s="177">
        <v>1334.836</v>
      </c>
    </row>
    <row r="418" spans="1:41" s="33" customFormat="1" hidden="1" outlineLevel="1">
      <c r="A418" s="192"/>
      <c r="B418" s="192"/>
      <c r="E418" s="59" t="s">
        <v>475</v>
      </c>
      <c r="F418" s="52"/>
      <c r="G418" s="52"/>
      <c r="H418" s="177"/>
      <c r="I418" s="177"/>
      <c r="J418" s="177"/>
      <c r="K418" s="177"/>
      <c r="L418" s="177"/>
      <c r="M418" s="177"/>
      <c r="N418" s="177"/>
      <c r="O418" s="177"/>
      <c r="P418" s="177"/>
      <c r="Q418" s="177"/>
      <c r="R418" s="177"/>
      <c r="S418" s="177"/>
      <c r="T418" s="177"/>
      <c r="U418" s="177"/>
      <c r="V418" s="177"/>
      <c r="W418" s="177"/>
      <c r="X418" s="177"/>
      <c r="Y418" s="177"/>
      <c r="Z418" s="177"/>
      <c r="AA418" s="177">
        <v>2044.884</v>
      </c>
      <c r="AB418" s="177">
        <v>2136.527</v>
      </c>
      <c r="AC418" s="177">
        <v>2126.3870000000002</v>
      </c>
    </row>
    <row r="419" spans="1:41" s="33" customFormat="1" hidden="1" outlineLevel="1">
      <c r="A419" s="192"/>
      <c r="B419" s="192"/>
      <c r="E419" s="2" t="s">
        <v>207</v>
      </c>
      <c r="F419" s="157"/>
      <c r="G419" s="157"/>
      <c r="H419" s="219"/>
      <c r="I419" s="219"/>
      <c r="J419" s="219"/>
      <c r="K419" s="219"/>
      <c r="L419" s="219"/>
      <c r="M419" s="219"/>
      <c r="N419" s="219"/>
      <c r="O419" s="219">
        <f t="shared" ref="O419:Y419" si="324">O441</f>
        <v>636.40599999999995</v>
      </c>
      <c r="P419" s="219">
        <f t="shared" si="324"/>
        <v>790.92399999999998</v>
      </c>
      <c r="Q419" s="219">
        <f t="shared" si="324"/>
        <v>859.47300000000007</v>
      </c>
      <c r="R419" s="219">
        <f t="shared" si="324"/>
        <v>1023.586</v>
      </c>
      <c r="S419" s="219">
        <f t="shared" si="324"/>
        <v>1158.538</v>
      </c>
      <c r="T419" s="219">
        <f t="shared" si="324"/>
        <v>1373.9469999999999</v>
      </c>
      <c r="U419" s="219">
        <f t="shared" si="324"/>
        <v>1577.922</v>
      </c>
      <c r="V419" s="219">
        <f t="shared" si="324"/>
        <v>1963.8739999999998</v>
      </c>
      <c r="W419" s="219">
        <f t="shared" si="324"/>
        <v>2197.4479999999999</v>
      </c>
      <c r="X419" s="219">
        <f t="shared" si="324"/>
        <v>2347.9880000000003</v>
      </c>
      <c r="Y419" s="219">
        <f t="shared" si="324"/>
        <v>2489.0349999999999</v>
      </c>
      <c r="Z419" s="219">
        <f>Z441</f>
        <v>2714.4740000000002</v>
      </c>
      <c r="AA419" s="139">
        <f>SUM(AA417:AA418)</f>
        <v>2893.6170000000002</v>
      </c>
      <c r="AB419" s="139">
        <f>SUM(AB417:AB418)</f>
        <v>3198.1490000000003</v>
      </c>
      <c r="AC419" s="139">
        <f>SUM(AC417:AC418)</f>
        <v>3461.223</v>
      </c>
    </row>
    <row r="420" spans="1:41" s="33" customFormat="1" hidden="1" outlineLevel="1">
      <c r="A420" s="192"/>
      <c r="B420" s="192"/>
      <c r="E420" s="59" t="s">
        <v>463</v>
      </c>
      <c r="H420" s="78"/>
      <c r="I420" s="78"/>
      <c r="J420" s="78"/>
      <c r="K420" s="78"/>
      <c r="L420" s="78"/>
      <c r="M420" s="78"/>
      <c r="N420" s="78"/>
      <c r="O420" s="78"/>
      <c r="P420" s="78"/>
      <c r="Q420" s="78"/>
      <c r="R420" s="78"/>
      <c r="S420" s="78"/>
      <c r="T420" s="78">
        <f t="shared" ref="T420:AB420" si="325">T454-SUM(T452:T453)</f>
        <v>374.14100000000008</v>
      </c>
      <c r="U420" s="78">
        <f t="shared" si="325"/>
        <v>382.89300000000003</v>
      </c>
      <c r="V420" s="78">
        <f t="shared" si="325"/>
        <v>445.57899999999995</v>
      </c>
      <c r="W420" s="78">
        <f t="shared" si="325"/>
        <v>519.76099999999985</v>
      </c>
      <c r="X420" s="78">
        <f t="shared" si="325"/>
        <v>580.08500000000015</v>
      </c>
      <c r="Y420" s="78">
        <f t="shared" si="325"/>
        <v>626.91899999999987</v>
      </c>
      <c r="Z420" s="78">
        <f t="shared" si="325"/>
        <v>656.16300000000001</v>
      </c>
      <c r="AA420" s="78">
        <f t="shared" si="325"/>
        <v>693.24700000000007</v>
      </c>
      <c r="AB420" s="78">
        <f t="shared" si="325"/>
        <v>807.22900000000004</v>
      </c>
      <c r="AC420" s="78">
        <f>AC454-SUM(AC452:AC453)</f>
        <v>878.40599999999995</v>
      </c>
    </row>
    <row r="421" spans="1:41" s="33" customFormat="1" hidden="1" outlineLevel="1">
      <c r="A421" s="192"/>
      <c r="B421" s="192"/>
      <c r="E421" s="2" t="s">
        <v>212</v>
      </c>
      <c r="F421" s="157"/>
      <c r="G421" s="157"/>
      <c r="H421" s="139"/>
      <c r="I421" s="139"/>
      <c r="J421" s="139"/>
      <c r="K421" s="139"/>
      <c r="L421" s="139"/>
      <c r="M421" s="139"/>
      <c r="N421" s="139"/>
      <c r="O421" s="139"/>
      <c r="P421" s="139"/>
      <c r="Q421" s="139"/>
      <c r="R421" s="139"/>
      <c r="S421" s="139"/>
      <c r="T421" s="139">
        <f t="shared" ref="T421:AA421" si="326">T419-T420</f>
        <v>999.80599999999981</v>
      </c>
      <c r="U421" s="139">
        <f t="shared" si="326"/>
        <v>1195.029</v>
      </c>
      <c r="V421" s="139">
        <f t="shared" si="326"/>
        <v>1518.2949999999998</v>
      </c>
      <c r="W421" s="139">
        <f t="shared" si="326"/>
        <v>1677.6869999999999</v>
      </c>
      <c r="X421" s="139">
        <f t="shared" si="326"/>
        <v>1767.9030000000002</v>
      </c>
      <c r="Y421" s="139">
        <f t="shared" si="326"/>
        <v>1862.116</v>
      </c>
      <c r="Z421" s="139">
        <f t="shared" si="326"/>
        <v>2058.3110000000001</v>
      </c>
      <c r="AA421" s="139">
        <f t="shared" si="326"/>
        <v>2200.37</v>
      </c>
      <c r="AB421" s="139">
        <f>AB419-AB420</f>
        <v>2390.92</v>
      </c>
      <c r="AC421" s="139">
        <f>AC419-AC420</f>
        <v>2582.817</v>
      </c>
    </row>
    <row r="422" spans="1:41" s="33" customFormat="1" hidden="1" outlineLevel="1">
      <c r="A422" s="192"/>
      <c r="B422" s="192"/>
      <c r="E422" s="59" t="s">
        <v>329</v>
      </c>
      <c r="F422" s="52"/>
      <c r="G422" s="52"/>
      <c r="H422" s="177"/>
      <c r="I422" s="177"/>
      <c r="J422" s="177"/>
      <c r="K422" s="177"/>
      <c r="L422" s="177"/>
      <c r="M422" s="177"/>
      <c r="N422" s="177"/>
      <c r="O422" s="177"/>
      <c r="P422" s="177"/>
      <c r="Q422" s="177"/>
      <c r="R422" s="177"/>
      <c r="S422" s="177"/>
      <c r="T422" s="177">
        <v>74.744</v>
      </c>
      <c r="U422" s="177">
        <v>93.879000000000005</v>
      </c>
      <c r="V422" s="177">
        <v>125.286</v>
      </c>
      <c r="W422" s="177">
        <v>148.59100000000001</v>
      </c>
      <c r="X422" s="177">
        <v>167.62799999999999</v>
      </c>
      <c r="Y422" s="177">
        <v>222.434</v>
      </c>
      <c r="Z422" s="177">
        <v>246.16499999999999</v>
      </c>
      <c r="AA422" s="177">
        <v>261.36500000000001</v>
      </c>
      <c r="AB422" s="177">
        <v>269.315</v>
      </c>
      <c r="AC422" s="177">
        <v>335.37200000000001</v>
      </c>
    </row>
    <row r="423" spans="1:41" s="33" customFormat="1" hidden="1" outlineLevel="1">
      <c r="A423" s="192"/>
      <c r="B423" s="192"/>
      <c r="E423" s="59" t="s">
        <v>330</v>
      </c>
      <c r="H423" s="177"/>
      <c r="I423" s="177"/>
      <c r="J423" s="177"/>
      <c r="K423" s="177"/>
      <c r="L423" s="177"/>
      <c r="M423" s="177"/>
      <c r="N423" s="177"/>
      <c r="O423" s="177"/>
      <c r="P423" s="177"/>
      <c r="Q423" s="177"/>
      <c r="R423" s="177"/>
      <c r="S423" s="177"/>
      <c r="T423" s="177">
        <v>223.34800000000001</v>
      </c>
      <c r="U423" s="177">
        <v>280.38</v>
      </c>
      <c r="V423" s="177">
        <v>379.03500000000003</v>
      </c>
      <c r="W423" s="177">
        <v>440.988</v>
      </c>
      <c r="X423" s="177">
        <v>427.88499999999999</v>
      </c>
      <c r="Y423" s="177">
        <v>481.52199999999999</v>
      </c>
      <c r="Z423" s="177">
        <v>517.35299999999995</v>
      </c>
      <c r="AA423" s="177">
        <v>523.88300000000004</v>
      </c>
      <c r="AB423" s="177">
        <v>510.40499999999997</v>
      </c>
      <c r="AC423" s="177">
        <v>461.96699999999998</v>
      </c>
    </row>
    <row r="424" spans="1:41" s="33" customFormat="1" hidden="1" outlineLevel="1">
      <c r="A424" s="192"/>
      <c r="B424" s="192"/>
      <c r="E424" s="123" t="s">
        <v>387</v>
      </c>
      <c r="H424" s="77"/>
      <c r="I424" s="77"/>
      <c r="J424" s="77"/>
      <c r="K424" s="77"/>
      <c r="L424" s="77"/>
      <c r="M424" s="77"/>
      <c r="N424" s="77"/>
      <c r="O424" s="77"/>
      <c r="P424" s="77"/>
      <c r="Q424" s="77"/>
      <c r="R424" s="77"/>
      <c r="S424" s="77"/>
      <c r="T424" s="77">
        <f t="shared" ref="T424:AA424" si="327">T462</f>
        <v>190.08199999999999</v>
      </c>
      <c r="U424" s="77">
        <f t="shared" si="327"/>
        <v>228.22699999999998</v>
      </c>
      <c r="V424" s="77">
        <f t="shared" si="327"/>
        <v>285.79200000000003</v>
      </c>
      <c r="W424" s="77">
        <f t="shared" si="327"/>
        <v>333.70299999999997</v>
      </c>
      <c r="X424" s="77">
        <f t="shared" si="327"/>
        <v>374.13600000000008</v>
      </c>
      <c r="Y424" s="77">
        <f t="shared" si="327"/>
        <v>433.03699999999998</v>
      </c>
      <c r="Z424" s="77">
        <f t="shared" si="327"/>
        <v>494.053</v>
      </c>
      <c r="AA424" s="77">
        <f t="shared" si="327"/>
        <v>437.50599999999997</v>
      </c>
      <c r="AB424" s="77">
        <f>AB462</f>
        <v>465.02600000000007</v>
      </c>
      <c r="AC424" s="77">
        <f>AC462</f>
        <v>471.09000000000003</v>
      </c>
    </row>
    <row r="425" spans="1:41" s="33" customFormat="1" hidden="1" outlineLevel="1">
      <c r="A425" s="192"/>
      <c r="B425" s="192"/>
      <c r="E425" s="123" t="s">
        <v>217</v>
      </c>
      <c r="H425" s="217"/>
      <c r="I425" s="217"/>
      <c r="J425" s="217"/>
      <c r="K425" s="217"/>
      <c r="L425" s="217"/>
      <c r="M425" s="217"/>
      <c r="N425" s="217"/>
      <c r="O425" s="217"/>
      <c r="P425" s="77"/>
      <c r="Q425" s="77"/>
      <c r="R425" s="77"/>
      <c r="S425" s="77"/>
      <c r="T425" s="77">
        <f t="shared" ref="T425:AA425" si="328">SUM(T452:T453,T461,T465)</f>
        <v>196.739</v>
      </c>
      <c r="U425" s="77">
        <f t="shared" si="328"/>
        <v>176.732</v>
      </c>
      <c r="V425" s="77">
        <f t="shared" si="328"/>
        <v>237.47399999999999</v>
      </c>
      <c r="W425" s="77">
        <f t="shared" si="328"/>
        <v>287.488</v>
      </c>
      <c r="X425" s="77">
        <f t="shared" si="328"/>
        <v>321.44299999999998</v>
      </c>
      <c r="Y425" s="77">
        <f t="shared" si="328"/>
        <v>355.95</v>
      </c>
      <c r="Z425" s="77">
        <f t="shared" si="328"/>
        <v>410.64699999999999</v>
      </c>
      <c r="AA425" s="77">
        <f t="shared" si="328"/>
        <v>411.54500000000002</v>
      </c>
      <c r="AB425" s="77">
        <f>SUM(AB452:AB453,AB461,AB465)</f>
        <v>450.35399999999993</v>
      </c>
      <c r="AC425" s="77">
        <f>SUM(AC452:AC453,AC461,AC465)</f>
        <v>520.50299999999993</v>
      </c>
    </row>
    <row r="426" spans="1:41" s="33" customFormat="1" hidden="1" outlineLevel="1">
      <c r="A426" s="192"/>
      <c r="B426" s="192"/>
      <c r="E426" s="123" t="s">
        <v>123</v>
      </c>
      <c r="H426" s="177"/>
      <c r="I426" s="177"/>
      <c r="J426" s="177"/>
      <c r="K426" s="177"/>
      <c r="L426" s="177"/>
      <c r="M426" s="177"/>
      <c r="N426" s="177"/>
      <c r="O426" s="177"/>
      <c r="P426" s="177"/>
      <c r="Q426" s="177"/>
      <c r="R426" s="177"/>
      <c r="S426" s="177"/>
      <c r="T426" s="177">
        <f>+T421-SUM(T422:T425)-314.487</f>
        <v>0.40599999999977854</v>
      </c>
      <c r="U426" s="177">
        <f>+U421-SUM(U422:U425)-413.968</f>
        <v>1.8430000000000177</v>
      </c>
      <c r="V426" s="177">
        <f>+V421-SUM(V422:V425)-489.519</f>
        <v>1.1889999999998508</v>
      </c>
      <c r="W426" s="177">
        <f>+W421-SUM(W422:W425)-466.15</f>
        <v>0.76699999999993906</v>
      </c>
      <c r="X426" s="177">
        <f>+X421-SUM(X422:X425)-466.51</f>
        <v>10.301000000000158</v>
      </c>
      <c r="Y426" s="177">
        <f>+Y421-SUM(Y422:Y425)-314.289</f>
        <v>54.884000000000015</v>
      </c>
      <c r="Z426" s="177">
        <f>+Z421-SUM(Z422:Z425)-362.499</f>
        <v>27.594000000000278</v>
      </c>
      <c r="AA426" s="177">
        <f>+AA421-SUM(AA422:AA425)-548.918</f>
        <v>17.152999999999906</v>
      </c>
      <c r="AB426" s="177">
        <f>+AB421-SUM(AB422:AB425)-658.534</f>
        <v>37.286000000000172</v>
      </c>
      <c r="AC426" s="177">
        <f>+AC421-SUM(AC422:AC425)-783.148</f>
        <v>10.736999999999966</v>
      </c>
    </row>
    <row r="427" spans="1:41" s="33" customFormat="1" hidden="1" outlineLevel="1">
      <c r="A427" s="192"/>
      <c r="B427" s="192"/>
      <c r="E427" s="2" t="s">
        <v>206</v>
      </c>
      <c r="F427" s="157"/>
      <c r="G427" s="157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>
        <f t="shared" ref="T427:AA427" si="329">T421-SUM(T422:T426)</f>
        <v>314.48700000000008</v>
      </c>
      <c r="U427" s="139">
        <f t="shared" si="329"/>
        <v>413.96800000000007</v>
      </c>
      <c r="V427" s="139">
        <f t="shared" si="329"/>
        <v>489.51900000000001</v>
      </c>
      <c r="W427" s="139">
        <f t="shared" si="329"/>
        <v>466.15000000000009</v>
      </c>
      <c r="X427" s="139">
        <f t="shared" si="329"/>
        <v>466.51</v>
      </c>
      <c r="Y427" s="139">
        <f t="shared" si="329"/>
        <v>314.28899999999999</v>
      </c>
      <c r="Z427" s="139">
        <f t="shared" si="329"/>
        <v>362.49900000000002</v>
      </c>
      <c r="AA427" s="139">
        <f t="shared" si="329"/>
        <v>548.91800000000012</v>
      </c>
      <c r="AB427" s="139">
        <f>AB421-SUM(AB422:AB426)</f>
        <v>658.53400000000011</v>
      </c>
      <c r="AC427" s="139">
        <f>AC421-SUM(AC422:AC426)</f>
        <v>783.14800000000014</v>
      </c>
    </row>
    <row r="428" spans="1:41" s="33" customFormat="1" hidden="1" outlineLevel="1">
      <c r="A428" s="192"/>
      <c r="B428" s="192"/>
      <c r="H428" s="191"/>
      <c r="I428" s="191"/>
      <c r="J428" s="191"/>
      <c r="K428" s="191"/>
      <c r="L428" s="191"/>
      <c r="M428" s="191"/>
      <c r="N428" s="191"/>
      <c r="O428" s="191"/>
      <c r="P428" s="141"/>
      <c r="Q428" s="141"/>
      <c r="R428" s="141"/>
      <c r="S428" s="141"/>
      <c r="T428" s="141"/>
      <c r="U428" s="141"/>
      <c r="V428" s="141"/>
      <c r="W428" s="141"/>
      <c r="X428" s="141"/>
      <c r="Y428" s="141"/>
      <c r="Z428" s="141"/>
      <c r="AA428" s="141"/>
      <c r="AB428" s="141"/>
    </row>
    <row r="429" spans="1:41" hidden="1" outlineLevel="1">
      <c r="E429" s="69" t="s">
        <v>480</v>
      </c>
      <c r="F429" s="52"/>
      <c r="G429" s="52"/>
      <c r="H429" s="187"/>
      <c r="I429" s="187"/>
      <c r="J429" s="187"/>
      <c r="K429" s="187"/>
      <c r="L429" s="187"/>
      <c r="M429" s="187"/>
      <c r="N429" s="187"/>
      <c r="O429" s="187"/>
      <c r="P429" s="187">
        <f t="shared" ref="P429:AB429" si="330">IFERROR(P419/O419-1,"na")</f>
        <v>0.24279783660116339</v>
      </c>
      <c r="Q429" s="187">
        <f t="shared" si="330"/>
        <v>8.6669515655107388E-2</v>
      </c>
      <c r="R429" s="187">
        <f t="shared" si="330"/>
        <v>0.19094607974886935</v>
      </c>
      <c r="S429" s="187">
        <f t="shared" si="330"/>
        <v>0.13184236595654886</v>
      </c>
      <c r="T429" s="187">
        <f t="shared" si="330"/>
        <v>0.18593175191491329</v>
      </c>
      <c r="U429" s="187">
        <f t="shared" si="330"/>
        <v>0.14845914725968345</v>
      </c>
      <c r="V429" s="187">
        <f t="shared" si="330"/>
        <v>0.24459510672897622</v>
      </c>
      <c r="W429" s="187">
        <f t="shared" si="330"/>
        <v>0.11893532884492597</v>
      </c>
      <c r="X429" s="187">
        <f t="shared" si="330"/>
        <v>6.8506740546306677E-2</v>
      </c>
      <c r="Y429" s="187">
        <f t="shared" si="330"/>
        <v>6.007143137017712E-2</v>
      </c>
      <c r="Z429" s="187">
        <f t="shared" si="330"/>
        <v>9.0572852531201953E-2</v>
      </c>
      <c r="AA429" s="187">
        <f t="shared" si="330"/>
        <v>6.599547462970734E-2</v>
      </c>
      <c r="AB429" s="187">
        <f t="shared" si="330"/>
        <v>0.10524267724443148</v>
      </c>
      <c r="AC429" s="187">
        <f>IFERROR(AC419/AB419-1,"na")</f>
        <v>8.2258206231166753E-2</v>
      </c>
      <c r="AD429" s="151"/>
      <c r="AE429" s="151"/>
      <c r="AF429" s="151"/>
      <c r="AG429" s="151"/>
      <c r="AH429" s="151"/>
      <c r="AI429" s="151"/>
      <c r="AJ429" s="151"/>
      <c r="AK429" s="151"/>
      <c r="AL429" s="151"/>
      <c r="AM429" s="151"/>
      <c r="AN429" s="151"/>
      <c r="AO429" s="7"/>
    </row>
    <row r="430" spans="1:41" hidden="1" outlineLevel="1">
      <c r="E430" s="69" t="s">
        <v>148</v>
      </c>
      <c r="F430" s="52"/>
      <c r="G430" s="52"/>
      <c r="H430" s="187"/>
      <c r="I430" s="187"/>
      <c r="J430" s="187"/>
      <c r="K430" s="187"/>
      <c r="L430" s="187"/>
      <c r="M430" s="187"/>
      <c r="N430" s="187"/>
      <c r="O430" s="187"/>
      <c r="P430" s="187"/>
      <c r="Q430" s="187"/>
      <c r="R430" s="187"/>
      <c r="S430" s="187"/>
      <c r="T430" s="187">
        <f t="shared" ref="T430:AB430" si="331">IFERROR(T421/T419,"na")</f>
        <v>0.72768891376450462</v>
      </c>
      <c r="U430" s="187">
        <f t="shared" si="331"/>
        <v>0.75734351888116136</v>
      </c>
      <c r="V430" s="187">
        <f t="shared" si="331"/>
        <v>0.7731122261407809</v>
      </c>
      <c r="W430" s="187">
        <f t="shared" si="331"/>
        <v>0.76347062592607429</v>
      </c>
      <c r="X430" s="187">
        <f t="shared" si="331"/>
        <v>0.75294379698703739</v>
      </c>
      <c r="Y430" s="187">
        <f t="shared" si="331"/>
        <v>0.74812768803974239</v>
      </c>
      <c r="Z430" s="187">
        <f t="shared" si="331"/>
        <v>0.7582725050967517</v>
      </c>
      <c r="AA430" s="187">
        <f t="shared" si="331"/>
        <v>0.7604219908854557</v>
      </c>
      <c r="AB430" s="187">
        <f t="shared" si="331"/>
        <v>0.74759493694633983</v>
      </c>
      <c r="AC430" s="187">
        <f>IFERROR(AC421/AC419,"na")</f>
        <v>0.74621513840628007</v>
      </c>
      <c r="AD430" s="151"/>
      <c r="AE430" s="151"/>
      <c r="AF430" s="151"/>
      <c r="AG430" s="151"/>
      <c r="AH430" s="151"/>
      <c r="AI430" s="151"/>
      <c r="AJ430" s="151"/>
      <c r="AK430" s="151"/>
      <c r="AL430" s="151"/>
      <c r="AM430" s="151"/>
      <c r="AN430" s="151"/>
      <c r="AO430" s="7"/>
    </row>
    <row r="431" spans="1:41" hidden="1" outlineLevel="1">
      <c r="E431" s="69" t="s">
        <v>469</v>
      </c>
      <c r="F431" s="52"/>
      <c r="G431" s="52"/>
      <c r="H431" s="187"/>
      <c r="I431" s="187"/>
      <c r="J431" s="187"/>
      <c r="K431" s="187"/>
      <c r="L431" s="187"/>
      <c r="M431" s="187"/>
      <c r="N431" s="187"/>
      <c r="O431" s="187"/>
      <c r="P431" s="187"/>
      <c r="Q431" s="187"/>
      <c r="R431" s="187"/>
      <c r="S431" s="187"/>
      <c r="T431" s="187">
        <f t="shared" ref="T431:AB431" si="332">IFERROR((T427+SUM(T425:T426))/T419,"na")</f>
        <v>0.37238117627535844</v>
      </c>
      <c r="U431" s="187">
        <f t="shared" si="332"/>
        <v>0.37552109673355216</v>
      </c>
      <c r="V431" s="187">
        <f t="shared" si="332"/>
        <v>0.37078855364448016</v>
      </c>
      <c r="W431" s="187">
        <f t="shared" si="332"/>
        <v>0.34330960277558331</v>
      </c>
      <c r="X431" s="187">
        <f t="shared" si="332"/>
        <v>0.33997362848532447</v>
      </c>
      <c r="Y431" s="187">
        <f t="shared" si="332"/>
        <v>0.29132696004676517</v>
      </c>
      <c r="Z431" s="187">
        <f t="shared" si="332"/>
        <v>0.29498901076230616</v>
      </c>
      <c r="AA431" s="187">
        <f t="shared" si="332"/>
        <v>0.3378525907195043</v>
      </c>
      <c r="AB431" s="187">
        <f t="shared" si="332"/>
        <v>0.35838667929480461</v>
      </c>
      <c r="AC431" s="187">
        <f>IFERROR((AC427+SUM(AC425:AC426))/AC419,"na")</f>
        <v>0.37974669647116061</v>
      </c>
      <c r="AD431" s="151"/>
      <c r="AE431" s="151"/>
      <c r="AF431" s="151"/>
      <c r="AG431" s="151"/>
      <c r="AH431" s="151"/>
      <c r="AI431" s="151"/>
      <c r="AJ431" s="151"/>
      <c r="AK431" s="151"/>
      <c r="AL431" s="151"/>
      <c r="AM431" s="151"/>
      <c r="AN431" s="151"/>
      <c r="AO431" s="7"/>
    </row>
    <row r="432" spans="1:41" s="33" customFormat="1" hidden="1" outlineLevel="1">
      <c r="A432" s="192"/>
      <c r="B432" s="192"/>
      <c r="E432" s="218" t="s">
        <v>470</v>
      </c>
      <c r="H432" s="187"/>
      <c r="I432" s="187"/>
      <c r="J432" s="187"/>
      <c r="K432" s="187"/>
      <c r="L432" s="187"/>
      <c r="M432" s="187"/>
      <c r="N432" s="187"/>
      <c r="O432" s="187"/>
      <c r="P432" s="187"/>
      <c r="Q432" s="187"/>
      <c r="R432" s="187"/>
      <c r="S432" s="187"/>
      <c r="T432" s="187">
        <f t="shared" ref="T432:Y432" si="333">IFERROR(T422/T$419,"na")</f>
        <v>5.4400933951600755E-2</v>
      </c>
      <c r="U432" s="187">
        <f t="shared" si="333"/>
        <v>5.9495336271374634E-2</v>
      </c>
      <c r="V432" s="187">
        <f t="shared" si="333"/>
        <v>6.3795335138608703E-2</v>
      </c>
      <c r="W432" s="187">
        <f t="shared" si="333"/>
        <v>6.7619802607388216E-2</v>
      </c>
      <c r="X432" s="187">
        <f t="shared" si="333"/>
        <v>7.1392187694315282E-2</v>
      </c>
      <c r="Y432" s="187">
        <f t="shared" si="333"/>
        <v>8.9365557334468979E-2</v>
      </c>
      <c r="Z432" s="187">
        <f>IFERROR(Z422/Z$419,"na")</f>
        <v>9.0686077671033122E-2</v>
      </c>
      <c r="AA432" s="187">
        <f>IFERROR(AA422/AA$419,"na")</f>
        <v>9.0324669781799038E-2</v>
      </c>
      <c r="AB432" s="187">
        <f>IFERROR(AB422/AB$419,"na")</f>
        <v>8.420964751798618E-2</v>
      </c>
      <c r="AC432" s="187">
        <f>IFERROR(AC422/AC$419,"na")</f>
        <v>9.689407472445434E-2</v>
      </c>
    </row>
    <row r="433" spans="1:29" s="33" customFormat="1" hidden="1" outlineLevel="1">
      <c r="A433" s="192"/>
      <c r="B433" s="192"/>
      <c r="E433" s="220" t="s">
        <v>484</v>
      </c>
      <c r="H433" s="187"/>
      <c r="I433" s="187"/>
      <c r="J433" s="187"/>
      <c r="K433" s="187"/>
      <c r="L433" s="187"/>
      <c r="M433" s="187"/>
      <c r="N433" s="187"/>
      <c r="O433" s="187"/>
      <c r="P433" s="187"/>
      <c r="Q433" s="187"/>
      <c r="R433" s="187"/>
      <c r="S433" s="187"/>
      <c r="T433" s="187">
        <f t="shared" ref="T433:AB433" si="334">IFERROR((T469+T422)/T419,"na")</f>
        <v>9.3852237386158291E-2</v>
      </c>
      <c r="U433" s="187">
        <f t="shared" si="334"/>
        <v>0.1051940463470311</v>
      </c>
      <c r="V433" s="187">
        <f t="shared" si="334"/>
        <v>0.12055457733031755</v>
      </c>
      <c r="W433" s="187">
        <f t="shared" si="334"/>
        <v>0.12828426429203332</v>
      </c>
      <c r="X433" s="187">
        <f t="shared" si="334"/>
        <v>0.12903302742603451</v>
      </c>
      <c r="Y433" s="187">
        <f t="shared" si="334"/>
        <v>0.15390141159123918</v>
      </c>
      <c r="Z433" s="187">
        <f t="shared" si="334"/>
        <v>0.15999305942882489</v>
      </c>
      <c r="AA433" s="187">
        <f t="shared" si="334"/>
        <v>0.1602751850020234</v>
      </c>
      <c r="AB433" s="187">
        <f t="shared" si="334"/>
        <v>0.15223618411775061</v>
      </c>
      <c r="AC433" s="187">
        <f>IFERROR((AC469+AC422)/AC419,"na")</f>
        <v>0.15937516883483094</v>
      </c>
    </row>
    <row r="434" spans="1:29" s="33" customFormat="1" hidden="1" outlineLevel="1">
      <c r="A434" s="192"/>
      <c r="B434" s="192"/>
      <c r="E434" s="218" t="s">
        <v>471</v>
      </c>
      <c r="H434" s="187"/>
      <c r="I434" s="187"/>
      <c r="J434" s="187"/>
      <c r="K434" s="187"/>
      <c r="L434" s="187"/>
      <c r="M434" s="187"/>
      <c r="N434" s="187"/>
      <c r="O434" s="187"/>
      <c r="P434" s="187"/>
      <c r="Q434" s="187"/>
      <c r="R434" s="187"/>
      <c r="S434" s="187"/>
      <c r="T434" s="187">
        <f t="shared" ref="T434:Y434" si="335">IFERROR(T423/T$419,"na")</f>
        <v>0.16255940003508143</v>
      </c>
      <c r="U434" s="187">
        <f t="shared" si="335"/>
        <v>0.17768939149083415</v>
      </c>
      <c r="V434" s="187">
        <f t="shared" si="335"/>
        <v>0.19300372630830698</v>
      </c>
      <c r="W434" s="187">
        <f t="shared" si="335"/>
        <v>0.20068188189208575</v>
      </c>
      <c r="X434" s="187">
        <f t="shared" si="335"/>
        <v>0.18223474736668158</v>
      </c>
      <c r="Y434" s="187">
        <f t="shared" si="335"/>
        <v>0.1934573037341781</v>
      </c>
      <c r="Z434" s="187">
        <f t="shared" ref="Z434:AC436" si="336">IFERROR(Z423/Z$419,"na")</f>
        <v>0.19059051587895109</v>
      </c>
      <c r="AA434" s="187">
        <f t="shared" si="336"/>
        <v>0.18104780280182209</v>
      </c>
      <c r="AB434" s="187">
        <f t="shared" si="336"/>
        <v>0.15959387758356472</v>
      </c>
      <c r="AC434" s="187">
        <f t="shared" si="336"/>
        <v>0.13346929683525158</v>
      </c>
    </row>
    <row r="435" spans="1:29" s="33" customFormat="1" hidden="1" outlineLevel="1">
      <c r="A435" s="192"/>
      <c r="B435" s="192"/>
      <c r="E435" s="218" t="s">
        <v>472</v>
      </c>
      <c r="H435" s="187"/>
      <c r="I435" s="187"/>
      <c r="J435" s="187"/>
      <c r="K435" s="187"/>
      <c r="L435" s="187"/>
      <c r="M435" s="187"/>
      <c r="N435" s="187"/>
      <c r="O435" s="187"/>
      <c r="P435" s="187"/>
      <c r="Q435" s="187"/>
      <c r="R435" s="187"/>
      <c r="S435" s="187"/>
      <c r="T435" s="187">
        <f t="shared" ref="T435:Y435" si="337">IFERROR(T424/T$419,"na")</f>
        <v>0.13834740350246408</v>
      </c>
      <c r="U435" s="187">
        <f t="shared" si="337"/>
        <v>0.14463769438540053</v>
      </c>
      <c r="V435" s="187">
        <f t="shared" si="337"/>
        <v>0.14552461104938508</v>
      </c>
      <c r="W435" s="187">
        <f t="shared" si="337"/>
        <v>0.151859338651017</v>
      </c>
      <c r="X435" s="187">
        <f t="shared" si="337"/>
        <v>0.15934323344071608</v>
      </c>
      <c r="Y435" s="187">
        <f t="shared" si="337"/>
        <v>0.17397786692433012</v>
      </c>
      <c r="Z435" s="187">
        <f t="shared" si="336"/>
        <v>0.18200690078446136</v>
      </c>
      <c r="AA435" s="187">
        <f t="shared" si="336"/>
        <v>0.15119692758233033</v>
      </c>
      <c r="AB435" s="187">
        <f t="shared" si="336"/>
        <v>0.1454047325499844</v>
      </c>
      <c r="AC435" s="187">
        <f t="shared" si="336"/>
        <v>0.13610507037541356</v>
      </c>
    </row>
    <row r="436" spans="1:29" s="33" customFormat="1" hidden="1" outlineLevel="1">
      <c r="A436" s="192"/>
      <c r="B436" s="192"/>
      <c r="E436" s="218" t="s">
        <v>473</v>
      </c>
      <c r="H436" s="187"/>
      <c r="I436" s="187"/>
      <c r="J436" s="187"/>
      <c r="K436" s="187"/>
      <c r="L436" s="187"/>
      <c r="M436" s="187"/>
      <c r="N436" s="187"/>
      <c r="O436" s="187"/>
      <c r="P436" s="187"/>
      <c r="Q436" s="187"/>
      <c r="R436" s="187"/>
      <c r="S436" s="187"/>
      <c r="T436" s="187">
        <f t="shared" ref="T436:Y436" si="338">IFERROR(T425/T$419,"na")</f>
        <v>0.14319256856341622</v>
      </c>
      <c r="U436" s="187">
        <f t="shared" si="338"/>
        <v>0.11200300141578608</v>
      </c>
      <c r="V436" s="187">
        <f t="shared" si="338"/>
        <v>0.12092119962889677</v>
      </c>
      <c r="W436" s="187">
        <f t="shared" si="338"/>
        <v>0.13082812426050583</v>
      </c>
      <c r="X436" s="187">
        <f t="shared" si="338"/>
        <v>0.13690146627665897</v>
      </c>
      <c r="Y436" s="187">
        <f t="shared" si="338"/>
        <v>0.14300722970950588</v>
      </c>
      <c r="Z436" s="187">
        <f t="shared" si="336"/>
        <v>0.15128050591016895</v>
      </c>
      <c r="AA436" s="187">
        <f t="shared" si="336"/>
        <v>0.14222511133989052</v>
      </c>
      <c r="AB436" s="187">
        <f t="shared" si="336"/>
        <v>0.14081707887906408</v>
      </c>
      <c r="AC436" s="187">
        <f t="shared" si="336"/>
        <v>0.15038123807683004</v>
      </c>
    </row>
    <row r="437" spans="1:29" s="33" customFormat="1" hidden="1" outlineLevel="1">
      <c r="A437" s="192"/>
      <c r="B437" s="192"/>
      <c r="H437" s="191"/>
      <c r="I437" s="191"/>
      <c r="J437" s="191"/>
      <c r="K437" s="191"/>
      <c r="L437" s="191"/>
      <c r="M437" s="191"/>
      <c r="N437" s="191"/>
      <c r="O437" s="191"/>
      <c r="P437" s="141"/>
      <c r="Q437" s="141"/>
      <c r="R437" s="141"/>
      <c r="S437" s="141"/>
      <c r="T437" s="141"/>
      <c r="U437" s="141"/>
      <c r="V437" s="141"/>
      <c r="W437" s="141"/>
      <c r="X437" s="141"/>
      <c r="Y437" s="141"/>
      <c r="Z437" s="141"/>
      <c r="AA437" s="141"/>
      <c r="AB437" s="141"/>
    </row>
    <row r="438" spans="1:29" s="33" customFormat="1" hidden="1" outlineLevel="1">
      <c r="A438" s="192"/>
      <c r="B438" s="192"/>
      <c r="H438" s="191"/>
      <c r="I438" s="191"/>
      <c r="J438" s="191"/>
      <c r="K438" s="191"/>
      <c r="L438" s="191"/>
      <c r="M438" s="191"/>
      <c r="N438" s="191"/>
      <c r="O438" s="191"/>
      <c r="P438" s="141"/>
      <c r="Q438" s="141"/>
      <c r="R438" s="141"/>
      <c r="S438" s="141"/>
      <c r="T438" s="141"/>
      <c r="U438" s="141"/>
      <c r="V438" s="141"/>
      <c r="W438" s="141"/>
      <c r="X438" s="141"/>
      <c r="Y438" s="141"/>
      <c r="Z438" s="141"/>
      <c r="AA438" s="141"/>
      <c r="AB438" s="141"/>
    </row>
    <row r="439" spans="1:29" s="33" customFormat="1" hidden="1" outlineLevel="1">
      <c r="A439" s="192"/>
      <c r="B439" s="192"/>
      <c r="E439" s="59" t="s">
        <v>454</v>
      </c>
      <c r="F439" s="52"/>
      <c r="G439" s="52"/>
      <c r="H439" s="177"/>
      <c r="I439" s="177"/>
      <c r="J439" s="177"/>
      <c r="K439" s="177"/>
      <c r="L439" s="177"/>
      <c r="M439" s="177"/>
      <c r="N439" s="177"/>
      <c r="O439" s="177"/>
      <c r="P439" s="177"/>
      <c r="Q439" s="177"/>
      <c r="R439" s="177"/>
      <c r="S439" s="177"/>
      <c r="T439" s="177"/>
      <c r="U439" s="177"/>
      <c r="V439" s="177">
        <v>824.30200000000002</v>
      </c>
      <c r="W439" s="177">
        <v>968.58399999999995</v>
      </c>
      <c r="X439" s="177">
        <v>1138.492</v>
      </c>
      <c r="Y439" s="177">
        <v>1305.4010000000001</v>
      </c>
      <c r="Z439" s="177">
        <v>1439.7719999999999</v>
      </c>
      <c r="AA439" s="177">
        <v>1556.252</v>
      </c>
      <c r="AB439" s="177">
        <v>1666.3050000000001</v>
      </c>
      <c r="AC439" s="177"/>
    </row>
    <row r="440" spans="1:29" s="33" customFormat="1" hidden="1" outlineLevel="1">
      <c r="A440" s="192"/>
      <c r="B440" s="192"/>
      <c r="E440" s="59" t="s">
        <v>455</v>
      </c>
      <c r="F440" s="52"/>
      <c r="G440" s="52"/>
      <c r="H440" s="177"/>
      <c r="I440" s="177"/>
      <c r="J440" s="177"/>
      <c r="K440" s="177"/>
      <c r="L440" s="177"/>
      <c r="M440" s="177"/>
      <c r="N440" s="177"/>
      <c r="O440" s="177"/>
      <c r="P440" s="177"/>
      <c r="Q440" s="177"/>
      <c r="R440" s="177"/>
      <c r="S440" s="177"/>
      <c r="T440" s="177"/>
      <c r="U440" s="177"/>
      <c r="V440" s="177">
        <f>1109.781+29.791</f>
        <v>1139.5719999999999</v>
      </c>
      <c r="W440" s="177">
        <f>1187.732+41.132</f>
        <v>1228.864</v>
      </c>
      <c r="X440" s="177">
        <v>1209.4960000000001</v>
      </c>
      <c r="Y440" s="177">
        <v>1183.634</v>
      </c>
      <c r="Z440" s="177">
        <v>1274.702</v>
      </c>
      <c r="AA440" s="177">
        <v>1337.365</v>
      </c>
      <c r="AB440" s="177">
        <v>1531.8440000000001</v>
      </c>
      <c r="AC440" s="177"/>
    </row>
    <row r="441" spans="1:29" s="33" customFormat="1" hidden="1" outlineLevel="1">
      <c r="A441" s="192"/>
      <c r="B441" s="192"/>
      <c r="E441" s="2" t="s">
        <v>207</v>
      </c>
      <c r="F441" s="157"/>
      <c r="G441" s="157"/>
      <c r="H441" s="221"/>
      <c r="I441" s="221"/>
      <c r="J441" s="221"/>
      <c r="K441" s="221"/>
      <c r="L441" s="221"/>
      <c r="M441" s="221"/>
      <c r="N441" s="221"/>
      <c r="O441" s="221">
        <v>636.40599999999995</v>
      </c>
      <c r="P441" s="221">
        <v>790.92399999999998</v>
      </c>
      <c r="Q441" s="221">
        <v>859.47300000000007</v>
      </c>
      <c r="R441" s="221">
        <v>1023.586</v>
      </c>
      <c r="S441" s="221">
        <v>1158.538</v>
      </c>
      <c r="T441" s="221">
        <v>1373.9469999999999</v>
      </c>
      <c r="U441" s="221">
        <v>1577.922</v>
      </c>
      <c r="V441" s="139">
        <f t="shared" ref="V441:AC441" si="339">SUM(V439:V440)</f>
        <v>1963.8739999999998</v>
      </c>
      <c r="W441" s="139">
        <f t="shared" si="339"/>
        <v>2197.4479999999999</v>
      </c>
      <c r="X441" s="139">
        <f t="shared" si="339"/>
        <v>2347.9880000000003</v>
      </c>
      <c r="Y441" s="139">
        <f t="shared" si="339"/>
        <v>2489.0349999999999</v>
      </c>
      <c r="Z441" s="139">
        <f t="shared" si="339"/>
        <v>2714.4740000000002</v>
      </c>
      <c r="AA441" s="139">
        <f t="shared" si="339"/>
        <v>2893.6170000000002</v>
      </c>
      <c r="AB441" s="139">
        <f t="shared" si="339"/>
        <v>3198.1490000000003</v>
      </c>
      <c r="AC441" s="139">
        <f t="shared" si="339"/>
        <v>0</v>
      </c>
    </row>
    <row r="442" spans="1:29" s="33" customFormat="1" hidden="1" outlineLevel="1">
      <c r="A442" s="192"/>
      <c r="B442" s="192"/>
      <c r="H442" s="191"/>
      <c r="I442" s="191"/>
      <c r="J442" s="191"/>
      <c r="K442" s="191"/>
      <c r="L442" s="191"/>
      <c r="M442" s="191"/>
      <c r="N442" s="191"/>
      <c r="O442" s="191"/>
      <c r="P442" s="141"/>
      <c r="Q442" s="141"/>
      <c r="R442" s="141"/>
      <c r="S442" s="141"/>
      <c r="T442" s="141"/>
      <c r="U442" s="141"/>
      <c r="V442" s="141"/>
      <c r="W442" s="141"/>
      <c r="X442" s="141"/>
      <c r="Y442" s="141"/>
      <c r="Z442" s="141"/>
      <c r="AA442" s="141"/>
      <c r="AB442" s="141"/>
      <c r="AC442" s="141"/>
    </row>
    <row r="443" spans="1:29" s="33" customFormat="1" hidden="1" outlineLevel="1">
      <c r="A443" s="192"/>
      <c r="B443" s="192"/>
      <c r="E443" s="59" t="s">
        <v>211</v>
      </c>
      <c r="F443" s="52"/>
      <c r="G443" s="52"/>
      <c r="H443" s="177"/>
      <c r="I443" s="177"/>
      <c r="J443" s="177"/>
      <c r="K443" s="177"/>
      <c r="L443" s="177"/>
      <c r="M443" s="177"/>
      <c r="N443" s="177"/>
      <c r="O443" s="177">
        <v>490.03300000000002</v>
      </c>
      <c r="P443" s="177">
        <v>593.19299999999998</v>
      </c>
      <c r="Q443" s="177">
        <v>619.03700000000003</v>
      </c>
      <c r="R443" s="177">
        <v>736.98199999999997</v>
      </c>
      <c r="S443" s="177">
        <v>822.56200000000001</v>
      </c>
      <c r="T443" s="177">
        <v>989.24199999999996</v>
      </c>
      <c r="U443" s="177">
        <v>1119.722</v>
      </c>
      <c r="V443" s="177">
        <v>1431.9739999999999</v>
      </c>
      <c r="W443" s="177">
        <v>1604.492</v>
      </c>
      <c r="X443" s="177">
        <v>1620.021</v>
      </c>
      <c r="Y443" s="177">
        <v>1647.9480000000001</v>
      </c>
      <c r="Z443" s="177">
        <v>1683.2719999999999</v>
      </c>
      <c r="AA443" s="177">
        <v>1694.211</v>
      </c>
      <c r="AB443" s="177">
        <v>1777.4349999999999</v>
      </c>
      <c r="AC443" s="177">
        <v>1837.508</v>
      </c>
    </row>
    <row r="444" spans="1:29" s="33" customFormat="1" hidden="1" outlineLevel="1">
      <c r="A444" s="192"/>
      <c r="B444" s="192"/>
      <c r="E444" s="59" t="s">
        <v>453</v>
      </c>
      <c r="F444" s="52"/>
      <c r="G444" s="52"/>
      <c r="H444" s="177"/>
      <c r="I444" s="177"/>
      <c r="J444" s="177"/>
      <c r="K444" s="177"/>
      <c r="L444" s="177"/>
      <c r="M444" s="177"/>
      <c r="N444" s="177"/>
      <c r="O444" s="177">
        <v>146.37299999999999</v>
      </c>
      <c r="P444" s="177">
        <v>197.73099999999999</v>
      </c>
      <c r="Q444" s="177">
        <v>240.43600000000001</v>
      </c>
      <c r="R444" s="177">
        <v>286.60399999999998</v>
      </c>
      <c r="S444" s="177">
        <v>335.976</v>
      </c>
      <c r="T444" s="177">
        <v>384.70499999999998</v>
      </c>
      <c r="U444" s="177">
        <v>458.2</v>
      </c>
      <c r="V444" s="177">
        <v>531.9</v>
      </c>
      <c r="W444" s="177">
        <v>592.95600000000002</v>
      </c>
      <c r="X444" s="177">
        <v>720.02800000000002</v>
      </c>
      <c r="Y444" s="177">
        <v>855.048</v>
      </c>
      <c r="Z444" s="177">
        <v>1031.202</v>
      </c>
      <c r="AA444" s="177">
        <v>1199.4059999999999</v>
      </c>
      <c r="AB444" s="177">
        <v>1420.7139999999999</v>
      </c>
      <c r="AC444" s="177">
        <v>1623.7149999999999</v>
      </c>
    </row>
    <row r="445" spans="1:29" s="33" customFormat="1" hidden="1" outlineLevel="1">
      <c r="A445" s="192"/>
      <c r="B445" s="192"/>
      <c r="E445" s="2" t="s">
        <v>207</v>
      </c>
      <c r="F445" s="157"/>
      <c r="G445" s="157"/>
      <c r="H445" s="139"/>
      <c r="I445" s="139"/>
      <c r="J445" s="139"/>
      <c r="K445" s="139"/>
      <c r="L445" s="139"/>
      <c r="M445" s="139"/>
      <c r="N445" s="139"/>
      <c r="O445" s="139">
        <f t="shared" ref="O445:AB445" si="340">SUM(O443:O444)</f>
        <v>636.40599999999995</v>
      </c>
      <c r="P445" s="139">
        <f t="shared" si="340"/>
        <v>790.92399999999998</v>
      </c>
      <c r="Q445" s="139">
        <f t="shared" si="340"/>
        <v>859.47300000000007</v>
      </c>
      <c r="R445" s="139">
        <f t="shared" si="340"/>
        <v>1023.586</v>
      </c>
      <c r="S445" s="139">
        <f t="shared" si="340"/>
        <v>1158.538</v>
      </c>
      <c r="T445" s="139">
        <f t="shared" si="340"/>
        <v>1373.9469999999999</v>
      </c>
      <c r="U445" s="139">
        <f t="shared" si="340"/>
        <v>1577.922</v>
      </c>
      <c r="V445" s="139">
        <f t="shared" si="340"/>
        <v>1963.8739999999998</v>
      </c>
      <c r="W445" s="139">
        <f t="shared" si="340"/>
        <v>2197.4479999999999</v>
      </c>
      <c r="X445" s="139">
        <f t="shared" si="340"/>
        <v>2340.049</v>
      </c>
      <c r="Y445" s="139">
        <f t="shared" si="340"/>
        <v>2502.9960000000001</v>
      </c>
      <c r="Z445" s="139">
        <f t="shared" si="340"/>
        <v>2714.4740000000002</v>
      </c>
      <c r="AA445" s="139">
        <f t="shared" si="340"/>
        <v>2893.6170000000002</v>
      </c>
      <c r="AB445" s="139">
        <f t="shared" si="340"/>
        <v>3198.1489999999999</v>
      </c>
      <c r="AC445" s="139">
        <f>SUM(AC443:AC444)</f>
        <v>3461.223</v>
      </c>
    </row>
    <row r="446" spans="1:29" s="33" customFormat="1" hidden="1" outlineLevel="1">
      <c r="A446" s="192"/>
      <c r="B446" s="192"/>
      <c r="E446" s="69" t="s">
        <v>481</v>
      </c>
      <c r="H446" s="187"/>
      <c r="I446" s="187"/>
      <c r="J446" s="187"/>
      <c r="K446" s="187"/>
      <c r="L446" s="187"/>
      <c r="M446" s="187"/>
      <c r="N446" s="187"/>
      <c r="O446" s="187">
        <f t="shared" ref="O446:AB446" si="341">IFERROR(O443/O445,"na")</f>
        <v>0.7700005971031072</v>
      </c>
      <c r="P446" s="187">
        <f t="shared" si="341"/>
        <v>0.75</v>
      </c>
      <c r="Q446" s="187">
        <f t="shared" si="341"/>
        <v>0.72025182873691207</v>
      </c>
      <c r="R446" s="187">
        <f t="shared" si="341"/>
        <v>0.72000007815659839</v>
      </c>
      <c r="S446" s="187">
        <f t="shared" si="341"/>
        <v>0.71000001726313677</v>
      </c>
      <c r="T446" s="187">
        <f t="shared" si="341"/>
        <v>0.72000011645281803</v>
      </c>
      <c r="U446" s="187">
        <f t="shared" si="341"/>
        <v>0.70961809265603748</v>
      </c>
      <c r="V446" s="187">
        <f t="shared" si="341"/>
        <v>0.72915777692458894</v>
      </c>
      <c r="W446" s="187">
        <f t="shared" si="341"/>
        <v>0.7301615328326313</v>
      </c>
      <c r="X446" s="187">
        <f t="shared" si="341"/>
        <v>0.69230216974088998</v>
      </c>
      <c r="Y446" s="187">
        <f t="shared" si="341"/>
        <v>0.65839018520205383</v>
      </c>
      <c r="Z446" s="187">
        <f t="shared" si="341"/>
        <v>0.62010982606574971</v>
      </c>
      <c r="AA446" s="187">
        <f t="shared" si="341"/>
        <v>0.58549939401102491</v>
      </c>
      <c r="AB446" s="187">
        <f t="shared" si="341"/>
        <v>0.55576991566058997</v>
      </c>
      <c r="AC446" s="187">
        <f>IFERROR(AC443/AC445,"na")</f>
        <v>0.53088402567531767</v>
      </c>
    </row>
    <row r="447" spans="1:29" s="33" customFormat="1" hidden="1" outlineLevel="1">
      <c r="A447" s="192"/>
      <c r="B447" s="192"/>
      <c r="H447" s="191"/>
      <c r="I447" s="191"/>
      <c r="J447" s="191"/>
      <c r="K447" s="191"/>
      <c r="L447" s="191"/>
      <c r="M447" s="191"/>
      <c r="N447" s="191"/>
      <c r="O447" s="191"/>
      <c r="P447" s="141"/>
      <c r="Q447" s="141"/>
      <c r="R447" s="141"/>
      <c r="S447" s="141"/>
      <c r="T447" s="141"/>
      <c r="U447" s="141"/>
      <c r="V447" s="141"/>
      <c r="W447" s="141"/>
      <c r="X447" s="141"/>
      <c r="Y447" s="141"/>
      <c r="Z447" s="141"/>
      <c r="AA447" s="141"/>
      <c r="AB447" s="141"/>
      <c r="AC447" s="141"/>
    </row>
    <row r="448" spans="1:29" s="33" customFormat="1" hidden="1" outlineLevel="1">
      <c r="A448" s="192"/>
      <c r="B448" s="192"/>
      <c r="E448" s="59" t="s">
        <v>456</v>
      </c>
      <c r="H448" s="177"/>
      <c r="I448" s="177"/>
      <c r="J448" s="177"/>
      <c r="K448" s="177"/>
      <c r="L448" s="177"/>
      <c r="M448" s="177"/>
      <c r="N448" s="177"/>
      <c r="O448" s="177"/>
      <c r="P448" s="177"/>
      <c r="Q448" s="177"/>
      <c r="R448" s="177"/>
      <c r="S448" s="177"/>
      <c r="T448" s="177">
        <v>95.185000000000002</v>
      </c>
      <c r="U448" s="177">
        <v>103.34399999999999</v>
      </c>
      <c r="V448" s="177">
        <v>124.47</v>
      </c>
      <c r="W448" s="177">
        <v>150.607</v>
      </c>
      <c r="X448" s="177">
        <v>168.202</v>
      </c>
      <c r="Y448" s="177">
        <v>168.09200000000001</v>
      </c>
      <c r="Z448" s="177">
        <v>154.85300000000001</v>
      </c>
      <c r="AA448" s="177">
        <v>165.33500000000001</v>
      </c>
      <c r="AB448" s="177">
        <v>200.167</v>
      </c>
      <c r="AC448" s="177">
        <v>209.28800000000001</v>
      </c>
    </row>
    <row r="449" spans="1:29" s="33" customFormat="1" hidden="1" outlineLevel="1">
      <c r="A449" s="192"/>
      <c r="B449" s="192"/>
      <c r="E449" s="59" t="s">
        <v>457</v>
      </c>
      <c r="H449" s="177"/>
      <c r="I449" s="177"/>
      <c r="J449" s="177"/>
      <c r="K449" s="177"/>
      <c r="L449" s="177"/>
      <c r="M449" s="177"/>
      <c r="N449" s="177"/>
      <c r="O449" s="177"/>
      <c r="P449" s="177"/>
      <c r="Q449" s="177"/>
      <c r="R449" s="177"/>
      <c r="S449" s="177"/>
      <c r="T449" s="177">
        <v>111.673</v>
      </c>
      <c r="U449" s="177">
        <v>111.05200000000001</v>
      </c>
      <c r="V449" s="177">
        <v>113.661</v>
      </c>
      <c r="W449" s="177">
        <v>125.983</v>
      </c>
      <c r="X449" s="177">
        <v>129.904</v>
      </c>
      <c r="Y449" s="177">
        <v>130.18100000000001</v>
      </c>
      <c r="Z449" s="177">
        <v>128.08199999999999</v>
      </c>
      <c r="AA449" s="177">
        <v>127.024</v>
      </c>
      <c r="AB449" s="177">
        <v>156.27500000000001</v>
      </c>
      <c r="AC449" s="177">
        <v>177.95</v>
      </c>
    </row>
    <row r="450" spans="1:29" s="33" customFormat="1" hidden="1" outlineLevel="1">
      <c r="A450" s="192"/>
      <c r="B450" s="192"/>
      <c r="E450" s="59" t="s">
        <v>458</v>
      </c>
      <c r="H450" s="177"/>
      <c r="I450" s="177"/>
      <c r="J450" s="177"/>
      <c r="K450" s="177"/>
      <c r="L450" s="177"/>
      <c r="M450" s="177"/>
      <c r="N450" s="177"/>
      <c r="O450" s="177"/>
      <c r="P450" s="177"/>
      <c r="Q450" s="177"/>
      <c r="R450" s="177"/>
      <c r="S450" s="177"/>
      <c r="T450" s="177">
        <v>56.597999999999999</v>
      </c>
      <c r="U450" s="177">
        <v>37.122999999999998</v>
      </c>
      <c r="V450" s="177">
        <v>42.113999999999997</v>
      </c>
      <c r="W450" s="177">
        <v>58.207000000000001</v>
      </c>
      <c r="X450" s="177">
        <v>61.32</v>
      </c>
      <c r="Y450" s="177">
        <v>75.209000000000003</v>
      </c>
      <c r="Z450" s="177">
        <v>88.543000000000006</v>
      </c>
      <c r="AA450" s="177">
        <v>101.13500000000001</v>
      </c>
      <c r="AB450" s="177">
        <v>134.952</v>
      </c>
      <c r="AC450" s="177">
        <v>157.23400000000001</v>
      </c>
    </row>
    <row r="451" spans="1:29" s="33" customFormat="1" hidden="1" outlineLevel="1">
      <c r="A451" s="192"/>
      <c r="B451" s="192"/>
      <c r="E451" s="59" t="s">
        <v>459</v>
      </c>
      <c r="H451" s="177"/>
      <c r="I451" s="177"/>
      <c r="J451" s="177"/>
      <c r="K451" s="177"/>
      <c r="L451" s="177"/>
      <c r="M451" s="177"/>
      <c r="N451" s="177"/>
      <c r="O451" s="177"/>
      <c r="P451" s="177"/>
      <c r="Q451" s="177"/>
      <c r="R451" s="177"/>
      <c r="S451" s="177"/>
      <c r="T451" s="177">
        <f>91.954+18.731</f>
        <v>110.685</v>
      </c>
      <c r="U451" s="177">
        <f>112.806+18.568</f>
        <v>131.374</v>
      </c>
      <c r="V451" s="177">
        <f>143.468+21.866</f>
        <v>165.334</v>
      </c>
      <c r="W451" s="177">
        <f>158.742+26.222</f>
        <v>184.964</v>
      </c>
      <c r="X451" s="177">
        <f>189.514+31.145</f>
        <v>220.65900000000002</v>
      </c>
      <c r="Y451" s="177">
        <f>216.76+36.677</f>
        <v>253.43699999999998</v>
      </c>
      <c r="Z451" s="177">
        <f>238.92+45.765</f>
        <v>284.685</v>
      </c>
      <c r="AA451" s="177">
        <f>248.146+51.607</f>
        <v>299.75299999999999</v>
      </c>
      <c r="AB451" s="177">
        <f>262.972+52.863</f>
        <v>315.83499999999998</v>
      </c>
      <c r="AC451" s="177">
        <f>276.544+57.39</f>
        <v>333.93399999999997</v>
      </c>
    </row>
    <row r="452" spans="1:29" s="33" customFormat="1" hidden="1" outlineLevel="1">
      <c r="A452" s="192"/>
      <c r="B452" s="192"/>
      <c r="E452" s="59" t="s">
        <v>460</v>
      </c>
      <c r="H452" s="177"/>
      <c r="I452" s="177"/>
      <c r="J452" s="177"/>
      <c r="K452" s="177"/>
      <c r="L452" s="177"/>
      <c r="M452" s="177"/>
      <c r="N452" s="177"/>
      <c r="O452" s="177"/>
      <c r="P452" s="177"/>
      <c r="Q452" s="177"/>
      <c r="R452" s="177"/>
      <c r="S452" s="177"/>
      <c r="T452" s="177">
        <v>117.997</v>
      </c>
      <c r="U452" s="177">
        <v>83.811000000000007</v>
      </c>
      <c r="V452" s="177">
        <v>107.25</v>
      </c>
      <c r="W452" s="177">
        <v>130.09800000000001</v>
      </c>
      <c r="X452" s="177">
        <v>140.77699999999999</v>
      </c>
      <c r="Y452" s="177">
        <v>143.82499999999999</v>
      </c>
      <c r="Z452" s="177">
        <v>150.458</v>
      </c>
      <c r="AA452" s="177">
        <v>125.589</v>
      </c>
      <c r="AB452" s="177">
        <v>167.017</v>
      </c>
      <c r="AC452" s="177">
        <v>226.38399999999999</v>
      </c>
    </row>
    <row r="453" spans="1:29" s="33" customFormat="1" hidden="1" outlineLevel="1">
      <c r="A453" s="192"/>
      <c r="B453" s="192"/>
      <c r="E453" s="59" t="s">
        <v>461</v>
      </c>
      <c r="F453" s="52"/>
      <c r="G453" s="52"/>
      <c r="H453" s="177"/>
      <c r="I453" s="177"/>
      <c r="J453" s="177"/>
      <c r="K453" s="177"/>
      <c r="L453" s="177"/>
      <c r="M453" s="177"/>
      <c r="N453" s="177"/>
      <c r="O453" s="177"/>
      <c r="P453" s="177"/>
      <c r="Q453" s="177"/>
      <c r="R453" s="177"/>
      <c r="S453" s="177"/>
      <c r="T453" s="177">
        <v>37.762</v>
      </c>
      <c r="U453" s="177">
        <v>44.383000000000003</v>
      </c>
      <c r="V453" s="177">
        <v>58.113999999999997</v>
      </c>
      <c r="W453" s="177">
        <v>75.760999999999996</v>
      </c>
      <c r="X453" s="177">
        <v>88.244</v>
      </c>
      <c r="Y453" s="177">
        <v>105.093</v>
      </c>
      <c r="Z453" s="177">
        <v>146.864</v>
      </c>
      <c r="AA453" s="177">
        <v>168.78800000000001</v>
      </c>
      <c r="AB453" s="177">
        <v>158.42599999999999</v>
      </c>
      <c r="AC453" s="177">
        <v>164.166</v>
      </c>
    </row>
    <row r="454" spans="1:29" s="33" customFormat="1" hidden="1" outlineLevel="1">
      <c r="A454" s="192"/>
      <c r="B454" s="192"/>
      <c r="E454" s="2" t="s">
        <v>462</v>
      </c>
      <c r="F454" s="157"/>
      <c r="G454" s="157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>
        <f t="shared" ref="T454:AC454" si="342">SUM(T448:T453)</f>
        <v>529.90000000000009</v>
      </c>
      <c r="U454" s="139">
        <f t="shared" si="342"/>
        <v>511.08700000000005</v>
      </c>
      <c r="V454" s="139">
        <f t="shared" si="342"/>
        <v>610.94299999999998</v>
      </c>
      <c r="W454" s="139">
        <f t="shared" si="342"/>
        <v>725.61999999999989</v>
      </c>
      <c r="X454" s="139">
        <f t="shared" si="342"/>
        <v>809.10600000000011</v>
      </c>
      <c r="Y454" s="139">
        <f t="shared" si="342"/>
        <v>875.83699999999988</v>
      </c>
      <c r="Z454" s="139">
        <f t="shared" si="342"/>
        <v>953.48500000000001</v>
      </c>
      <c r="AA454" s="139">
        <f t="shared" si="342"/>
        <v>987.62400000000002</v>
      </c>
      <c r="AB454" s="139">
        <f t="shared" si="342"/>
        <v>1132.672</v>
      </c>
      <c r="AC454" s="139">
        <f t="shared" si="342"/>
        <v>1268.9559999999999</v>
      </c>
    </row>
    <row r="455" spans="1:29" s="33" customFormat="1" hidden="1" outlineLevel="1">
      <c r="A455" s="192"/>
      <c r="B455" s="192"/>
      <c r="E455" s="69" t="s">
        <v>503</v>
      </c>
      <c r="H455" s="187"/>
      <c r="I455" s="187"/>
      <c r="J455" s="187"/>
      <c r="K455" s="187"/>
      <c r="L455" s="187"/>
      <c r="M455" s="187"/>
      <c r="N455" s="187"/>
      <c r="O455" s="187"/>
      <c r="P455" s="187"/>
      <c r="Q455" s="187"/>
      <c r="R455" s="187"/>
      <c r="S455" s="187"/>
      <c r="T455" s="187">
        <f t="shared" ref="T455:AB455" si="343">IFERROR(SUM(T452:T453)/T454,"na")</f>
        <v>0.29394036610681257</v>
      </c>
      <c r="U455" s="187">
        <f t="shared" si="343"/>
        <v>0.25082618027850445</v>
      </c>
      <c r="V455" s="187">
        <f t="shared" si="343"/>
        <v>0.27067009524620139</v>
      </c>
      <c r="W455" s="187">
        <f t="shared" si="343"/>
        <v>0.28370083514787359</v>
      </c>
      <c r="X455" s="187">
        <f t="shared" si="343"/>
        <v>0.28305438348003842</v>
      </c>
      <c r="Y455" s="187">
        <f t="shared" si="343"/>
        <v>0.28420585108873003</v>
      </c>
      <c r="Z455" s="187">
        <f t="shared" si="343"/>
        <v>0.31182661499656522</v>
      </c>
      <c r="AA455" s="187">
        <f t="shared" si="343"/>
        <v>0.29806586312199784</v>
      </c>
      <c r="AB455" s="187">
        <f t="shared" si="343"/>
        <v>0.2873232498022375</v>
      </c>
      <c r="AC455" s="187">
        <f>IFERROR(SUM(AC452:AC453)/AC454,"na")</f>
        <v>0.30777268872994806</v>
      </c>
    </row>
    <row r="456" spans="1:29" s="33" customFormat="1" hidden="1" outlineLevel="1">
      <c r="A456" s="192"/>
      <c r="B456" s="192"/>
      <c r="H456" s="191"/>
      <c r="I456" s="191"/>
      <c r="J456" s="191"/>
      <c r="K456" s="191"/>
      <c r="L456" s="191"/>
      <c r="M456" s="191"/>
      <c r="N456" s="191"/>
      <c r="O456" s="191"/>
      <c r="P456" s="141"/>
      <c r="Q456" s="141"/>
      <c r="R456" s="141"/>
      <c r="S456" s="141"/>
      <c r="T456" s="141"/>
      <c r="U456" s="141"/>
      <c r="V456" s="141"/>
      <c r="W456" s="141"/>
      <c r="X456" s="141"/>
      <c r="Y456" s="141"/>
      <c r="Z456" s="141"/>
      <c r="AA456" s="141"/>
      <c r="AB456" s="141"/>
    </row>
    <row r="457" spans="1:29" s="33" customFormat="1" hidden="1" outlineLevel="1">
      <c r="A457" s="192"/>
      <c r="B457" s="192"/>
      <c r="E457" s="59" t="s">
        <v>464</v>
      </c>
      <c r="H457" s="177"/>
      <c r="I457" s="177"/>
      <c r="J457" s="177"/>
      <c r="K457" s="177"/>
      <c r="L457" s="177"/>
      <c r="M457" s="177"/>
      <c r="N457" s="177"/>
      <c r="O457" s="177"/>
      <c r="P457" s="177"/>
      <c r="Q457" s="177"/>
      <c r="R457" s="177"/>
      <c r="S457" s="177"/>
      <c r="T457" s="177"/>
      <c r="U457" s="177"/>
      <c r="V457" s="177"/>
      <c r="W457" s="177"/>
      <c r="X457" s="177">
        <v>189.48500000000001</v>
      </c>
      <c r="Y457" s="177">
        <v>201.53899999999999</v>
      </c>
      <c r="Z457" s="177">
        <v>197.37700000000001</v>
      </c>
      <c r="AA457" s="177">
        <v>198.077</v>
      </c>
      <c r="AB457" s="177">
        <v>193.71899999999999</v>
      </c>
      <c r="AC457" s="177">
        <v>212.45599999999999</v>
      </c>
    </row>
    <row r="458" spans="1:29" s="33" customFormat="1" hidden="1" outlineLevel="1">
      <c r="A458" s="192"/>
      <c r="B458" s="192"/>
      <c r="E458" s="59" t="s">
        <v>465</v>
      </c>
      <c r="H458" s="177"/>
      <c r="I458" s="177"/>
      <c r="J458" s="177"/>
      <c r="K458" s="177"/>
      <c r="L458" s="177"/>
      <c r="M458" s="177"/>
      <c r="N458" s="177"/>
      <c r="O458" s="177"/>
      <c r="P458" s="177"/>
      <c r="Q458" s="177"/>
      <c r="R458" s="177"/>
      <c r="S458" s="177"/>
      <c r="T458" s="177"/>
      <c r="U458" s="177"/>
      <c r="V458" s="177"/>
      <c r="W458" s="177"/>
      <c r="X458" s="177">
        <v>255.85499999999999</v>
      </c>
      <c r="Y458" s="177">
        <v>297.46499999999997</v>
      </c>
      <c r="Z458" s="177">
        <v>308.91500000000002</v>
      </c>
      <c r="AA458" s="177">
        <v>307.5</v>
      </c>
      <c r="AB458" s="177">
        <v>325.43400000000003</v>
      </c>
      <c r="AC458" s="177">
        <v>326.48</v>
      </c>
    </row>
    <row r="459" spans="1:29" s="33" customFormat="1" hidden="1" outlineLevel="1">
      <c r="A459" s="192"/>
      <c r="B459" s="192"/>
      <c r="E459" s="59" t="s">
        <v>123</v>
      </c>
      <c r="H459" s="177"/>
      <c r="I459" s="177"/>
      <c r="J459" s="177"/>
      <c r="K459" s="177"/>
      <c r="L459" s="177"/>
      <c r="M459" s="177"/>
      <c r="N459" s="177"/>
      <c r="O459" s="177"/>
      <c r="P459" s="177"/>
      <c r="Q459" s="177"/>
      <c r="R459" s="177"/>
      <c r="S459" s="177"/>
      <c r="T459" s="177"/>
      <c r="U459" s="177"/>
      <c r="V459" s="177"/>
      <c r="W459" s="177"/>
      <c r="X459" s="177">
        <v>-5.4240000000000004</v>
      </c>
      <c r="Y459" s="177">
        <v>10.161</v>
      </c>
      <c r="Z459" s="177">
        <v>67.775000000000006</v>
      </c>
      <c r="AA459" s="177">
        <v>10.516</v>
      </c>
      <c r="AB459" s="177">
        <v>28.734999999999999</v>
      </c>
      <c r="AC459" s="177">
        <v>14.087999999999999</v>
      </c>
    </row>
    <row r="460" spans="1:29" s="33" customFormat="1" hidden="1" outlineLevel="1">
      <c r="A460" s="192"/>
      <c r="B460" s="192"/>
      <c r="E460" s="2" t="s">
        <v>466</v>
      </c>
      <c r="F460" s="157"/>
      <c r="G460" s="157"/>
      <c r="H460" s="221"/>
      <c r="I460" s="221"/>
      <c r="J460" s="221"/>
      <c r="K460" s="221"/>
      <c r="L460" s="221"/>
      <c r="M460" s="221"/>
      <c r="N460" s="221"/>
      <c r="O460" s="221"/>
      <c r="P460" s="221"/>
      <c r="Q460" s="221"/>
      <c r="R460" s="221"/>
      <c r="S460" s="221"/>
      <c r="T460" s="221">
        <v>210.1</v>
      </c>
      <c r="U460" s="221">
        <v>255.21799999999999</v>
      </c>
      <c r="V460" s="221">
        <v>325.84500000000003</v>
      </c>
      <c r="W460" s="221">
        <f>388.265</f>
        <v>388.26499999999999</v>
      </c>
      <c r="X460" s="139">
        <f t="shared" ref="X460:AC460" si="344">SUM(X457:X459)</f>
        <v>439.91600000000005</v>
      </c>
      <c r="Y460" s="139">
        <f t="shared" si="344"/>
        <v>509.16499999999996</v>
      </c>
      <c r="Z460" s="139">
        <f t="shared" si="344"/>
        <v>574.06700000000001</v>
      </c>
      <c r="AA460" s="139">
        <f t="shared" si="344"/>
        <v>516.09299999999996</v>
      </c>
      <c r="AB460" s="139">
        <f t="shared" si="344"/>
        <v>547.88800000000003</v>
      </c>
      <c r="AC460" s="139">
        <f t="shared" si="344"/>
        <v>553.024</v>
      </c>
    </row>
    <row r="461" spans="1:29" s="33" customFormat="1" hidden="1" outlineLevel="1">
      <c r="A461" s="192"/>
      <c r="B461" s="192"/>
      <c r="E461" s="123" t="s">
        <v>217</v>
      </c>
      <c r="H461" s="177"/>
      <c r="I461" s="177"/>
      <c r="J461" s="177"/>
      <c r="K461" s="177"/>
      <c r="L461" s="177"/>
      <c r="M461" s="177"/>
      <c r="N461" s="177"/>
      <c r="O461" s="177"/>
      <c r="P461" s="177"/>
      <c r="Q461" s="177"/>
      <c r="R461" s="177"/>
      <c r="S461" s="177"/>
      <c r="T461" s="177">
        <v>20.018000000000001</v>
      </c>
      <c r="U461" s="177">
        <v>26.991</v>
      </c>
      <c r="V461" s="177">
        <v>40.052999999999997</v>
      </c>
      <c r="W461" s="177">
        <v>54.561999999999998</v>
      </c>
      <c r="X461" s="177">
        <v>65.78</v>
      </c>
      <c r="Y461" s="177">
        <v>76.128</v>
      </c>
      <c r="Z461" s="177">
        <v>80.013999999999996</v>
      </c>
      <c r="AA461" s="177">
        <v>78.587000000000003</v>
      </c>
      <c r="AB461" s="177">
        <v>82.861999999999995</v>
      </c>
      <c r="AC461" s="177">
        <v>81.933999999999997</v>
      </c>
    </row>
    <row r="462" spans="1:29" s="33" customFormat="1" hidden="1" outlineLevel="1">
      <c r="A462" s="192"/>
      <c r="B462" s="192"/>
      <c r="E462" s="2" t="s">
        <v>467</v>
      </c>
      <c r="F462" s="157"/>
      <c r="G462" s="157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>
        <f t="shared" ref="T462:AA462" si="345">T460-T461</f>
        <v>190.08199999999999</v>
      </c>
      <c r="U462" s="139">
        <f t="shared" si="345"/>
        <v>228.22699999999998</v>
      </c>
      <c r="V462" s="139">
        <f t="shared" si="345"/>
        <v>285.79200000000003</v>
      </c>
      <c r="W462" s="139">
        <f t="shared" si="345"/>
        <v>333.70299999999997</v>
      </c>
      <c r="X462" s="139">
        <f t="shared" si="345"/>
        <v>374.13600000000008</v>
      </c>
      <c r="Y462" s="139">
        <f t="shared" si="345"/>
        <v>433.03699999999998</v>
      </c>
      <c r="Z462" s="139">
        <f t="shared" si="345"/>
        <v>494.053</v>
      </c>
      <c r="AA462" s="139">
        <f t="shared" si="345"/>
        <v>437.50599999999997</v>
      </c>
      <c r="AB462" s="139">
        <f>AB460-AB461</f>
        <v>465.02600000000007</v>
      </c>
      <c r="AC462" s="139">
        <f>AC460-AC461</f>
        <v>471.09000000000003</v>
      </c>
    </row>
    <row r="463" spans="1:29" s="33" customFormat="1" hidden="1" outlineLevel="1">
      <c r="A463" s="192"/>
      <c r="B463" s="192"/>
      <c r="E463" s="69" t="s">
        <v>503</v>
      </c>
      <c r="H463" s="187"/>
      <c r="I463" s="187"/>
      <c r="J463" s="187"/>
      <c r="K463" s="187"/>
      <c r="L463" s="187"/>
      <c r="M463" s="187"/>
      <c r="N463" s="187"/>
      <c r="O463" s="187"/>
      <c r="P463" s="187"/>
      <c r="Q463" s="187"/>
      <c r="R463" s="187"/>
      <c r="S463" s="187"/>
      <c r="T463" s="187">
        <f t="shared" ref="T463:AB463" si="346">IFERROR(SUM(T461)/T460,"na")</f>
        <v>9.5278438838648269E-2</v>
      </c>
      <c r="U463" s="187">
        <f t="shared" si="346"/>
        <v>0.10575664725842221</v>
      </c>
      <c r="V463" s="187">
        <f t="shared" si="346"/>
        <v>0.1229204069419509</v>
      </c>
      <c r="W463" s="187">
        <f t="shared" si="346"/>
        <v>0.14052773234775218</v>
      </c>
      <c r="X463" s="187">
        <f t="shared" si="346"/>
        <v>0.14952854635885032</v>
      </c>
      <c r="Y463" s="187">
        <f t="shared" si="346"/>
        <v>0.14951538302907702</v>
      </c>
      <c r="Z463" s="187">
        <f t="shared" si="346"/>
        <v>0.13938094333936629</v>
      </c>
      <c r="AA463" s="187">
        <f t="shared" si="346"/>
        <v>0.15227294305483705</v>
      </c>
      <c r="AB463" s="187">
        <f t="shared" si="346"/>
        <v>0.15123893934526764</v>
      </c>
      <c r="AC463" s="187">
        <f>IFERROR(SUM(AC461)/AC460,"na")</f>
        <v>0.14815631871311191</v>
      </c>
    </row>
    <row r="464" spans="1:29" s="33" customFormat="1" hidden="1" outlineLevel="1">
      <c r="A464" s="192"/>
      <c r="B464" s="192"/>
      <c r="H464" s="191"/>
      <c r="I464" s="191"/>
      <c r="J464" s="191"/>
      <c r="K464" s="191"/>
      <c r="L464" s="191"/>
      <c r="M464" s="191"/>
      <c r="N464" s="191"/>
      <c r="O464" s="191"/>
      <c r="P464" s="141"/>
      <c r="Q464" s="141"/>
      <c r="R464" s="141"/>
      <c r="S464" s="141"/>
      <c r="T464" s="141"/>
      <c r="U464" s="141"/>
      <c r="V464" s="141"/>
      <c r="W464" s="141"/>
      <c r="X464" s="141"/>
      <c r="Y464" s="141"/>
      <c r="Z464" s="141"/>
      <c r="AA464" s="141"/>
      <c r="AB464" s="141"/>
    </row>
    <row r="465" spans="1:29" s="33" customFormat="1" hidden="1" outlineLevel="1">
      <c r="A465" s="192"/>
      <c r="B465" s="192"/>
      <c r="E465" s="33" t="s">
        <v>468</v>
      </c>
      <c r="H465" s="177"/>
      <c r="I465" s="177"/>
      <c r="J465" s="177"/>
      <c r="K465" s="177"/>
      <c r="L465" s="177"/>
      <c r="M465" s="177"/>
      <c r="N465" s="177"/>
      <c r="O465" s="177"/>
      <c r="P465" s="177"/>
      <c r="Q465" s="177"/>
      <c r="R465" s="177"/>
      <c r="S465" s="177"/>
      <c r="T465" s="177">
        <v>20.962</v>
      </c>
      <c r="U465" s="177">
        <v>21.547000000000001</v>
      </c>
      <c r="V465" s="177">
        <v>32.057000000000002</v>
      </c>
      <c r="W465" s="177">
        <v>27.067</v>
      </c>
      <c r="X465" s="177">
        <v>26.641999999999999</v>
      </c>
      <c r="Y465" s="177">
        <v>30.904</v>
      </c>
      <c r="Z465" s="177">
        <v>33.311</v>
      </c>
      <c r="AA465" s="177">
        <v>38.581000000000003</v>
      </c>
      <c r="AB465" s="177">
        <v>42.048999999999999</v>
      </c>
      <c r="AC465" s="177">
        <v>48.018999999999998</v>
      </c>
    </row>
    <row r="466" spans="1:29" s="33" customFormat="1" hidden="1" outlineLevel="1">
      <c r="A466" s="192"/>
      <c r="B466" s="192"/>
      <c r="H466" s="191"/>
      <c r="I466" s="191"/>
      <c r="J466" s="191"/>
      <c r="K466" s="191"/>
      <c r="L466" s="191"/>
      <c r="M466" s="191"/>
      <c r="N466" s="191"/>
      <c r="O466" s="191"/>
      <c r="P466" s="141"/>
      <c r="Q466" s="141"/>
      <c r="R466" s="141"/>
      <c r="S466" s="141"/>
      <c r="T466" s="141"/>
      <c r="U466" s="141"/>
      <c r="V466" s="141"/>
      <c r="W466" s="141"/>
      <c r="X466" s="141"/>
      <c r="Y466" s="141"/>
      <c r="Z466" s="141"/>
      <c r="AA466" s="141"/>
      <c r="AB466" s="141"/>
    </row>
    <row r="467" spans="1:29" s="33" customFormat="1" hidden="1" outlineLevel="1">
      <c r="A467" s="192"/>
      <c r="B467" s="192"/>
      <c r="E467" s="33" t="s">
        <v>127</v>
      </c>
      <c r="H467" s="177"/>
      <c r="I467" s="177"/>
      <c r="J467" s="177"/>
      <c r="K467" s="177"/>
      <c r="L467" s="177"/>
      <c r="M467" s="177"/>
      <c r="N467" s="177"/>
      <c r="O467" s="177">
        <v>7.875</v>
      </c>
      <c r="P467" s="177">
        <v>83.718999999999994</v>
      </c>
      <c r="Q467" s="177">
        <v>5.7789999999999999</v>
      </c>
      <c r="R467" s="177">
        <v>12.667999999999999</v>
      </c>
      <c r="S467" s="177">
        <v>0.55000000000000004</v>
      </c>
      <c r="T467" s="177">
        <v>336.68</v>
      </c>
      <c r="U467" s="177">
        <v>30.657</v>
      </c>
      <c r="V467" s="177">
        <v>386.53199999999998</v>
      </c>
      <c r="W467" s="177">
        <v>141.14699999999999</v>
      </c>
      <c r="X467" s="177">
        <v>95.438999999999993</v>
      </c>
      <c r="Y467" s="177">
        <v>369.07299999999998</v>
      </c>
      <c r="Z467" s="177">
        <v>7.9000000000000001E-2</v>
      </c>
      <c r="AA467" s="177">
        <v>165.32900000000001</v>
      </c>
      <c r="AB467" s="177">
        <f>127.999+36.376</f>
        <v>164.375</v>
      </c>
      <c r="AC467" s="177">
        <v>598.82500000000005</v>
      </c>
    </row>
    <row r="468" spans="1:29" s="33" customFormat="1" hidden="1" outlineLevel="1">
      <c r="A468" s="192"/>
      <c r="B468" s="192"/>
      <c r="E468" s="33" t="s">
        <v>479</v>
      </c>
      <c r="H468" s="177"/>
      <c r="I468" s="177"/>
      <c r="J468" s="177"/>
      <c r="K468" s="177"/>
      <c r="L468" s="177"/>
      <c r="M468" s="177"/>
      <c r="N468" s="177"/>
      <c r="O468" s="177">
        <v>81.405000000000001</v>
      </c>
      <c r="P468" s="177">
        <v>90.369</v>
      </c>
      <c r="Q468" s="177">
        <v>80.918000000000006</v>
      </c>
      <c r="R468" s="177">
        <v>159.27600000000001</v>
      </c>
      <c r="S468" s="177">
        <v>133.44499999999999</v>
      </c>
      <c r="T468" s="177">
        <v>166.773</v>
      </c>
      <c r="U468" s="177">
        <v>187.964</v>
      </c>
      <c r="V468" s="177">
        <v>207.149</v>
      </c>
      <c r="W468" s="177">
        <v>311.67599999999999</v>
      </c>
      <c r="X468" s="177">
        <v>180.94900000000001</v>
      </c>
      <c r="Y468" s="177">
        <v>254.14599999999999</v>
      </c>
      <c r="Z468" s="177">
        <v>217.60900000000001</v>
      </c>
      <c r="AA468" s="177">
        <v>359.66699999999997</v>
      </c>
      <c r="AB468" s="177">
        <v>514.31299999999999</v>
      </c>
      <c r="AC468" s="177">
        <v>328.96899999999999</v>
      </c>
    </row>
    <row r="469" spans="1:29" s="33" customFormat="1" hidden="1" outlineLevel="1">
      <c r="A469" s="192"/>
      <c r="B469" s="192"/>
      <c r="E469" s="33" t="s">
        <v>478</v>
      </c>
      <c r="H469" s="177"/>
      <c r="I469" s="177"/>
      <c r="J469" s="177"/>
      <c r="K469" s="177"/>
      <c r="L469" s="177"/>
      <c r="M469" s="177"/>
      <c r="N469" s="177"/>
      <c r="O469" s="177">
        <v>19.056999999999999</v>
      </c>
      <c r="P469" s="177">
        <v>25.016999999999999</v>
      </c>
      <c r="Q469" s="177">
        <v>27.228999999999999</v>
      </c>
      <c r="R469" s="177">
        <v>32.768999999999998</v>
      </c>
      <c r="S469" s="177">
        <v>42.643999999999998</v>
      </c>
      <c r="T469" s="177">
        <v>54.204000000000001</v>
      </c>
      <c r="U469" s="177">
        <v>72.108999999999995</v>
      </c>
      <c r="V469" s="177">
        <v>111.468</v>
      </c>
      <c r="W469" s="177">
        <v>133.30699999999999</v>
      </c>
      <c r="X469" s="177">
        <v>135.34</v>
      </c>
      <c r="Y469" s="177">
        <v>160.63200000000001</v>
      </c>
      <c r="Z469" s="177">
        <v>188.13200000000001</v>
      </c>
      <c r="AA469" s="177">
        <v>202.41</v>
      </c>
      <c r="AB469" s="177">
        <v>217.559</v>
      </c>
      <c r="AC469" s="177">
        <v>216.261</v>
      </c>
    </row>
    <row r="470" spans="1:29" s="33" customFormat="1" hidden="1" outlineLevel="1">
      <c r="A470" s="192"/>
      <c r="B470" s="192"/>
      <c r="H470" s="191"/>
      <c r="I470" s="191"/>
      <c r="J470" s="191"/>
      <c r="K470" s="191"/>
      <c r="L470" s="191"/>
      <c r="M470" s="191"/>
      <c r="N470" s="191"/>
      <c r="O470" s="191"/>
      <c r="P470" s="141"/>
      <c r="Q470" s="141"/>
      <c r="R470" s="141"/>
      <c r="S470" s="141"/>
      <c r="T470" s="141"/>
      <c r="U470" s="141"/>
      <c r="V470" s="141"/>
      <c r="W470" s="141"/>
      <c r="X470" s="141"/>
      <c r="Y470" s="141"/>
      <c r="Z470" s="141"/>
      <c r="AA470" s="141"/>
      <c r="AB470" s="141"/>
    </row>
    <row r="471" spans="1:29" s="33" customFormat="1" hidden="1" outlineLevel="1">
      <c r="A471" s="192"/>
      <c r="B471" s="192"/>
      <c r="E471" s="33" t="s">
        <v>476</v>
      </c>
      <c r="H471" s="177"/>
      <c r="I471" s="177"/>
      <c r="J471" s="177"/>
      <c r="K471" s="177"/>
      <c r="L471" s="177"/>
      <c r="M471" s="177"/>
      <c r="N471" s="177"/>
      <c r="O471" s="177">
        <v>118.944</v>
      </c>
      <c r="P471" s="177">
        <v>139.61199999999999</v>
      </c>
      <c r="Q471" s="177">
        <v>154.26900000000001</v>
      </c>
      <c r="R471" s="177">
        <v>175.36600000000001</v>
      </c>
      <c r="S471" s="177">
        <v>210.93600000000001</v>
      </c>
      <c r="T471" s="177">
        <v>218.77699999999999</v>
      </c>
      <c r="U471" s="177">
        <v>271.988</v>
      </c>
      <c r="V471" s="177">
        <v>329.57799999999997</v>
      </c>
      <c r="W471" s="177">
        <v>380.399</v>
      </c>
      <c r="X471" s="177">
        <v>368.596</v>
      </c>
      <c r="Y471" s="177">
        <v>461.45699999999999</v>
      </c>
      <c r="Z471" s="177">
        <v>479.88900000000001</v>
      </c>
      <c r="AA471" s="177">
        <v>551.94299999999998</v>
      </c>
      <c r="AB471" s="177">
        <v>660.05200000000002</v>
      </c>
      <c r="AC471" s="177">
        <v>675.92600000000004</v>
      </c>
    </row>
    <row r="472" spans="1:29" s="33" customFormat="1" hidden="1" outlineLevel="1">
      <c r="A472" s="192"/>
      <c r="B472" s="192"/>
      <c r="E472" s="33" t="s">
        <v>477</v>
      </c>
      <c r="H472" s="177"/>
      <c r="I472" s="177"/>
      <c r="J472" s="177"/>
      <c r="K472" s="177"/>
      <c r="L472" s="177"/>
      <c r="M472" s="177"/>
      <c r="N472" s="177"/>
      <c r="O472" s="177">
        <v>18.54</v>
      </c>
      <c r="P472" s="177">
        <v>21.164999999999999</v>
      </c>
      <c r="Q472" s="177">
        <v>23.997</v>
      </c>
      <c r="R472" s="177">
        <v>26.375</v>
      </c>
      <c r="S472" s="177">
        <v>38.247</v>
      </c>
      <c r="T472" s="177">
        <v>43.290999999999997</v>
      </c>
      <c r="U472" s="177">
        <v>73.709999999999994</v>
      </c>
      <c r="V472" s="177">
        <v>77.412000000000006</v>
      </c>
      <c r="W472" s="177">
        <v>61.981999999999999</v>
      </c>
      <c r="X472" s="177">
        <v>76.12</v>
      </c>
      <c r="Y472" s="177">
        <v>80.278000000000006</v>
      </c>
      <c r="Z472" s="177">
        <v>99.088999999999999</v>
      </c>
      <c r="AA472" s="177">
        <v>138.946</v>
      </c>
      <c r="AB472" s="177">
        <v>118.54600000000001</v>
      </c>
      <c r="AC472" s="177">
        <v>109.928</v>
      </c>
    </row>
    <row r="473" spans="1:29" s="33" customFormat="1" hidden="1" outlineLevel="1">
      <c r="A473" s="192"/>
      <c r="B473" s="192"/>
      <c r="E473" s="33" t="s">
        <v>350</v>
      </c>
      <c r="H473" s="177"/>
      <c r="I473" s="177"/>
      <c r="J473" s="177"/>
      <c r="K473" s="177"/>
      <c r="L473" s="177"/>
      <c r="M473" s="177"/>
      <c r="N473" s="177"/>
      <c r="O473" s="177">
        <v>12.994999999999999</v>
      </c>
      <c r="P473" s="177">
        <v>11.506</v>
      </c>
      <c r="Q473" s="177">
        <v>34.183999999999997</v>
      </c>
      <c r="R473" s="177">
        <v>23.808</v>
      </c>
      <c r="S473" s="177">
        <v>21.344000000000001</v>
      </c>
      <c r="T473" s="177">
        <v>26.291</v>
      </c>
      <c r="U473" s="177">
        <v>36.951999999999998</v>
      </c>
      <c r="V473" s="177">
        <v>49.679000000000002</v>
      </c>
      <c r="W473" s="177">
        <v>54.154000000000003</v>
      </c>
      <c r="X473" s="177">
        <v>52.972000000000001</v>
      </c>
      <c r="Y473" s="177">
        <v>70.495000000000005</v>
      </c>
      <c r="Z473" s="177">
        <v>69.082999999999998</v>
      </c>
      <c r="AA473" s="177">
        <v>71.222999999999999</v>
      </c>
      <c r="AB473" s="177">
        <v>76.599999999999994</v>
      </c>
      <c r="AC473" s="177">
        <v>86.516999999999996</v>
      </c>
    </row>
    <row r="474" spans="1:29" s="33" customFormat="1" hidden="1" outlineLevel="1">
      <c r="A474" s="192"/>
      <c r="B474" s="192"/>
      <c r="H474" s="191"/>
      <c r="I474" s="191"/>
      <c r="J474" s="191"/>
      <c r="K474" s="191"/>
      <c r="L474" s="191"/>
      <c r="M474" s="191"/>
      <c r="N474" s="191"/>
      <c r="O474" s="198">
        <f t="shared" ref="O474:AB474" si="347">O473/O419</f>
        <v>2.0419354940085416E-2</v>
      </c>
      <c r="P474" s="198">
        <f t="shared" si="347"/>
        <v>1.4547541862429261E-2</v>
      </c>
      <c r="Q474" s="198">
        <f t="shared" si="347"/>
        <v>3.9773209862322606E-2</v>
      </c>
      <c r="R474" s="198">
        <f t="shared" si="347"/>
        <v>2.3259403704231983E-2</v>
      </c>
      <c r="S474" s="198">
        <f t="shared" si="347"/>
        <v>1.8423219609542373E-2</v>
      </c>
      <c r="T474" s="198">
        <f t="shared" si="347"/>
        <v>1.9135381495792778E-2</v>
      </c>
      <c r="U474" s="198">
        <f t="shared" si="347"/>
        <v>2.3418141074146883E-2</v>
      </c>
      <c r="V474" s="198">
        <f t="shared" si="347"/>
        <v>2.5296429404330426E-2</v>
      </c>
      <c r="W474" s="198">
        <f t="shared" si="347"/>
        <v>2.4644041633749697E-2</v>
      </c>
      <c r="X474" s="198">
        <f t="shared" si="347"/>
        <v>2.2560592302856741E-2</v>
      </c>
      <c r="Y474" s="198">
        <f t="shared" si="347"/>
        <v>2.8322221262457141E-2</v>
      </c>
      <c r="Z474" s="198">
        <f t="shared" si="347"/>
        <v>2.5449866161915715E-2</v>
      </c>
      <c r="AA474" s="198">
        <f t="shared" si="347"/>
        <v>2.4613831063336991E-2</v>
      </c>
      <c r="AB474" s="198">
        <f t="shared" si="347"/>
        <v>2.3951354361538498E-2</v>
      </c>
      <c r="AC474" s="198">
        <f>AC473/AC419</f>
        <v>2.4996077975906205E-2</v>
      </c>
    </row>
    <row r="475" spans="1:29" s="33" customFormat="1" hidden="1" outlineLevel="1">
      <c r="A475" s="192"/>
      <c r="B475" s="192"/>
      <c r="E475" s="33" t="s">
        <v>136</v>
      </c>
      <c r="H475" s="177"/>
      <c r="I475" s="177"/>
      <c r="J475" s="177"/>
      <c r="K475" s="177"/>
      <c r="L475" s="177"/>
      <c r="M475" s="177"/>
      <c r="N475" s="177"/>
      <c r="O475" s="177">
        <v>134.54599999999999</v>
      </c>
      <c r="P475" s="177">
        <v>174.483</v>
      </c>
      <c r="Q475" s="177">
        <v>182.404</v>
      </c>
      <c r="R475" s="177">
        <v>255.929</v>
      </c>
      <c r="S475" s="177">
        <v>293.04300000000001</v>
      </c>
      <c r="T475" s="177">
        <v>345.09100000000001</v>
      </c>
      <c r="U475" s="177">
        <v>450.28699999999998</v>
      </c>
      <c r="V475" s="177">
        <v>601.59100000000001</v>
      </c>
      <c r="W475" s="177">
        <v>753.18</v>
      </c>
      <c r="X475" s="177">
        <v>801.01700000000005</v>
      </c>
      <c r="Y475" s="177">
        <v>862.53499999999997</v>
      </c>
      <c r="Z475" s="177">
        <v>910.61800000000005</v>
      </c>
      <c r="AA475" s="177">
        <v>1152.153</v>
      </c>
      <c r="AB475" s="177">
        <v>1478.2719999999999</v>
      </c>
      <c r="AC475" s="177">
        <v>1534.329</v>
      </c>
    </row>
    <row r="476" spans="1:29" s="33" customFormat="1" hidden="1" outlineLevel="1">
      <c r="A476" s="192"/>
      <c r="B476" s="192"/>
      <c r="E476" s="33" t="s">
        <v>223</v>
      </c>
      <c r="H476" s="177"/>
      <c r="I476" s="177"/>
      <c r="J476" s="177"/>
      <c r="K476" s="177"/>
      <c r="L476" s="177"/>
      <c r="M476" s="177"/>
      <c r="N476" s="177"/>
      <c r="O476" s="177"/>
      <c r="P476" s="177"/>
      <c r="Q476" s="177"/>
      <c r="R476" s="177"/>
      <c r="S476" s="177"/>
      <c r="T476" s="177"/>
      <c r="U476" s="177"/>
      <c r="V476" s="177"/>
      <c r="W476" s="177"/>
      <c r="X476" s="177"/>
      <c r="Y476" s="177"/>
      <c r="Z476" s="177"/>
      <c r="AA476" s="177">
        <v>758.45</v>
      </c>
      <c r="AB476" s="177">
        <v>793.94500000000005</v>
      </c>
      <c r="AC476" s="177">
        <v>815.75400000000002</v>
      </c>
    </row>
    <row r="477" spans="1:29" s="33" customFormat="1" hidden="1" outlineLevel="1">
      <c r="A477" s="192"/>
      <c r="B477" s="192"/>
      <c r="E477" s="69" t="s">
        <v>482</v>
      </c>
      <c r="H477" s="187"/>
      <c r="I477" s="187"/>
      <c r="J477" s="187"/>
      <c r="K477" s="187"/>
      <c r="L477" s="187"/>
      <c r="M477" s="187"/>
      <c r="N477" s="187"/>
      <c r="O477" s="187">
        <f t="shared" ref="O477:AC477" si="348">IFERROR(O475/O419,"na")</f>
        <v>0.21141535434926761</v>
      </c>
      <c r="P477" s="187">
        <f t="shared" si="348"/>
        <v>0.22060653109527592</v>
      </c>
      <c r="Q477" s="187">
        <f t="shared" si="348"/>
        <v>0.21222772559463762</v>
      </c>
      <c r="R477" s="187">
        <f t="shared" si="348"/>
        <v>0.25003175111812781</v>
      </c>
      <c r="S477" s="187">
        <f t="shared" si="348"/>
        <v>0.2529420700917881</v>
      </c>
      <c r="T477" s="187">
        <f t="shared" si="348"/>
        <v>0.25116762145846966</v>
      </c>
      <c r="U477" s="187">
        <f t="shared" si="348"/>
        <v>0.28536708405104938</v>
      </c>
      <c r="V477" s="187">
        <f t="shared" si="348"/>
        <v>0.30632871558969671</v>
      </c>
      <c r="W477" s="187">
        <f t="shared" si="348"/>
        <v>0.34275213793454951</v>
      </c>
      <c r="X477" s="187">
        <f t="shared" si="348"/>
        <v>0.34115038066634068</v>
      </c>
      <c r="Y477" s="187">
        <f t="shared" si="348"/>
        <v>0.34653389767520343</v>
      </c>
      <c r="Z477" s="187">
        <f t="shared" si="348"/>
        <v>0.33546757124953119</v>
      </c>
      <c r="AA477" s="187">
        <f t="shared" si="348"/>
        <v>0.39817052498654798</v>
      </c>
      <c r="AB477" s="187">
        <f t="shared" si="348"/>
        <v>0.46222736964412847</v>
      </c>
      <c r="AC477" s="187">
        <f t="shared" si="348"/>
        <v>0.4432909985863378</v>
      </c>
    </row>
    <row r="478" spans="1:29" s="33" customFormat="1" hidden="1" outlineLevel="1">
      <c r="A478" s="192"/>
      <c r="B478" s="192"/>
      <c r="E478" s="69" t="s">
        <v>483</v>
      </c>
      <c r="H478" s="187"/>
      <c r="I478" s="187"/>
      <c r="J478" s="187"/>
      <c r="K478" s="187"/>
      <c r="L478" s="187"/>
      <c r="M478" s="187"/>
      <c r="N478" s="187"/>
      <c r="O478" s="187"/>
      <c r="P478" s="187"/>
      <c r="Q478" s="187"/>
      <c r="R478" s="187"/>
      <c r="S478" s="187"/>
      <c r="T478" s="187"/>
      <c r="U478" s="187"/>
      <c r="V478" s="187"/>
      <c r="W478" s="187"/>
      <c r="X478" s="187"/>
      <c r="Y478" s="187"/>
      <c r="Z478" s="187"/>
      <c r="AA478" s="187">
        <f>IFERROR(AA476/AA419,"na")</f>
        <v>0.26211139898611324</v>
      </c>
      <c r="AB478" s="187">
        <f>IFERROR(AB476/AB419,"na")</f>
        <v>0.24825141042521784</v>
      </c>
      <c r="AC478" s="187">
        <f>IFERROR(AC476/AC419,"na")</f>
        <v>0.23568374531198943</v>
      </c>
    </row>
    <row r="479" spans="1:29" s="33" customFormat="1" hidden="1" outlineLevel="1">
      <c r="A479" s="192"/>
      <c r="B479" s="192"/>
      <c r="H479" s="191"/>
      <c r="I479" s="191"/>
      <c r="J479" s="191"/>
      <c r="K479" s="191"/>
      <c r="L479" s="191"/>
      <c r="M479" s="191"/>
      <c r="N479" s="191"/>
      <c r="O479" s="191"/>
      <c r="P479" s="141"/>
      <c r="Q479" s="141"/>
      <c r="R479" s="141"/>
      <c r="S479" s="141"/>
      <c r="T479" s="141"/>
      <c r="U479" s="141"/>
      <c r="V479" s="141"/>
      <c r="W479" s="141"/>
      <c r="X479" s="141"/>
      <c r="Y479" s="141"/>
      <c r="Z479" s="141"/>
      <c r="AA479" s="141"/>
      <c r="AB479" s="141"/>
    </row>
    <row r="480" spans="1:29" s="33" customFormat="1" collapsed="1">
      <c r="A480" s="192"/>
      <c r="B480" s="192"/>
      <c r="H480" s="191"/>
      <c r="I480" s="191"/>
      <c r="J480" s="191"/>
      <c r="K480" s="191"/>
      <c r="L480" s="191"/>
      <c r="M480" s="191"/>
      <c r="N480" s="191"/>
      <c r="O480" s="191"/>
      <c r="P480" s="141"/>
      <c r="Q480" s="141"/>
      <c r="R480" s="141"/>
      <c r="S480" s="141"/>
      <c r="T480" s="141"/>
      <c r="U480" s="141"/>
      <c r="V480" s="141"/>
      <c r="W480" s="141"/>
      <c r="X480" s="141"/>
      <c r="Y480" s="141"/>
      <c r="Z480" s="141"/>
      <c r="AA480" s="141"/>
      <c r="AB480" s="141"/>
    </row>
    <row r="481" spans="1:40">
      <c r="D481" s="90"/>
      <c r="E481" s="91" t="s">
        <v>485</v>
      </c>
      <c r="F481" s="90"/>
      <c r="G481" s="91" t="s">
        <v>486</v>
      </c>
      <c r="H481" s="90"/>
      <c r="I481" s="90"/>
      <c r="J481" s="90"/>
      <c r="K481" s="90"/>
      <c r="L481" s="90"/>
      <c r="M481" s="90"/>
      <c r="N481" s="90"/>
      <c r="O481" s="90"/>
      <c r="P481" s="90"/>
      <c r="Q481" s="90"/>
      <c r="R481" s="90"/>
      <c r="S481" s="90"/>
      <c r="T481" s="90"/>
      <c r="U481" s="90"/>
      <c r="V481" s="90"/>
      <c r="W481" s="90"/>
      <c r="X481" s="90"/>
      <c r="Y481" s="90"/>
      <c r="Z481" s="90"/>
      <c r="AA481" s="90"/>
      <c r="AB481" s="90"/>
      <c r="AC481" s="90"/>
      <c r="AD481" s="90"/>
      <c r="AE481" s="90"/>
      <c r="AF481" s="90"/>
      <c r="AG481" s="90"/>
      <c r="AH481" s="90"/>
      <c r="AI481" s="90"/>
      <c r="AJ481" s="90"/>
      <c r="AK481" s="90"/>
      <c r="AL481" s="90"/>
      <c r="AM481" s="90"/>
      <c r="AN481" s="90"/>
    </row>
    <row r="482" spans="1:40" s="33" customFormat="1" hidden="1" outlineLevel="1">
      <c r="A482" s="192"/>
      <c r="B482" s="192"/>
      <c r="H482" s="191"/>
      <c r="I482" s="191"/>
      <c r="J482" s="191"/>
      <c r="K482" s="191"/>
      <c r="L482" s="191"/>
      <c r="M482" s="191"/>
      <c r="N482" s="191"/>
      <c r="O482" s="191"/>
      <c r="P482" s="141"/>
      <c r="Q482" s="141"/>
      <c r="R482" s="141"/>
      <c r="S482" s="141"/>
      <c r="T482" s="141"/>
      <c r="U482" s="141"/>
      <c r="V482" s="141"/>
      <c r="W482" s="141"/>
      <c r="X482" s="141"/>
      <c r="Y482" s="141"/>
      <c r="Z482" s="141"/>
      <c r="AA482" s="141"/>
      <c r="AB482" s="141"/>
    </row>
    <row r="483" spans="1:40" s="33" customFormat="1" hidden="1" outlineLevel="1">
      <c r="A483" s="192"/>
      <c r="B483" s="192"/>
      <c r="E483" s="123" t="s">
        <v>488</v>
      </c>
      <c r="H483" s="177"/>
      <c r="I483" s="177"/>
      <c r="J483" s="177"/>
      <c r="K483" s="177"/>
      <c r="L483" s="177"/>
      <c r="M483" s="177"/>
      <c r="N483" s="177"/>
      <c r="O483" s="177"/>
      <c r="P483" s="177"/>
      <c r="Q483" s="177"/>
      <c r="R483" s="177"/>
      <c r="S483" s="177"/>
      <c r="T483" s="177"/>
      <c r="U483" s="177"/>
      <c r="V483" s="177"/>
      <c r="W483" s="177"/>
      <c r="X483" s="177"/>
      <c r="Y483" s="177">
        <v>170</v>
      </c>
      <c r="Z483" s="177">
        <v>227</v>
      </c>
      <c r="AA483" s="177">
        <v>288</v>
      </c>
      <c r="AB483" s="177">
        <v>378</v>
      </c>
      <c r="AC483" s="177">
        <v>445</v>
      </c>
    </row>
    <row r="484" spans="1:40" s="33" customFormat="1" hidden="1" outlineLevel="1">
      <c r="A484" s="192"/>
      <c r="B484" s="192"/>
      <c r="E484" s="123" t="s">
        <v>495</v>
      </c>
      <c r="H484" s="177"/>
      <c r="I484" s="177"/>
      <c r="J484" s="177"/>
      <c r="K484" s="177"/>
      <c r="L484" s="177"/>
      <c r="M484" s="177"/>
      <c r="N484" s="177"/>
      <c r="O484" s="177"/>
      <c r="P484" s="177"/>
      <c r="Q484" s="177"/>
      <c r="R484" s="177"/>
      <c r="S484" s="177"/>
      <c r="T484" s="177"/>
      <c r="U484" s="177"/>
      <c r="V484" s="177"/>
      <c r="W484" s="177"/>
      <c r="X484" s="177"/>
      <c r="Y484" s="177">
        <f>1439-Y483</f>
        <v>1269</v>
      </c>
      <c r="Z484" s="177">
        <f>1582-Z483</f>
        <v>1355</v>
      </c>
      <c r="AA484" s="177">
        <f>1743-AA483</f>
        <v>1455</v>
      </c>
      <c r="AB484" s="177">
        <f>2326-AB483</f>
        <v>1948</v>
      </c>
      <c r="AC484" s="177">
        <f>2804-AC483</f>
        <v>2359</v>
      </c>
    </row>
    <row r="485" spans="1:40" s="33" customFormat="1" hidden="1" outlineLevel="1">
      <c r="A485" s="192"/>
      <c r="B485" s="192"/>
      <c r="E485" s="2" t="s">
        <v>487</v>
      </c>
      <c r="F485" s="2"/>
      <c r="G485" s="2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>
        <f>SUM(Y483:Y484)</f>
        <v>1439</v>
      </c>
      <c r="Z485" s="139">
        <f>SUM(Z483:Z484)</f>
        <v>1582</v>
      </c>
      <c r="AA485" s="139">
        <f>SUM(AA483:AA484)</f>
        <v>1743</v>
      </c>
      <c r="AB485" s="139">
        <f>SUM(AB483:AB484)</f>
        <v>2326</v>
      </c>
      <c r="AC485" s="139">
        <f>SUM(AC483:AC484)</f>
        <v>2804</v>
      </c>
    </row>
    <row r="486" spans="1:40" s="121" customFormat="1" hidden="1" outlineLevel="1">
      <c r="A486" s="223"/>
      <c r="B486" s="223"/>
      <c r="E486" s="228" t="s">
        <v>507</v>
      </c>
      <c r="H486" s="229"/>
      <c r="I486" s="229"/>
      <c r="J486" s="229"/>
      <c r="K486" s="229"/>
      <c r="L486" s="229"/>
      <c r="M486" s="229"/>
      <c r="N486" s="229"/>
      <c r="O486" s="229"/>
      <c r="P486" s="229"/>
      <c r="Q486" s="229"/>
      <c r="R486" s="229"/>
      <c r="S486" s="229"/>
      <c r="T486" s="229"/>
      <c r="U486" s="229"/>
      <c r="V486" s="229"/>
      <c r="W486" s="229"/>
      <c r="X486" s="229"/>
      <c r="Y486" s="229" t="str">
        <f>IFERROR(Y485/X485-1,"na")</f>
        <v>na</v>
      </c>
      <c r="Z486" s="229">
        <f>IFERROR(Z485/Y485-1,"na")</f>
        <v>9.9374565670604653E-2</v>
      </c>
      <c r="AA486" s="229">
        <f>IFERROR(AA485/Z485-1,"na")</f>
        <v>0.10176991150442483</v>
      </c>
      <c r="AB486" s="229">
        <f>IFERROR(AB485/AA485-1,"na")</f>
        <v>0.3344807802639127</v>
      </c>
      <c r="AC486" s="229">
        <f>IFERROR(AC485/AB485-1,"na")</f>
        <v>0.20550300945829747</v>
      </c>
    </row>
    <row r="487" spans="1:40" s="33" customFormat="1" hidden="1" outlineLevel="1">
      <c r="A487" s="192"/>
      <c r="B487" s="192"/>
      <c r="H487" s="191"/>
      <c r="I487" s="191"/>
      <c r="J487" s="191"/>
      <c r="K487" s="191"/>
      <c r="L487" s="191"/>
      <c r="M487" s="191"/>
      <c r="N487" s="191"/>
      <c r="O487" s="191"/>
      <c r="P487" s="141"/>
      <c r="Q487" s="141"/>
      <c r="R487" s="141"/>
      <c r="S487" s="141"/>
      <c r="T487" s="141"/>
      <c r="U487" s="141"/>
      <c r="V487" s="141"/>
      <c r="W487" s="141"/>
      <c r="X487" s="141"/>
      <c r="Y487" s="141"/>
      <c r="Z487" s="141"/>
      <c r="AA487" s="141"/>
      <c r="AB487" s="141"/>
    </row>
    <row r="488" spans="1:40" s="33" customFormat="1" hidden="1" outlineLevel="1">
      <c r="A488" s="192"/>
      <c r="B488" s="192"/>
      <c r="E488" s="33" t="s">
        <v>372</v>
      </c>
      <c r="H488" s="203"/>
      <c r="I488" s="203"/>
      <c r="J488" s="203"/>
      <c r="K488" s="203"/>
      <c r="L488" s="203"/>
      <c r="M488" s="203"/>
      <c r="N488" s="203"/>
      <c r="O488" s="203"/>
      <c r="P488" s="203"/>
      <c r="Q488" s="203"/>
      <c r="R488" s="203"/>
      <c r="S488" s="203"/>
      <c r="T488" s="203"/>
      <c r="U488" s="203"/>
      <c r="V488" s="203"/>
      <c r="W488" s="203"/>
      <c r="X488" s="203"/>
      <c r="Y488" s="203">
        <v>1.4730000000000001</v>
      </c>
      <c r="Z488" s="203">
        <v>1.32</v>
      </c>
      <c r="AA488" s="203">
        <v>1.355</v>
      </c>
      <c r="AB488" s="203">
        <v>1.4359999999999999</v>
      </c>
      <c r="AC488" s="203">
        <v>1.2090000000000001</v>
      </c>
    </row>
    <row r="489" spans="1:40" s="33" customFormat="1" hidden="1" outlineLevel="1">
      <c r="A489" s="192"/>
      <c r="B489" s="192"/>
      <c r="E489" s="33" t="s">
        <v>489</v>
      </c>
      <c r="H489" s="203"/>
      <c r="I489" s="203"/>
      <c r="J489" s="203"/>
      <c r="K489" s="203"/>
      <c r="L489" s="203"/>
      <c r="M489" s="203"/>
      <c r="N489" s="203"/>
      <c r="O489" s="203"/>
      <c r="P489" s="203"/>
      <c r="Q489" s="203"/>
      <c r="R489" s="203"/>
      <c r="S489" s="203"/>
      <c r="T489" s="203"/>
      <c r="U489" s="203"/>
      <c r="V489" s="203"/>
      <c r="W489" s="203"/>
      <c r="X489" s="203"/>
      <c r="Y489" s="203"/>
      <c r="Z489" s="203"/>
      <c r="AA489" s="203">
        <v>1.4370000000000001</v>
      </c>
      <c r="AB489" s="203">
        <v>1.163</v>
      </c>
      <c r="AC489" s="203">
        <v>1.0660000000000001</v>
      </c>
    </row>
    <row r="490" spans="1:40" s="33" customFormat="1" hidden="1" outlineLevel="1">
      <c r="A490" s="192"/>
      <c r="B490" s="192"/>
      <c r="E490" s="33" t="s">
        <v>490</v>
      </c>
      <c r="H490" s="203"/>
      <c r="I490" s="203"/>
      <c r="J490" s="203"/>
      <c r="K490" s="203"/>
      <c r="L490" s="203"/>
      <c r="M490" s="203"/>
      <c r="N490" s="203"/>
      <c r="O490" s="203"/>
      <c r="P490" s="203"/>
      <c r="Q490" s="203"/>
      <c r="R490" s="203"/>
      <c r="S490" s="203"/>
      <c r="T490" s="203"/>
      <c r="U490" s="203"/>
      <c r="V490" s="203"/>
      <c r="W490" s="203"/>
      <c r="X490" s="203"/>
      <c r="Y490" s="203"/>
      <c r="Z490" s="203"/>
      <c r="AA490" s="203">
        <v>1.3160000000000001</v>
      </c>
      <c r="AB490" s="203">
        <v>1.3740000000000001</v>
      </c>
      <c r="AC490" s="203">
        <v>1.1759999999999999</v>
      </c>
    </row>
    <row r="491" spans="1:40" s="33" customFormat="1" hidden="1" outlineLevel="1">
      <c r="A491" s="192"/>
      <c r="B491" s="192"/>
      <c r="H491" s="191"/>
      <c r="I491" s="191"/>
      <c r="J491" s="191"/>
      <c r="K491" s="191"/>
      <c r="L491" s="191"/>
      <c r="M491" s="191"/>
      <c r="N491" s="191"/>
      <c r="O491" s="191"/>
      <c r="P491" s="141"/>
      <c r="Q491" s="141"/>
      <c r="R491" s="141"/>
      <c r="S491" s="141"/>
      <c r="T491" s="141"/>
      <c r="U491" s="141"/>
      <c r="V491" s="141"/>
      <c r="W491" s="141"/>
      <c r="X491" s="141"/>
      <c r="Y491" s="141"/>
      <c r="Z491" s="141"/>
      <c r="AA491" s="141"/>
      <c r="AB491" s="141"/>
    </row>
    <row r="492" spans="1:40" s="33" customFormat="1" hidden="1" outlineLevel="1">
      <c r="A492" s="192"/>
      <c r="B492" s="192"/>
      <c r="E492" s="123" t="s">
        <v>491</v>
      </c>
      <c r="H492" s="177"/>
      <c r="I492" s="177"/>
      <c r="J492" s="177"/>
      <c r="K492" s="177"/>
      <c r="L492" s="177"/>
      <c r="M492" s="177"/>
      <c r="N492" s="177"/>
      <c r="O492" s="177"/>
      <c r="P492" s="177"/>
      <c r="Q492" s="177"/>
      <c r="R492" s="177"/>
      <c r="S492" s="177"/>
      <c r="T492" s="177"/>
      <c r="U492" s="177"/>
      <c r="V492" s="177"/>
      <c r="W492" s="177"/>
      <c r="X492" s="177"/>
      <c r="Y492" s="177">
        <v>82.7</v>
      </c>
      <c r="Z492" s="177">
        <v>110.81100000000001</v>
      </c>
      <c r="AA492" s="177">
        <v>142.84200000000001</v>
      </c>
      <c r="AB492" s="177">
        <v>196.53800000000001</v>
      </c>
      <c r="AC492" s="177">
        <v>260.399</v>
      </c>
    </row>
    <row r="493" spans="1:40" s="33" customFormat="1" hidden="1" outlineLevel="1">
      <c r="A493" s="192"/>
      <c r="B493" s="192"/>
      <c r="E493" s="123" t="s">
        <v>492</v>
      </c>
      <c r="H493" s="177"/>
      <c r="I493" s="177"/>
      <c r="J493" s="177"/>
      <c r="K493" s="177"/>
      <c r="L493" s="177"/>
      <c r="M493" s="177"/>
      <c r="N493" s="177"/>
      <c r="O493" s="177"/>
      <c r="P493" s="177"/>
      <c r="Q493" s="177"/>
      <c r="R493" s="177"/>
      <c r="S493" s="177"/>
      <c r="T493" s="177"/>
      <c r="U493" s="177"/>
      <c r="V493" s="177"/>
      <c r="W493" s="177"/>
      <c r="X493" s="177"/>
      <c r="Y493" s="177">
        <f>22.2*Z493/SUM($Z$493:$Z$495)</f>
        <v>4.731772931974402</v>
      </c>
      <c r="Z493" s="177">
        <v>7.194</v>
      </c>
      <c r="AA493" s="177">
        <v>18.806000000000001</v>
      </c>
      <c r="AB493" s="177">
        <v>44.06</v>
      </c>
      <c r="AC493" s="177">
        <v>39.496000000000002</v>
      </c>
    </row>
    <row r="494" spans="1:40" s="33" customFormat="1" hidden="1" outlineLevel="1">
      <c r="A494" s="192"/>
      <c r="B494" s="192"/>
      <c r="E494" s="123" t="s">
        <v>493</v>
      </c>
      <c r="H494" s="177"/>
      <c r="I494" s="177"/>
      <c r="J494" s="177"/>
      <c r="K494" s="177"/>
      <c r="L494" s="177"/>
      <c r="M494" s="177"/>
      <c r="N494" s="177"/>
      <c r="O494" s="177"/>
      <c r="P494" s="177"/>
      <c r="Q494" s="177"/>
      <c r="R494" s="177"/>
      <c r="S494" s="177"/>
      <c r="T494" s="177"/>
      <c r="U494" s="177"/>
      <c r="V494" s="177"/>
      <c r="W494" s="177"/>
      <c r="X494" s="177"/>
      <c r="Y494" s="177">
        <f>22.2*Z494/SUM($Z$493:$Z$495)</f>
        <v>14.160458639488033</v>
      </c>
      <c r="Z494" s="177">
        <v>21.529</v>
      </c>
      <c r="AA494" s="177">
        <v>27.594999999999999</v>
      </c>
      <c r="AB494" s="177">
        <v>32.768999999999998</v>
      </c>
      <c r="AC494" s="177">
        <v>35.177</v>
      </c>
    </row>
    <row r="495" spans="1:40" s="33" customFormat="1" hidden="1" outlineLevel="1">
      <c r="A495" s="192"/>
      <c r="B495" s="192"/>
      <c r="E495" s="123" t="s">
        <v>494</v>
      </c>
      <c r="H495" s="177"/>
      <c r="I495" s="177"/>
      <c r="J495" s="177"/>
      <c r="K495" s="177"/>
      <c r="L495" s="177"/>
      <c r="M495" s="177"/>
      <c r="N495" s="177"/>
      <c r="O495" s="177"/>
      <c r="P495" s="177"/>
      <c r="Q495" s="177"/>
      <c r="R495" s="177"/>
      <c r="S495" s="177"/>
      <c r="T495" s="177"/>
      <c r="U495" s="177"/>
      <c r="V495" s="177"/>
      <c r="W495" s="177"/>
      <c r="X495" s="177"/>
      <c r="Y495" s="177">
        <f>22.2*Z495/SUM($Z$493:$Z$495)</f>
        <v>3.3077684285375684</v>
      </c>
      <c r="Z495" s="177">
        <v>5.0289999999999999</v>
      </c>
      <c r="AA495" s="177">
        <v>11.218999999999999</v>
      </c>
      <c r="AB495" s="177">
        <v>17.507999999999999</v>
      </c>
      <c r="AC495" s="177">
        <v>19.257999999999999</v>
      </c>
    </row>
    <row r="496" spans="1:40" s="33" customFormat="1" hidden="1" outlineLevel="1">
      <c r="A496" s="192"/>
      <c r="B496" s="192"/>
      <c r="E496" s="2" t="s">
        <v>186</v>
      </c>
      <c r="F496" s="2"/>
      <c r="G496" s="2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>
        <f>SUM(Y492:Y495)</f>
        <v>104.9</v>
      </c>
      <c r="Z496" s="139">
        <f>SUM(Z492:Z495)</f>
        <v>144.56300000000002</v>
      </c>
      <c r="AA496" s="139">
        <f>SUM(AA492:AA495)</f>
        <v>200.46200000000002</v>
      </c>
      <c r="AB496" s="139">
        <f>SUM(AB492:AB495)</f>
        <v>290.875</v>
      </c>
      <c r="AC496" s="139">
        <f>SUM(AC492:AC495)</f>
        <v>354.33</v>
      </c>
    </row>
    <row r="497" spans="1:29" s="121" customFormat="1" hidden="1" outlineLevel="1">
      <c r="A497" s="223"/>
      <c r="B497" s="223"/>
      <c r="E497" s="228" t="s">
        <v>481</v>
      </c>
      <c r="H497" s="229"/>
      <c r="I497" s="229"/>
      <c r="J497" s="229"/>
      <c r="K497" s="229"/>
      <c r="L497" s="229"/>
      <c r="M497" s="229"/>
      <c r="N497" s="229"/>
      <c r="O497" s="229"/>
      <c r="P497" s="229"/>
      <c r="Q497" s="229"/>
      <c r="R497" s="229"/>
      <c r="S497" s="229"/>
      <c r="T497" s="229"/>
      <c r="U497" s="229"/>
      <c r="V497" s="229"/>
      <c r="W497" s="229"/>
      <c r="X497" s="229"/>
      <c r="Y497" s="229">
        <f>Y492/Y496</f>
        <v>0.7883698760724499</v>
      </c>
      <c r="Z497" s="229">
        <f>Z492/Z496</f>
        <v>0.76652393766039717</v>
      </c>
      <c r="AA497" s="229">
        <f>AA492/AA496</f>
        <v>0.71256397721263875</v>
      </c>
      <c r="AB497" s="229">
        <f>AB492/AB496</f>
        <v>0.67567855608079075</v>
      </c>
      <c r="AC497" s="229">
        <f>AC492/AC496</f>
        <v>0.73490531425507299</v>
      </c>
    </row>
    <row r="498" spans="1:29" s="33" customFormat="1" hidden="1" outlineLevel="1">
      <c r="A498" s="192"/>
      <c r="B498" s="192"/>
      <c r="H498" s="191"/>
      <c r="I498" s="191"/>
      <c r="J498" s="191"/>
      <c r="K498" s="191"/>
      <c r="L498" s="191"/>
      <c r="M498" s="191"/>
      <c r="N498" s="191"/>
      <c r="O498" s="191"/>
      <c r="P498" s="141"/>
      <c r="Q498" s="141"/>
      <c r="R498" s="141"/>
      <c r="S498" s="141"/>
      <c r="T498" s="141"/>
      <c r="U498" s="141"/>
      <c r="V498" s="141"/>
      <c r="W498" s="141"/>
      <c r="X498" s="141"/>
      <c r="Y498" s="141"/>
      <c r="Z498" s="141"/>
      <c r="AA498" s="141"/>
      <c r="AB498" s="141"/>
    </row>
    <row r="499" spans="1:29" s="33" customFormat="1" hidden="1" outlineLevel="1">
      <c r="A499" s="192"/>
      <c r="B499" s="192"/>
      <c r="E499" s="123" t="s">
        <v>488</v>
      </c>
      <c r="H499" s="177"/>
      <c r="I499" s="177"/>
      <c r="J499" s="177"/>
      <c r="K499" s="177"/>
      <c r="L499" s="177"/>
      <c r="M499" s="177"/>
      <c r="N499" s="177"/>
      <c r="O499" s="177"/>
      <c r="P499" s="177"/>
      <c r="Q499" s="177"/>
      <c r="R499" s="177"/>
      <c r="S499" s="177"/>
      <c r="T499" s="177"/>
      <c r="U499" s="177"/>
      <c r="V499" s="177"/>
      <c r="W499" s="177"/>
      <c r="X499" s="177"/>
      <c r="Y499" s="177">
        <v>86.164000000000001</v>
      </c>
      <c r="Z499" s="177">
        <v>121.639</v>
      </c>
      <c r="AA499" s="177">
        <v>174.92599999999999</v>
      </c>
      <c r="AB499" s="177">
        <v>256.483</v>
      </c>
      <c r="AC499" s="177">
        <v>313.36</v>
      </c>
    </row>
    <row r="500" spans="1:29" s="33" customFormat="1" hidden="1" outlineLevel="1">
      <c r="A500" s="192"/>
      <c r="B500" s="192"/>
      <c r="E500" s="123" t="s">
        <v>495</v>
      </c>
      <c r="H500" s="177"/>
      <c r="I500" s="177"/>
      <c r="J500" s="177"/>
      <c r="K500" s="177"/>
      <c r="L500" s="177"/>
      <c r="M500" s="177"/>
      <c r="N500" s="177"/>
      <c r="O500" s="177"/>
      <c r="P500" s="177"/>
      <c r="Q500" s="177"/>
      <c r="R500" s="177"/>
      <c r="S500" s="177"/>
      <c r="T500" s="177"/>
      <c r="U500" s="177"/>
      <c r="V500" s="177"/>
      <c r="W500" s="177"/>
      <c r="X500" s="177"/>
      <c r="Y500" s="177">
        <v>18.736000000000001</v>
      </c>
      <c r="Z500" s="177">
        <v>22.923999999999999</v>
      </c>
      <c r="AA500" s="177">
        <v>25.536000000000001</v>
      </c>
      <c r="AB500" s="177">
        <v>34.390999999999998</v>
      </c>
      <c r="AC500" s="177">
        <v>40.97</v>
      </c>
    </row>
    <row r="501" spans="1:29" s="33" customFormat="1" hidden="1" outlineLevel="1">
      <c r="A501" s="192"/>
      <c r="B501" s="192"/>
      <c r="E501" s="2" t="s">
        <v>186</v>
      </c>
      <c r="F501" s="2"/>
      <c r="G501" s="2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>
        <f>SUM(Y499:Y500)</f>
        <v>104.9</v>
      </c>
      <c r="Z501" s="139">
        <f>SUM(Z499:Z500)</f>
        <v>144.56299999999999</v>
      </c>
      <c r="AA501" s="139">
        <f>SUM(AA499:AA500)</f>
        <v>200.46199999999999</v>
      </c>
      <c r="AB501" s="139">
        <f>SUM(AB499:AB500)</f>
        <v>290.87400000000002</v>
      </c>
      <c r="AC501" s="139">
        <f>SUM(AC499:AC500)</f>
        <v>354.33000000000004</v>
      </c>
    </row>
    <row r="502" spans="1:29" s="33" customFormat="1" hidden="1" outlineLevel="1">
      <c r="A502" s="192"/>
      <c r="B502" s="192"/>
      <c r="E502" s="123" t="s">
        <v>654</v>
      </c>
      <c r="H502" s="222"/>
      <c r="I502" s="222"/>
      <c r="J502" s="222"/>
      <c r="K502" s="222"/>
      <c r="L502" s="222"/>
      <c r="M502" s="222"/>
      <c r="N502" s="222"/>
      <c r="O502" s="222"/>
      <c r="P502" s="222"/>
      <c r="Q502" s="222"/>
      <c r="R502" s="222"/>
      <c r="S502" s="222"/>
      <c r="T502" s="222"/>
      <c r="U502" s="222"/>
      <c r="V502" s="222"/>
      <c r="W502" s="222"/>
      <c r="X502" s="222"/>
      <c r="Y502" s="222">
        <f>IFERROR(Y499/AVERAGE(X483:Y483)*1000,"na")</f>
        <v>506.84705882352944</v>
      </c>
      <c r="Z502" s="222">
        <f>IFERROR(Z499/AVERAGE(Y483:Z483)*1000,"na")</f>
        <v>612.79093198992439</v>
      </c>
      <c r="AA502" s="222">
        <f>IFERROR(AA499/AVERAGE(Z483:AA483)*1000,"na")</f>
        <v>679.32427184466019</v>
      </c>
      <c r="AB502" s="222">
        <f>IFERROR(AB499/AVERAGE(AA483:AB483)*1000,"na")</f>
        <v>770.21921921921921</v>
      </c>
      <c r="AC502" s="222">
        <f>IFERROR(AC499/AVERAGE(AB483:AC483)*1000,"na")</f>
        <v>761.50668286755774</v>
      </c>
    </row>
    <row r="503" spans="1:29" s="121" customFormat="1" hidden="1" outlineLevel="1">
      <c r="A503" s="223"/>
      <c r="B503" s="223"/>
      <c r="E503" s="228" t="s">
        <v>507</v>
      </c>
      <c r="H503" s="229"/>
      <c r="I503" s="229"/>
      <c r="J503" s="229"/>
      <c r="K503" s="229"/>
      <c r="L503" s="229"/>
      <c r="M503" s="229"/>
      <c r="N503" s="229"/>
      <c r="O503" s="229"/>
      <c r="P503" s="229"/>
      <c r="Q503" s="229"/>
      <c r="R503" s="229"/>
      <c r="S503" s="229"/>
      <c r="T503" s="229"/>
      <c r="U503" s="229"/>
      <c r="V503" s="229"/>
      <c r="W503" s="229"/>
      <c r="X503" s="229"/>
      <c r="Y503" s="229" t="str">
        <f>IFERROR(Y502/X502-1,"na")</f>
        <v>na</v>
      </c>
      <c r="Z503" s="229">
        <f>IFERROR(Z502/Y502-1,"na")</f>
        <v>0.20902532888778547</v>
      </c>
      <c r="AA503" s="229">
        <f>IFERROR(AA502/Z502-1,"na")</f>
        <v>0.10857428917670364</v>
      </c>
      <c r="AB503" s="229">
        <f>IFERROR(AB502/AA502-1,"na")</f>
        <v>0.13380200169756895</v>
      </c>
      <c r="AC503" s="229">
        <f>IFERROR(AC502/AB502-1,"na")</f>
        <v>-1.131176181307636E-2</v>
      </c>
    </row>
    <row r="504" spans="1:29" s="33" customFormat="1" hidden="1" outlineLevel="1">
      <c r="A504" s="192"/>
      <c r="B504" s="192"/>
      <c r="E504" s="123" t="s">
        <v>653</v>
      </c>
      <c r="H504" s="222"/>
      <c r="I504" s="222"/>
      <c r="J504" s="222"/>
      <c r="K504" s="222"/>
      <c r="L504" s="222"/>
      <c r="M504" s="222"/>
      <c r="N504" s="222"/>
      <c r="O504" s="222"/>
      <c r="P504" s="222"/>
      <c r="Q504" s="222"/>
      <c r="R504" s="222"/>
      <c r="S504" s="222"/>
      <c r="T504" s="222"/>
      <c r="U504" s="222"/>
      <c r="V504" s="222"/>
      <c r="W504" s="222"/>
      <c r="X504" s="222"/>
      <c r="Y504" s="222">
        <f>IFERROR(Y500/AVERAGE(X484:Y484)*1000,"na")</f>
        <v>14.764381402679275</v>
      </c>
      <c r="Z504" s="222">
        <f>IFERROR(Z500/AVERAGE(Y484:Z484)*1000,"na")</f>
        <v>17.472560975609753</v>
      </c>
      <c r="AA504" s="222">
        <f>IFERROR(AA500/AVERAGE(Z484:AA484)*1000,"na")</f>
        <v>18.175088967971533</v>
      </c>
      <c r="AB504" s="222">
        <f>IFERROR(AB500/AVERAGE(AA484:AB484)*1000,"na")</f>
        <v>20.212165736115189</v>
      </c>
      <c r="AC504" s="222">
        <f>IFERROR(AC500/AVERAGE(AB484:AC484)*1000,"na")</f>
        <v>19.024843278384022</v>
      </c>
    </row>
    <row r="505" spans="1:29" s="121" customFormat="1" hidden="1" outlineLevel="1">
      <c r="A505" s="223"/>
      <c r="B505" s="223"/>
      <c r="E505" s="228" t="s">
        <v>507</v>
      </c>
      <c r="H505" s="229"/>
      <c r="I505" s="229"/>
      <c r="J505" s="229"/>
      <c r="K505" s="229"/>
      <c r="L505" s="229"/>
      <c r="M505" s="229"/>
      <c r="N505" s="229"/>
      <c r="O505" s="229"/>
      <c r="P505" s="229"/>
      <c r="Q505" s="229"/>
      <c r="R505" s="229"/>
      <c r="S505" s="229"/>
      <c r="T505" s="229"/>
      <c r="U505" s="229"/>
      <c r="V505" s="229"/>
      <c r="W505" s="229"/>
      <c r="X505" s="229"/>
      <c r="Y505" s="229" t="str">
        <f>IFERROR(Y504/X504-1,"na")</f>
        <v>na</v>
      </c>
      <c r="Z505" s="229">
        <f>IFERROR(Z504/Y504-1,"na")</f>
        <v>0.18342655198808577</v>
      </c>
      <c r="AA505" s="229">
        <f>IFERROR(AA504/Z504-1,"na")</f>
        <v>4.0207499824579385E-2</v>
      </c>
      <c r="AB505" s="229">
        <f>IFERROR(AB504/AA504-1,"na")</f>
        <v>0.11208070407432014</v>
      </c>
      <c r="AC505" s="229">
        <f>IFERROR(AC504/AB504-1,"na")</f>
        <v>-5.8742960711511194E-2</v>
      </c>
    </row>
    <row r="506" spans="1:29" s="124" customFormat="1" hidden="1" outlineLevel="1">
      <c r="A506" s="233"/>
      <c r="B506" s="233"/>
      <c r="E506" s="325" t="s">
        <v>652</v>
      </c>
      <c r="H506" s="326"/>
      <c r="I506" s="326"/>
      <c r="J506" s="326"/>
      <c r="K506" s="326"/>
      <c r="L506" s="326"/>
      <c r="M506" s="326"/>
      <c r="N506" s="326"/>
      <c r="O506" s="326"/>
      <c r="P506" s="326"/>
      <c r="Q506" s="326"/>
      <c r="R506" s="326"/>
      <c r="S506" s="326"/>
      <c r="T506" s="326"/>
      <c r="U506" s="326"/>
      <c r="V506" s="326"/>
      <c r="W506" s="326"/>
      <c r="X506" s="326"/>
      <c r="Y506" s="326">
        <f>IFERROR(Y501/AVERAGE(X485:Y485)*1000,"na")</f>
        <v>72.897845726198753</v>
      </c>
      <c r="Z506" s="326">
        <f>IFERROR(Z501/AVERAGE(Y485:Z485)*1000,"na")</f>
        <v>95.705395564382655</v>
      </c>
      <c r="AA506" s="326">
        <f>IFERROR(AA501/AVERAGE(Z485:AA485)*1000,"na")</f>
        <v>120.57864661654135</v>
      </c>
      <c r="AB506" s="326">
        <f>IFERROR(AB501/AVERAGE(AA485:AB485)*1000,"na")</f>
        <v>142.97075448513149</v>
      </c>
      <c r="AC506" s="326">
        <f>IFERROR(AC501/AVERAGE(AB485:AC485)*1000,"na")</f>
        <v>138.14035087719301</v>
      </c>
    </row>
    <row r="507" spans="1:29" s="121" customFormat="1" hidden="1" outlineLevel="1">
      <c r="A507" s="223"/>
      <c r="B507" s="223"/>
      <c r="E507" s="228" t="s">
        <v>507</v>
      </c>
      <c r="H507" s="229"/>
      <c r="I507" s="229"/>
      <c r="J507" s="229"/>
      <c r="K507" s="229"/>
      <c r="L507" s="229"/>
      <c r="M507" s="229"/>
      <c r="N507" s="229"/>
      <c r="O507" s="229"/>
      <c r="P507" s="229"/>
      <c r="Q507" s="229"/>
      <c r="R507" s="229"/>
      <c r="S507" s="229"/>
      <c r="T507" s="229"/>
      <c r="U507" s="229"/>
      <c r="V507" s="229"/>
      <c r="W507" s="229"/>
      <c r="X507" s="229"/>
      <c r="Y507" s="229" t="str">
        <f>IFERROR(Y506/X506-1,"na")</f>
        <v>na</v>
      </c>
      <c r="Z507" s="229">
        <f>IFERROR(Z506/Y506-1,"na")</f>
        <v>0.31287001160292305</v>
      </c>
      <c r="AA507" s="229">
        <f>IFERROR(AA506/Z506-1,"na")</f>
        <v>0.25989392662220423</v>
      </c>
      <c r="AB507" s="229">
        <f>IFERROR(AB506/AA506-1,"na")</f>
        <v>0.18570541714405286</v>
      </c>
      <c r="AC507" s="229">
        <f>IFERROR(AC506/AB506-1,"na")</f>
        <v>-3.3785955913388066E-2</v>
      </c>
    </row>
    <row r="508" spans="1:29" s="33" customFormat="1" hidden="1" outlineLevel="1">
      <c r="A508" s="192"/>
      <c r="B508" s="192"/>
      <c r="H508" s="191"/>
      <c r="I508" s="191"/>
      <c r="J508" s="191"/>
      <c r="K508" s="191"/>
      <c r="L508" s="191"/>
      <c r="M508" s="191"/>
      <c r="N508" s="191"/>
      <c r="O508" s="191"/>
      <c r="P508" s="141"/>
      <c r="Q508" s="141"/>
      <c r="R508" s="141"/>
      <c r="S508" s="141"/>
      <c r="T508" s="141"/>
      <c r="U508" s="141"/>
      <c r="V508" s="141"/>
      <c r="W508" s="141"/>
      <c r="X508" s="141"/>
      <c r="Y508" s="141"/>
      <c r="Z508" s="141"/>
      <c r="AA508" s="141"/>
      <c r="AB508" s="141"/>
    </row>
    <row r="509" spans="1:29" s="33" customFormat="1" hidden="1" outlineLevel="1">
      <c r="A509" s="192"/>
      <c r="B509" s="192"/>
      <c r="E509" s="142" t="s">
        <v>186</v>
      </c>
      <c r="H509" s="143"/>
      <c r="I509" s="143"/>
      <c r="J509" s="143"/>
      <c r="K509" s="143"/>
      <c r="L509" s="143"/>
      <c r="M509" s="143"/>
      <c r="N509" s="143"/>
      <c r="O509" s="143"/>
      <c r="P509" s="143"/>
      <c r="Q509" s="143"/>
      <c r="R509" s="143"/>
      <c r="S509" s="143"/>
      <c r="T509" s="143"/>
      <c r="U509" s="143"/>
      <c r="V509" s="143"/>
      <c r="W509" s="143"/>
      <c r="X509" s="143"/>
      <c r="Y509" s="143">
        <f>Y501</f>
        <v>104.9</v>
      </c>
      <c r="Z509" s="143">
        <f>Z501</f>
        <v>144.56299999999999</v>
      </c>
      <c r="AA509" s="143">
        <f>AA501</f>
        <v>200.46199999999999</v>
      </c>
      <c r="AB509" s="143">
        <f>AB501</f>
        <v>290.87400000000002</v>
      </c>
      <c r="AC509" s="143">
        <f>AC501</f>
        <v>354.33000000000004</v>
      </c>
    </row>
    <row r="510" spans="1:29" s="33" customFormat="1" hidden="1" outlineLevel="1">
      <c r="A510" s="192"/>
      <c r="B510" s="192"/>
      <c r="E510" s="123" t="s">
        <v>462</v>
      </c>
      <c r="H510" s="177"/>
      <c r="I510" s="177"/>
      <c r="J510" s="177"/>
      <c r="K510" s="177"/>
      <c r="L510" s="177"/>
      <c r="M510" s="177"/>
      <c r="N510" s="177"/>
      <c r="O510" s="177"/>
      <c r="P510" s="177"/>
      <c r="Q510" s="177"/>
      <c r="R510" s="177"/>
      <c r="S510" s="177"/>
      <c r="T510" s="177"/>
      <c r="U510" s="177"/>
      <c r="V510" s="177"/>
      <c r="W510" s="177"/>
      <c r="X510" s="177"/>
      <c r="Y510" s="177">
        <f>48.672-Y531*Y532</f>
        <v>41.992599999999996</v>
      </c>
      <c r="Z510" s="177">
        <f>65.499-Z531*Z532</f>
        <v>56.119</v>
      </c>
      <c r="AA510" s="177">
        <f>88.322-AA531*AA532</f>
        <v>75.129100000000008</v>
      </c>
      <c r="AB510" s="177">
        <f>120.007-AB531*AB532</f>
        <v>84.770400000000009</v>
      </c>
      <c r="AC510" s="177">
        <f>167.002-AC531*AC532</f>
        <v>108.75220000000002</v>
      </c>
    </row>
    <row r="511" spans="1:29" s="33" customFormat="1" hidden="1" outlineLevel="1">
      <c r="A511" s="192"/>
      <c r="B511" s="192"/>
      <c r="E511" s="2" t="s">
        <v>212</v>
      </c>
      <c r="F511" s="2"/>
      <c r="G511" s="2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>
        <f>Y509-Y510</f>
        <v>62.90740000000001</v>
      </c>
      <c r="Z511" s="139">
        <f>Z509-Z510</f>
        <v>88.443999999999988</v>
      </c>
      <c r="AA511" s="139">
        <f>AA509-AA510</f>
        <v>125.33289999999998</v>
      </c>
      <c r="AB511" s="139">
        <f>AB509-AB510</f>
        <v>206.10360000000003</v>
      </c>
      <c r="AC511" s="139">
        <f>AC509-AC510</f>
        <v>245.57780000000002</v>
      </c>
    </row>
    <row r="512" spans="1:29" s="33" customFormat="1" hidden="1" outlineLevel="1">
      <c r="A512" s="192"/>
      <c r="B512" s="192"/>
      <c r="E512" s="123" t="s">
        <v>329</v>
      </c>
      <c r="H512" s="177"/>
      <c r="I512" s="177"/>
      <c r="J512" s="177"/>
      <c r="K512" s="177"/>
      <c r="L512" s="177"/>
      <c r="M512" s="177"/>
      <c r="N512" s="177"/>
      <c r="O512" s="177"/>
      <c r="P512" s="177"/>
      <c r="Q512" s="177"/>
      <c r="R512" s="177"/>
      <c r="S512" s="177"/>
      <c r="T512" s="177"/>
      <c r="U512" s="177"/>
      <c r="V512" s="177"/>
      <c r="W512" s="177"/>
      <c r="X512" s="177"/>
      <c r="Y512" s="177">
        <f>28.989-Y531*Y533</f>
        <v>27.557700000000001</v>
      </c>
      <c r="Z512" s="177">
        <f>34.618-Z531*Z533</f>
        <v>32.608000000000004</v>
      </c>
      <c r="AA512" s="177">
        <f>46.492-AA531*AA533</f>
        <v>43.664949999999997</v>
      </c>
      <c r="AB512" s="177">
        <f>74.814-AB531*AB533</f>
        <v>67.263299999999987</v>
      </c>
      <c r="AC512" s="177">
        <f>126.589-AC531*AC533</f>
        <v>114.1069</v>
      </c>
    </row>
    <row r="513" spans="1:29" s="33" customFormat="1" hidden="1" outlineLevel="1">
      <c r="A513" s="192"/>
      <c r="B513" s="192"/>
      <c r="E513" s="123" t="s">
        <v>330</v>
      </c>
      <c r="H513" s="177"/>
      <c r="I513" s="177"/>
      <c r="J513" s="177"/>
      <c r="K513" s="177"/>
      <c r="L513" s="177"/>
      <c r="M513" s="177"/>
      <c r="N513" s="177"/>
      <c r="O513" s="177"/>
      <c r="P513" s="177"/>
      <c r="Q513" s="177"/>
      <c r="R513" s="177"/>
      <c r="S513" s="177"/>
      <c r="T513" s="177"/>
      <c r="U513" s="177"/>
      <c r="V513" s="177"/>
      <c r="W513" s="177"/>
      <c r="X513" s="177"/>
      <c r="Y513" s="177">
        <v>40.817999999999998</v>
      </c>
      <c r="Z513" s="177">
        <v>50.134</v>
      </c>
      <c r="AA513" s="177">
        <v>71.096999999999994</v>
      </c>
      <c r="AB513" s="177">
        <v>101.181</v>
      </c>
      <c r="AC513" s="177">
        <v>152.64500000000001</v>
      </c>
    </row>
    <row r="514" spans="1:29" s="33" customFormat="1" hidden="1" outlineLevel="1">
      <c r="A514" s="192"/>
      <c r="B514" s="192"/>
      <c r="E514" s="123" t="s">
        <v>239</v>
      </c>
      <c r="H514" s="177"/>
      <c r="I514" s="177"/>
      <c r="J514" s="177"/>
      <c r="K514" s="177"/>
      <c r="L514" s="177"/>
      <c r="M514" s="177"/>
      <c r="N514" s="177"/>
      <c r="O514" s="177"/>
      <c r="P514" s="177"/>
      <c r="Q514" s="177"/>
      <c r="R514" s="177"/>
      <c r="S514" s="177"/>
      <c r="T514" s="177"/>
      <c r="U514" s="177"/>
      <c r="V514" s="177"/>
      <c r="W514" s="177"/>
      <c r="X514" s="177"/>
      <c r="Y514" s="177">
        <f>17.451-Y531*Y534</f>
        <v>16.0197</v>
      </c>
      <c r="Z514" s="177">
        <f>23.45-Z531*Z534</f>
        <v>21.439999999999998</v>
      </c>
      <c r="AA514" s="177">
        <f>41.099-AA531*AA534</f>
        <v>38.271949999999997</v>
      </c>
      <c r="AB514" s="177">
        <f>102.084-AB531*AB534</f>
        <v>94.533299999999997</v>
      </c>
      <c r="AC514" s="177">
        <f>126.845-AC531*AC534</f>
        <v>114.3629</v>
      </c>
    </row>
    <row r="515" spans="1:29" s="33" customFormat="1" hidden="1" outlineLevel="1">
      <c r="A515" s="192"/>
      <c r="B515" s="192"/>
      <c r="E515" s="123" t="s">
        <v>217</v>
      </c>
      <c r="H515" s="222"/>
      <c r="I515" s="222"/>
      <c r="J515" s="222"/>
      <c r="K515" s="222"/>
      <c r="L515" s="222"/>
      <c r="M515" s="222"/>
      <c r="N515" s="222"/>
      <c r="O515" s="222"/>
      <c r="P515" s="222"/>
      <c r="Q515" s="222"/>
      <c r="R515" s="222"/>
      <c r="S515" s="222"/>
      <c r="T515" s="222"/>
      <c r="U515" s="222"/>
      <c r="V515" s="222"/>
      <c r="W515" s="222"/>
      <c r="X515" s="222"/>
      <c r="Y515" s="222">
        <f>Y531</f>
        <v>9.5419999999999998</v>
      </c>
      <c r="Z515" s="222">
        <f>Z531</f>
        <v>13.4</v>
      </c>
      <c r="AA515" s="222">
        <f>AA531</f>
        <v>18.847000000000001</v>
      </c>
      <c r="AB515" s="222">
        <f>AB531</f>
        <v>50.338000000000001</v>
      </c>
      <c r="AC515" s="222">
        <f>AC531</f>
        <v>83.213999999999999</v>
      </c>
    </row>
    <row r="516" spans="1:29" s="33" customFormat="1" hidden="1" outlineLevel="1">
      <c r="A516" s="192"/>
      <c r="B516" s="192"/>
      <c r="E516" s="2" t="s">
        <v>496</v>
      </c>
      <c r="F516" s="2"/>
      <c r="G516" s="2"/>
      <c r="H516" s="139"/>
      <c r="I516" s="139"/>
      <c r="J516" s="139"/>
      <c r="K516" s="139"/>
      <c r="L516" s="139"/>
      <c r="M516" s="139"/>
      <c r="N516" s="139"/>
      <c r="O516" s="139"/>
      <c r="P516" s="139"/>
      <c r="Q516" s="139"/>
      <c r="R516" s="139"/>
      <c r="S516" s="139"/>
      <c r="T516" s="139"/>
      <c r="U516" s="139"/>
      <c r="V516" s="139"/>
      <c r="W516" s="139"/>
      <c r="X516" s="139"/>
      <c r="Y516" s="139">
        <f>Y511-SUM(Y512:Y515)</f>
        <v>-31.029999999999987</v>
      </c>
      <c r="Z516" s="139">
        <f>Z511-SUM(Z512:Z515)</f>
        <v>-29.138000000000019</v>
      </c>
      <c r="AA516" s="139">
        <f>AA511-SUM(AA512:AA515)</f>
        <v>-46.548000000000016</v>
      </c>
      <c r="AB516" s="139">
        <f>AB511-SUM(AB512:AB515)</f>
        <v>-107.21199999999999</v>
      </c>
      <c r="AC516" s="139">
        <f>AC511-SUM(AC512:AC515)</f>
        <v>-218.75099999999992</v>
      </c>
    </row>
    <row r="517" spans="1:29" s="33" customFormat="1" hidden="1" outlineLevel="1">
      <c r="A517" s="192"/>
      <c r="B517" s="192"/>
      <c r="H517" s="191"/>
      <c r="I517" s="191"/>
      <c r="J517" s="191"/>
      <c r="K517" s="191"/>
      <c r="L517" s="191"/>
      <c r="M517" s="191"/>
      <c r="N517" s="191"/>
      <c r="O517" s="19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  <c r="AB517" s="141"/>
    </row>
    <row r="518" spans="1:29" s="33" customFormat="1" hidden="1" outlineLevel="1">
      <c r="A518" s="192"/>
      <c r="B518" s="192"/>
      <c r="E518" s="69" t="s">
        <v>504</v>
      </c>
      <c r="H518" s="187"/>
      <c r="I518" s="187"/>
      <c r="J518" s="187"/>
      <c r="K518" s="187"/>
      <c r="L518" s="187"/>
      <c r="M518" s="187"/>
      <c r="N518" s="187"/>
      <c r="O518" s="187"/>
      <c r="P518" s="187"/>
      <c r="Q518" s="187"/>
      <c r="R518" s="187"/>
      <c r="S518" s="187"/>
      <c r="T518" s="187"/>
      <c r="U518" s="187"/>
      <c r="V518" s="187"/>
      <c r="W518" s="187"/>
      <c r="X518" s="187"/>
      <c r="Y518" s="187" t="str">
        <f>IFERROR(Y509/X509-1,"na")</f>
        <v>na</v>
      </c>
      <c r="Z518" s="187">
        <f>IFERROR(Z509/Y509-1,"na")</f>
        <v>0.37810295519542403</v>
      </c>
      <c r="AA518" s="187">
        <f>IFERROR(AA509/Z509-1,"na")</f>
        <v>0.38667570540179708</v>
      </c>
      <c r="AB518" s="187">
        <f>IFERROR(AB509/AA509-1,"na")</f>
        <v>0.45101814807794005</v>
      </c>
      <c r="AC518" s="187">
        <f>IFERROR(AC509/AB509-1,"na")</f>
        <v>0.2181563151055097</v>
      </c>
    </row>
    <row r="519" spans="1:29" s="33" customFormat="1" hidden="1" outlineLevel="1">
      <c r="A519" s="192"/>
      <c r="B519" s="192"/>
      <c r="E519" s="69" t="s">
        <v>505</v>
      </c>
      <c r="H519" s="187"/>
      <c r="I519" s="187"/>
      <c r="J519" s="187"/>
      <c r="K519" s="187"/>
      <c r="L519" s="187"/>
      <c r="M519" s="187"/>
      <c r="N519" s="187"/>
      <c r="O519" s="187"/>
      <c r="P519" s="187"/>
      <c r="Q519" s="187"/>
      <c r="R519" s="187"/>
      <c r="S519" s="187"/>
      <c r="T519" s="187"/>
      <c r="U519" s="187"/>
      <c r="V519" s="187"/>
      <c r="W519" s="187"/>
      <c r="X519" s="187"/>
      <c r="Y519" s="187">
        <f>IFERROR(Y511/Y509,"na")</f>
        <v>0.5996892278360344</v>
      </c>
      <c r="Z519" s="187">
        <f>IFERROR(Z511/Z509,"na")</f>
        <v>0.6118024667446027</v>
      </c>
      <c r="AA519" s="187">
        <f>IFERROR(AA511/AA509,"na")</f>
        <v>0.62522024124272924</v>
      </c>
      <c r="AB519" s="187">
        <f>IFERROR(AB511/AB509,"na")</f>
        <v>0.70856659584562387</v>
      </c>
      <c r="AC519" s="187">
        <f>IFERROR(AC511/AC509,"na")</f>
        <v>0.69307651059746567</v>
      </c>
    </row>
    <row r="520" spans="1:29" s="33" customFormat="1" hidden="1" outlineLevel="1">
      <c r="A520" s="192"/>
      <c r="B520" s="192"/>
      <c r="E520" s="69" t="s">
        <v>104</v>
      </c>
      <c r="H520" s="187"/>
      <c r="I520" s="187"/>
      <c r="J520" s="187"/>
      <c r="K520" s="187"/>
      <c r="L520" s="187"/>
      <c r="M520" s="187"/>
      <c r="N520" s="187"/>
      <c r="O520" s="187"/>
      <c r="P520" s="187"/>
      <c r="Q520" s="187"/>
      <c r="R520" s="187"/>
      <c r="S520" s="187"/>
      <c r="T520" s="187"/>
      <c r="U520" s="187"/>
      <c r="V520" s="187"/>
      <c r="W520" s="187"/>
      <c r="X520" s="187"/>
      <c r="Y520" s="187">
        <f>IFERROR((Y516+Y515)/Y509,"na")</f>
        <v>-0.20484270734032398</v>
      </c>
      <c r="Z520" s="187">
        <f>IFERROR((Z516+Z515)/Z509,"na")</f>
        <v>-0.10886603072708799</v>
      </c>
      <c r="AA520" s="187">
        <f>IFERROR((AA516+AA515)/AA509,"na")</f>
        <v>-0.13818579082319848</v>
      </c>
      <c r="AB520" s="187">
        <f>IFERROR((AB516+AB515)/AB509,"na")</f>
        <v>-0.19552796056024252</v>
      </c>
      <c r="AC520" s="187">
        <f>IFERROR((AC516+AC515)/AC509,"na")</f>
        <v>-0.38251629836592982</v>
      </c>
    </row>
    <row r="521" spans="1:29" s="33" customFormat="1" hidden="1" outlineLevel="1">
      <c r="A521" s="192"/>
      <c r="B521" s="192"/>
      <c r="E521" s="218" t="s">
        <v>470</v>
      </c>
      <c r="H521" s="187"/>
      <c r="I521" s="187"/>
      <c r="J521" s="187"/>
      <c r="K521" s="187"/>
      <c r="L521" s="187"/>
      <c r="M521" s="187"/>
      <c r="N521" s="187"/>
      <c r="O521" s="187"/>
      <c r="P521" s="187"/>
      <c r="Q521" s="187"/>
      <c r="R521" s="187"/>
      <c r="S521" s="187"/>
      <c r="T521" s="187"/>
      <c r="U521" s="187"/>
      <c r="V521" s="187"/>
      <c r="W521" s="187"/>
      <c r="X521" s="187"/>
      <c r="Y521" s="187">
        <f>IFERROR(Y512/Y$509,"na")</f>
        <v>0.26270448045757866</v>
      </c>
      <c r="Z521" s="187">
        <f>IFERROR(Z512/Z$509,"na")</f>
        <v>0.22556255750088203</v>
      </c>
      <c r="AA521" s="187">
        <f>IFERROR(AA512/AA$509,"na")</f>
        <v>0.2178215821452445</v>
      </c>
      <c r="AB521" s="187">
        <f>IFERROR(AB512/AB$509,"na")</f>
        <v>0.23124548773695822</v>
      </c>
      <c r="AC521" s="187">
        <f>IFERROR(AC512/AC$509,"na")</f>
        <v>0.32203567296023478</v>
      </c>
    </row>
    <row r="522" spans="1:29" s="33" customFormat="1" hidden="1" outlineLevel="1">
      <c r="A522" s="192"/>
      <c r="B522" s="192"/>
      <c r="E522" s="220" t="s">
        <v>484</v>
      </c>
      <c r="H522" s="187"/>
      <c r="I522" s="187"/>
      <c r="J522" s="187"/>
      <c r="K522" s="187"/>
      <c r="L522" s="187"/>
      <c r="M522" s="187"/>
      <c r="N522" s="187"/>
      <c r="O522" s="187"/>
      <c r="P522" s="187"/>
      <c r="Q522" s="187"/>
      <c r="R522" s="187"/>
      <c r="S522" s="187"/>
      <c r="T522" s="187"/>
      <c r="U522" s="187"/>
      <c r="V522" s="187"/>
      <c r="W522" s="187"/>
      <c r="X522" s="187"/>
      <c r="Y522" s="187">
        <f>IFERROR((Y512+Y539)/Y509,"na")</f>
        <v>0.27365776930409913</v>
      </c>
      <c r="Z522" s="187">
        <f>IFERROR((Z512+Z539)/Z509,"na")</f>
        <v>0.24600347253446597</v>
      </c>
      <c r="AA522" s="187">
        <f>IFERROR((AA512+AA539)/AA509,"na")</f>
        <v>0.24204562460715748</v>
      </c>
      <c r="AB522" s="187">
        <f>IFERROR((AB512+AB539)/AB509,"na")</f>
        <v>0.25232334275321955</v>
      </c>
      <c r="AC522" s="187">
        <f>IFERROR((AC512+AC539)/AC509,"na")</f>
        <v>0.36007648237518691</v>
      </c>
    </row>
    <row r="523" spans="1:29" s="33" customFormat="1" hidden="1" outlineLevel="1">
      <c r="A523" s="192"/>
      <c r="B523" s="192"/>
      <c r="E523" s="218" t="s">
        <v>471</v>
      </c>
      <c r="H523" s="187"/>
      <c r="I523" s="187"/>
      <c r="J523" s="187"/>
      <c r="K523" s="187"/>
      <c r="L523" s="187"/>
      <c r="M523" s="187"/>
      <c r="N523" s="187"/>
      <c r="O523" s="187"/>
      <c r="P523" s="187"/>
      <c r="Q523" s="187"/>
      <c r="R523" s="187"/>
      <c r="S523" s="187"/>
      <c r="T523" s="187"/>
      <c r="U523" s="187"/>
      <c r="V523" s="187"/>
      <c r="W523" s="187"/>
      <c r="X523" s="187"/>
      <c r="Y523" s="187">
        <f t="shared" ref="Y523:AA525" si="349">IFERROR(Y513/Y$509,"na")</f>
        <v>0.3891134413727359</v>
      </c>
      <c r="Z523" s="187">
        <f t="shared" si="349"/>
        <v>0.34679689823813842</v>
      </c>
      <c r="AA523" s="187">
        <f t="shared" si="349"/>
        <v>0.35466572218176012</v>
      </c>
      <c r="AB523" s="187">
        <f t="shared" ref="AB523:AC525" si="350">IFERROR(AB513/AB$509,"na")</f>
        <v>0.34785164710493199</v>
      </c>
      <c r="AC523" s="187">
        <f t="shared" si="350"/>
        <v>0.43079897270905648</v>
      </c>
    </row>
    <row r="524" spans="1:29" s="33" customFormat="1" hidden="1" outlineLevel="1">
      <c r="A524" s="192"/>
      <c r="B524" s="192"/>
      <c r="E524" s="218" t="s">
        <v>472</v>
      </c>
      <c r="H524" s="187"/>
      <c r="I524" s="187"/>
      <c r="J524" s="187"/>
      <c r="K524" s="187"/>
      <c r="L524" s="187"/>
      <c r="M524" s="187"/>
      <c r="N524" s="187"/>
      <c r="O524" s="187"/>
      <c r="P524" s="187"/>
      <c r="Q524" s="187"/>
      <c r="R524" s="187"/>
      <c r="S524" s="187"/>
      <c r="T524" s="187"/>
      <c r="U524" s="187"/>
      <c r="V524" s="187"/>
      <c r="W524" s="187"/>
      <c r="X524" s="187"/>
      <c r="Y524" s="187">
        <f t="shared" si="349"/>
        <v>0.15271401334604384</v>
      </c>
      <c r="Z524" s="187">
        <f t="shared" si="349"/>
        <v>0.14830904173267018</v>
      </c>
      <c r="AA524" s="187">
        <f t="shared" si="349"/>
        <v>0.19091872773892307</v>
      </c>
      <c r="AB524" s="187">
        <f t="shared" si="350"/>
        <v>0.3249974215639761</v>
      </c>
      <c r="AC524" s="187">
        <f t="shared" si="350"/>
        <v>0.32275816329410434</v>
      </c>
    </row>
    <row r="525" spans="1:29" s="33" customFormat="1" hidden="1" outlineLevel="1">
      <c r="A525" s="192"/>
      <c r="B525" s="192"/>
      <c r="E525" s="218" t="s">
        <v>473</v>
      </c>
      <c r="H525" s="187"/>
      <c r="I525" s="187"/>
      <c r="J525" s="187"/>
      <c r="K525" s="187"/>
      <c r="L525" s="187"/>
      <c r="M525" s="187"/>
      <c r="N525" s="187"/>
      <c r="O525" s="187"/>
      <c r="P525" s="187"/>
      <c r="Q525" s="187"/>
      <c r="R525" s="187"/>
      <c r="S525" s="187"/>
      <c r="T525" s="187"/>
      <c r="U525" s="187"/>
      <c r="V525" s="187"/>
      <c r="W525" s="187"/>
      <c r="X525" s="187"/>
      <c r="Y525" s="187">
        <f t="shared" si="349"/>
        <v>9.0962821734985697E-2</v>
      </c>
      <c r="Z525" s="187">
        <f t="shared" si="349"/>
        <v>9.2693151082918882E-2</v>
      </c>
      <c r="AA525" s="187">
        <f t="shared" si="349"/>
        <v>9.4017818838483119E-2</v>
      </c>
      <c r="AB525" s="187">
        <f t="shared" si="350"/>
        <v>0.17305775009110472</v>
      </c>
      <c r="AC525" s="187">
        <f t="shared" si="350"/>
        <v>0.23484886969773935</v>
      </c>
    </row>
    <row r="526" spans="1:29" s="33" customFormat="1" hidden="1" outlineLevel="1">
      <c r="A526" s="192"/>
      <c r="B526" s="192"/>
      <c r="E526" s="69"/>
      <c r="H526" s="187"/>
      <c r="I526" s="187"/>
      <c r="J526" s="187"/>
      <c r="K526" s="187"/>
      <c r="L526" s="187"/>
      <c r="M526" s="187"/>
      <c r="N526" s="187"/>
      <c r="O526" s="187"/>
      <c r="P526" s="187"/>
      <c r="Q526" s="187"/>
      <c r="R526" s="187"/>
      <c r="S526" s="187"/>
      <c r="T526" s="187"/>
      <c r="U526" s="187"/>
      <c r="V526" s="187"/>
      <c r="W526" s="187"/>
      <c r="X526" s="187"/>
      <c r="Y526" s="187"/>
      <c r="Z526" s="187"/>
      <c r="AA526" s="187"/>
      <c r="AB526" s="187"/>
      <c r="AC526" s="187"/>
    </row>
    <row r="527" spans="1:29" s="33" customFormat="1" hidden="1" outlineLevel="1">
      <c r="A527" s="192"/>
      <c r="B527" s="192"/>
      <c r="E527" s="123" t="s">
        <v>217</v>
      </c>
      <c r="H527" s="177"/>
      <c r="I527" s="177"/>
      <c r="J527" s="177"/>
      <c r="K527" s="177"/>
      <c r="L527" s="177"/>
      <c r="M527" s="177"/>
      <c r="N527" s="177"/>
      <c r="O527" s="177"/>
      <c r="P527" s="177"/>
      <c r="Q527" s="177"/>
      <c r="R527" s="177"/>
      <c r="S527" s="177"/>
      <c r="T527" s="177"/>
      <c r="U527" s="177"/>
      <c r="V527" s="177"/>
      <c r="W527" s="177"/>
      <c r="X527" s="177"/>
      <c r="Y527" s="177">
        <v>9.5419999999999998</v>
      </c>
      <c r="Z527" s="177">
        <v>13.4</v>
      </c>
      <c r="AA527" s="177">
        <v>16.553000000000001</v>
      </c>
      <c r="AB527" s="177">
        <v>19.978999999999999</v>
      </c>
      <c r="AC527" s="177">
        <v>28.798999999999999</v>
      </c>
    </row>
    <row r="528" spans="1:29" s="33" customFormat="1" hidden="1" outlineLevel="1">
      <c r="A528" s="192"/>
      <c r="B528" s="192"/>
      <c r="E528" s="123" t="s">
        <v>499</v>
      </c>
      <c r="H528" s="177"/>
      <c r="I528" s="177"/>
      <c r="J528" s="177"/>
      <c r="K528" s="177"/>
      <c r="L528" s="177"/>
      <c r="M528" s="177"/>
      <c r="N528" s="177"/>
      <c r="O528" s="177"/>
      <c r="P528" s="177"/>
      <c r="Q528" s="177"/>
      <c r="R528" s="177"/>
      <c r="S528" s="177"/>
      <c r="T528" s="177"/>
      <c r="U528" s="177"/>
      <c r="V528" s="177"/>
      <c r="W528" s="177"/>
      <c r="X528" s="177"/>
      <c r="Y528" s="177">
        <v>0</v>
      </c>
      <c r="Z528" s="177">
        <v>0</v>
      </c>
      <c r="AA528" s="177">
        <v>0</v>
      </c>
      <c r="AB528" s="177">
        <v>5.0780000000000003</v>
      </c>
      <c r="AC528" s="177">
        <v>21.238</v>
      </c>
    </row>
    <row r="529" spans="1:29" s="33" customFormat="1" hidden="1" outlineLevel="1">
      <c r="A529" s="192"/>
      <c r="B529" s="192"/>
      <c r="E529" s="123" t="s">
        <v>497</v>
      </c>
      <c r="H529" s="177"/>
      <c r="I529" s="177"/>
      <c r="J529" s="177"/>
      <c r="K529" s="177"/>
      <c r="L529" s="177"/>
      <c r="M529" s="177"/>
      <c r="N529" s="177"/>
      <c r="O529" s="177"/>
      <c r="P529" s="177"/>
      <c r="Q529" s="177"/>
      <c r="R529" s="177"/>
      <c r="S529" s="177"/>
      <c r="T529" s="177"/>
      <c r="U529" s="177"/>
      <c r="V529" s="177"/>
      <c r="W529" s="177"/>
      <c r="X529" s="177"/>
      <c r="Y529" s="177">
        <v>0</v>
      </c>
      <c r="Z529" s="177">
        <v>0</v>
      </c>
      <c r="AA529" s="177">
        <v>0</v>
      </c>
      <c r="AB529" s="177">
        <v>21.765000000000001</v>
      </c>
      <c r="AC529" s="177">
        <v>26.882999999999999</v>
      </c>
    </row>
    <row r="530" spans="1:29" s="33" customFormat="1" hidden="1" outlineLevel="1">
      <c r="A530" s="192"/>
      <c r="B530" s="192"/>
      <c r="E530" s="123" t="s">
        <v>498</v>
      </c>
      <c r="H530" s="177"/>
      <c r="I530" s="177"/>
      <c r="J530" s="177"/>
      <c r="K530" s="177"/>
      <c r="L530" s="177"/>
      <c r="M530" s="177"/>
      <c r="N530" s="177"/>
      <c r="O530" s="177"/>
      <c r="P530" s="177"/>
      <c r="Q530" s="177"/>
      <c r="R530" s="177"/>
      <c r="S530" s="177"/>
      <c r="T530" s="177"/>
      <c r="U530" s="177"/>
      <c r="V530" s="177"/>
      <c r="W530" s="177"/>
      <c r="X530" s="177"/>
      <c r="Y530" s="177">
        <v>0</v>
      </c>
      <c r="Z530" s="177">
        <v>0</v>
      </c>
      <c r="AA530" s="177">
        <v>2.294</v>
      </c>
      <c r="AB530" s="177">
        <v>3.516</v>
      </c>
      <c r="AC530" s="177">
        <v>6.2939999999999996</v>
      </c>
    </row>
    <row r="531" spans="1:29" s="33" customFormat="1" hidden="1" outlineLevel="1">
      <c r="A531" s="192"/>
      <c r="B531" s="192"/>
      <c r="E531" s="2" t="s">
        <v>217</v>
      </c>
      <c r="F531" s="2"/>
      <c r="G531" s="2"/>
      <c r="H531" s="139"/>
      <c r="I531" s="139"/>
      <c r="J531" s="139"/>
      <c r="K531" s="139"/>
      <c r="L531" s="139"/>
      <c r="M531" s="139"/>
      <c r="N531" s="139"/>
      <c r="O531" s="139"/>
      <c r="P531" s="139"/>
      <c r="Q531" s="139"/>
      <c r="R531" s="139"/>
      <c r="S531" s="139"/>
      <c r="T531" s="139"/>
      <c r="U531" s="139"/>
      <c r="V531" s="139"/>
      <c r="W531" s="139"/>
      <c r="X531" s="139"/>
      <c r="Y531" s="139">
        <f>SUM(Y527:Y530)</f>
        <v>9.5419999999999998</v>
      </c>
      <c r="Z531" s="139">
        <f>SUM(Z527:Z530)</f>
        <v>13.4</v>
      </c>
      <c r="AA531" s="139">
        <f>SUM(AA527:AA530)</f>
        <v>18.847000000000001</v>
      </c>
      <c r="AB531" s="139">
        <f>SUM(AB527:AB530)</f>
        <v>50.338000000000001</v>
      </c>
      <c r="AC531" s="139">
        <f>SUM(AC527:AC530)</f>
        <v>83.213999999999999</v>
      </c>
    </row>
    <row r="532" spans="1:29" s="121" customFormat="1" hidden="1" outlineLevel="1">
      <c r="A532" s="223"/>
      <c r="B532" s="223"/>
      <c r="E532" s="224" t="s">
        <v>500</v>
      </c>
      <c r="H532" s="227"/>
      <c r="I532" s="227"/>
      <c r="J532" s="227"/>
      <c r="K532" s="227"/>
      <c r="L532" s="227"/>
      <c r="M532" s="227"/>
      <c r="N532" s="227"/>
      <c r="O532" s="227"/>
      <c r="P532" s="227"/>
      <c r="Q532" s="227"/>
      <c r="R532" s="227"/>
      <c r="S532" s="227"/>
      <c r="T532" s="227"/>
      <c r="U532" s="227"/>
      <c r="V532" s="227"/>
      <c r="W532" s="227"/>
      <c r="X532" s="227"/>
      <c r="Y532" s="227">
        <v>0.7</v>
      </c>
      <c r="Z532" s="227">
        <v>0.7</v>
      </c>
      <c r="AA532" s="227">
        <v>0.7</v>
      </c>
      <c r="AB532" s="227">
        <v>0.7</v>
      </c>
      <c r="AC532" s="227">
        <v>0.7</v>
      </c>
    </row>
    <row r="533" spans="1:29" s="121" customFormat="1" hidden="1" outlineLevel="1">
      <c r="A533" s="223"/>
      <c r="B533" s="223"/>
      <c r="E533" s="224" t="s">
        <v>501</v>
      </c>
      <c r="H533" s="227"/>
      <c r="I533" s="227"/>
      <c r="J533" s="227"/>
      <c r="K533" s="227"/>
      <c r="L533" s="227"/>
      <c r="M533" s="227"/>
      <c r="N533" s="227"/>
      <c r="O533" s="227"/>
      <c r="P533" s="227"/>
      <c r="Q533" s="227"/>
      <c r="R533" s="227"/>
      <c r="S533" s="227"/>
      <c r="T533" s="227"/>
      <c r="U533" s="227"/>
      <c r="V533" s="227"/>
      <c r="W533" s="227"/>
      <c r="X533" s="227"/>
      <c r="Y533" s="227">
        <v>0.15</v>
      </c>
      <c r="Z533" s="227">
        <v>0.15</v>
      </c>
      <c r="AA533" s="227">
        <v>0.15</v>
      </c>
      <c r="AB533" s="227">
        <v>0.15</v>
      </c>
      <c r="AC533" s="227">
        <v>0.15</v>
      </c>
    </row>
    <row r="534" spans="1:29" s="33" customFormat="1" hidden="1" outlineLevel="1">
      <c r="A534" s="192"/>
      <c r="B534" s="192"/>
      <c r="E534" s="224" t="s">
        <v>502</v>
      </c>
      <c r="H534" s="227"/>
      <c r="I534" s="227"/>
      <c r="J534" s="227"/>
      <c r="K534" s="227"/>
      <c r="L534" s="227"/>
      <c r="M534" s="227"/>
      <c r="N534" s="227"/>
      <c r="O534" s="227"/>
      <c r="P534" s="227"/>
      <c r="Q534" s="227"/>
      <c r="R534" s="227"/>
      <c r="S534" s="227"/>
      <c r="T534" s="227"/>
      <c r="U534" s="227"/>
      <c r="V534" s="227"/>
      <c r="W534" s="227"/>
      <c r="X534" s="227"/>
      <c r="Y534" s="227">
        <f>1-SUM(Y532:Y533)</f>
        <v>0.15000000000000002</v>
      </c>
      <c r="Z534" s="227">
        <f>1-SUM(Z532:Z533)</f>
        <v>0.15000000000000002</v>
      </c>
      <c r="AA534" s="227">
        <f>1-SUM(AA532:AA533)</f>
        <v>0.15000000000000002</v>
      </c>
      <c r="AB534" s="227">
        <f>1-SUM(AB532:AB533)</f>
        <v>0.15000000000000002</v>
      </c>
      <c r="AC534" s="227">
        <f>1-SUM(AC532:AC533)</f>
        <v>0.15000000000000002</v>
      </c>
    </row>
    <row r="535" spans="1:29" s="33" customFormat="1" hidden="1" outlineLevel="1">
      <c r="A535" s="192"/>
      <c r="B535" s="192"/>
      <c r="H535" s="191"/>
      <c r="I535" s="191"/>
      <c r="J535" s="191"/>
      <c r="K535" s="191"/>
      <c r="L535" s="191"/>
      <c r="M535" s="191"/>
      <c r="N535" s="191"/>
      <c r="O535" s="19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  <c r="AB535" s="141"/>
    </row>
    <row r="536" spans="1:29" s="33" customFormat="1" hidden="1" outlineLevel="1">
      <c r="A536" s="192"/>
      <c r="B536" s="192"/>
      <c r="E536" s="33" t="s">
        <v>127</v>
      </c>
      <c r="H536" s="177"/>
      <c r="I536" s="177"/>
      <c r="J536" s="177"/>
      <c r="K536" s="177"/>
      <c r="L536" s="177"/>
      <c r="M536" s="177"/>
      <c r="N536" s="177"/>
      <c r="O536" s="177"/>
      <c r="P536" s="177"/>
      <c r="Q536" s="177"/>
      <c r="R536" s="177"/>
      <c r="S536" s="177"/>
      <c r="T536" s="177"/>
      <c r="U536" s="177"/>
      <c r="V536" s="177"/>
      <c r="W536" s="177"/>
      <c r="X536" s="177"/>
      <c r="Y536" s="177">
        <v>0</v>
      </c>
      <c r="Z536" s="177">
        <v>0</v>
      </c>
      <c r="AA536" s="177">
        <v>0</v>
      </c>
      <c r="AB536" s="177">
        <v>200.988</v>
      </c>
      <c r="AC536" s="177">
        <v>1.169</v>
      </c>
    </row>
    <row r="537" spans="1:29" s="33" customFormat="1" hidden="1" outlineLevel="1">
      <c r="A537" s="192"/>
      <c r="B537" s="192"/>
      <c r="E537" s="33" t="s">
        <v>479</v>
      </c>
      <c r="H537" s="177"/>
      <c r="I537" s="177"/>
      <c r="J537" s="177"/>
      <c r="K537" s="177"/>
      <c r="L537" s="177"/>
      <c r="M537" s="177"/>
      <c r="N537" s="177"/>
      <c r="O537" s="177"/>
      <c r="P537" s="177"/>
      <c r="Q537" s="177"/>
      <c r="R537" s="177"/>
      <c r="S537" s="177"/>
      <c r="T537" s="177"/>
      <c r="U537" s="177"/>
      <c r="V537" s="177"/>
      <c r="W537" s="177"/>
      <c r="X537" s="177"/>
      <c r="Y537" s="177">
        <v>12.099</v>
      </c>
      <c r="Z537" s="177">
        <v>16.702000000000002</v>
      </c>
      <c r="AA537" s="177">
        <v>14.609</v>
      </c>
      <c r="AB537" s="177">
        <f>29.569-0.575</f>
        <v>28.994</v>
      </c>
      <c r="AC537" s="177">
        <f>34.816-0.588</f>
        <v>34.228000000000002</v>
      </c>
    </row>
    <row r="538" spans="1:29" s="33" customFormat="1" hidden="1" outlineLevel="1">
      <c r="A538" s="192"/>
      <c r="B538" s="192"/>
      <c r="E538" s="33" t="s">
        <v>506</v>
      </c>
      <c r="H538" s="177"/>
      <c r="I538" s="177"/>
      <c r="J538" s="177"/>
      <c r="K538" s="177"/>
      <c r="L538" s="177"/>
      <c r="M538" s="177"/>
      <c r="N538" s="177"/>
      <c r="O538" s="177"/>
      <c r="P538" s="177"/>
      <c r="Q538" s="177"/>
      <c r="R538" s="177"/>
      <c r="S538" s="177"/>
      <c r="T538" s="177"/>
      <c r="U538" s="177"/>
      <c r="V538" s="177"/>
      <c r="W538" s="177"/>
      <c r="X538" s="177"/>
      <c r="Y538" s="177">
        <v>0</v>
      </c>
      <c r="Z538" s="177">
        <v>0</v>
      </c>
      <c r="AA538" s="177">
        <v>0.63500000000000001</v>
      </c>
      <c r="AB538" s="177">
        <v>1.8109999999999999</v>
      </c>
      <c r="AC538" s="177">
        <v>2.0920000000000001</v>
      </c>
    </row>
    <row r="539" spans="1:29" s="33" customFormat="1" hidden="1" outlineLevel="1">
      <c r="A539" s="192"/>
      <c r="B539" s="192"/>
      <c r="E539" s="33" t="s">
        <v>478</v>
      </c>
      <c r="H539" s="177"/>
      <c r="I539" s="177"/>
      <c r="J539" s="177"/>
      <c r="K539" s="177"/>
      <c r="L539" s="177"/>
      <c r="M539" s="177"/>
      <c r="N539" s="177"/>
      <c r="O539" s="177"/>
      <c r="P539" s="177"/>
      <c r="Q539" s="177"/>
      <c r="R539" s="177"/>
      <c r="S539" s="177"/>
      <c r="T539" s="177"/>
      <c r="U539" s="177"/>
      <c r="V539" s="177"/>
      <c r="W539" s="177"/>
      <c r="X539" s="177"/>
      <c r="Y539" s="177">
        <v>1.149</v>
      </c>
      <c r="Z539" s="177">
        <v>2.9550000000000001</v>
      </c>
      <c r="AA539" s="177">
        <v>4.8559999999999999</v>
      </c>
      <c r="AB539" s="177">
        <v>6.1310000000000002</v>
      </c>
      <c r="AC539" s="177">
        <v>13.478999999999999</v>
      </c>
    </row>
    <row r="540" spans="1:29" s="33" customFormat="1" hidden="1" outlineLevel="1">
      <c r="A540" s="192"/>
      <c r="B540" s="192"/>
      <c r="H540" s="191"/>
      <c r="I540" s="191"/>
      <c r="J540" s="191"/>
      <c r="K540" s="191"/>
      <c r="L540" s="191"/>
      <c r="M540" s="191"/>
      <c r="N540" s="191"/>
      <c r="O540" s="19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  <c r="AB540" s="141"/>
    </row>
    <row r="541" spans="1:29" s="33" customFormat="1" hidden="1" outlineLevel="1">
      <c r="A541" s="192"/>
      <c r="B541" s="192"/>
      <c r="E541" s="33" t="s">
        <v>476</v>
      </c>
      <c r="H541" s="177"/>
      <c r="I541" s="177"/>
      <c r="J541" s="177"/>
      <c r="K541" s="177"/>
      <c r="L541" s="177"/>
      <c r="M541" s="177"/>
      <c r="N541" s="177"/>
      <c r="O541" s="177"/>
      <c r="P541" s="177"/>
      <c r="Q541" s="177"/>
      <c r="R541" s="177"/>
      <c r="S541" s="177"/>
      <c r="T541" s="177"/>
      <c r="U541" s="177"/>
      <c r="V541" s="177"/>
      <c r="W541" s="177"/>
      <c r="X541" s="177"/>
      <c r="Y541" s="177">
        <v>19.094000000000001</v>
      </c>
      <c r="Z541" s="177">
        <v>24.728999999999999</v>
      </c>
      <c r="AA541" s="177">
        <v>37.136000000000003</v>
      </c>
      <c r="AB541" s="177">
        <v>50.258000000000003</v>
      </c>
      <c r="AC541" s="177">
        <v>64.625</v>
      </c>
    </row>
    <row r="542" spans="1:29" s="33" customFormat="1" hidden="1" outlineLevel="1">
      <c r="A542" s="192"/>
      <c r="B542" s="192"/>
      <c r="E542" s="33" t="s">
        <v>477</v>
      </c>
      <c r="H542" s="177"/>
      <c r="I542" s="177"/>
      <c r="J542" s="177"/>
      <c r="K542" s="177"/>
      <c r="L542" s="177"/>
      <c r="M542" s="177"/>
      <c r="N542" s="177"/>
      <c r="O542" s="177"/>
      <c r="P542" s="177"/>
      <c r="Q542" s="177"/>
      <c r="R542" s="177"/>
      <c r="S542" s="177"/>
      <c r="T542" s="177"/>
      <c r="U542" s="177"/>
      <c r="V542" s="177"/>
      <c r="W542" s="177"/>
      <c r="X542" s="177"/>
      <c r="Y542" s="177">
        <f>4.095+11.529</f>
        <v>15.623999999999999</v>
      </c>
      <c r="Z542" s="177">
        <f>2.333+15.535</f>
        <v>17.868000000000002</v>
      </c>
      <c r="AA542" s="177">
        <f>4.602+19.878</f>
        <v>24.48</v>
      </c>
      <c r="AB542" s="177">
        <f>9.15+34.334</f>
        <v>43.484000000000002</v>
      </c>
      <c r="AC542" s="177">
        <f>9.257+36.112</f>
        <v>45.369</v>
      </c>
    </row>
    <row r="543" spans="1:29" s="33" customFormat="1" hidden="1" outlineLevel="1">
      <c r="A543" s="192"/>
      <c r="B543" s="192"/>
      <c r="H543" s="191"/>
      <c r="I543" s="191"/>
      <c r="J543" s="191"/>
      <c r="K543" s="191"/>
      <c r="L543" s="191"/>
      <c r="M543" s="191"/>
      <c r="N543" s="191"/>
      <c r="O543" s="19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  <c r="AB543" s="141"/>
    </row>
    <row r="544" spans="1:29" s="33" customFormat="1" hidden="1" outlineLevel="1">
      <c r="A544" s="192"/>
      <c r="B544" s="192"/>
      <c r="E544" s="33" t="s">
        <v>136</v>
      </c>
      <c r="H544" s="177"/>
      <c r="I544" s="177"/>
      <c r="J544" s="177"/>
      <c r="K544" s="177"/>
      <c r="L544" s="177"/>
      <c r="M544" s="177"/>
      <c r="N544" s="177"/>
      <c r="O544" s="177"/>
      <c r="P544" s="177"/>
      <c r="Q544" s="177"/>
      <c r="R544" s="177"/>
      <c r="S544" s="177"/>
      <c r="T544" s="177"/>
      <c r="U544" s="177"/>
      <c r="V544" s="177"/>
      <c r="W544" s="177"/>
      <c r="X544" s="177"/>
      <c r="Y544" s="177">
        <v>36.972999999999999</v>
      </c>
      <c r="Z544" s="177">
        <v>42.353999999999999</v>
      </c>
      <c r="AA544" s="177">
        <v>60.036999999999999</v>
      </c>
      <c r="AB544" s="177">
        <v>95.978999999999999</v>
      </c>
      <c r="AC544" s="177">
        <v>166.96100000000001</v>
      </c>
    </row>
    <row r="545" spans="1:40" s="33" customFormat="1" hidden="1" outlineLevel="1">
      <c r="A545" s="192"/>
      <c r="B545" s="192"/>
      <c r="E545" s="33" t="s">
        <v>138</v>
      </c>
      <c r="H545" s="177"/>
      <c r="I545" s="177"/>
      <c r="J545" s="177"/>
      <c r="K545" s="177"/>
      <c r="L545" s="177"/>
      <c r="M545" s="177"/>
      <c r="N545" s="177"/>
      <c r="O545" s="177"/>
      <c r="P545" s="177"/>
      <c r="Q545" s="177"/>
      <c r="R545" s="177"/>
      <c r="S545" s="177"/>
      <c r="T545" s="177"/>
      <c r="U545" s="177"/>
      <c r="V545" s="177"/>
      <c r="W545" s="177"/>
      <c r="X545" s="177"/>
      <c r="Y545" s="177">
        <v>0.69499999999999995</v>
      </c>
      <c r="Z545" s="177">
        <v>0.61</v>
      </c>
      <c r="AA545" s="177">
        <v>1.125</v>
      </c>
      <c r="AB545" s="177">
        <v>121.742</v>
      </c>
      <c r="AC545" s="177">
        <v>102.596</v>
      </c>
    </row>
    <row r="546" spans="1:40" s="33" customFormat="1" hidden="1" outlineLevel="1">
      <c r="A546" s="192"/>
      <c r="B546" s="192"/>
      <c r="E546" s="33" t="s">
        <v>223</v>
      </c>
      <c r="H546" s="177"/>
      <c r="I546" s="177"/>
      <c r="J546" s="177"/>
      <c r="K546" s="177"/>
      <c r="L546" s="177"/>
      <c r="M546" s="177"/>
      <c r="N546" s="177"/>
      <c r="O546" s="177"/>
      <c r="P546" s="177"/>
      <c r="Q546" s="177"/>
      <c r="R546" s="177"/>
      <c r="S546" s="177"/>
      <c r="T546" s="177"/>
      <c r="U546" s="177"/>
      <c r="V546" s="177"/>
      <c r="W546" s="177"/>
      <c r="X546" s="177"/>
      <c r="Y546" s="177"/>
      <c r="Z546" s="177"/>
      <c r="AA546" s="177"/>
      <c r="AB546" s="177">
        <v>60.018999999999998</v>
      </c>
      <c r="AC546" s="177">
        <v>69.631</v>
      </c>
    </row>
    <row r="547" spans="1:40" s="33" customFormat="1" hidden="1" outlineLevel="1">
      <c r="A547" s="192"/>
      <c r="B547" s="192"/>
      <c r="E547" s="69" t="s">
        <v>482</v>
      </c>
      <c r="H547" s="187"/>
      <c r="I547" s="187"/>
      <c r="J547" s="187"/>
      <c r="K547" s="187"/>
      <c r="L547" s="187"/>
      <c r="M547" s="187"/>
      <c r="N547" s="187"/>
      <c r="O547" s="187"/>
      <c r="P547" s="187"/>
      <c r="Q547" s="187"/>
      <c r="R547" s="187"/>
      <c r="S547" s="187"/>
      <c r="T547" s="187"/>
      <c r="U547" s="187"/>
      <c r="V547" s="187"/>
      <c r="W547" s="187"/>
      <c r="X547" s="187"/>
      <c r="Y547" s="187">
        <f>IFERROR(Y544/Y509,"na")</f>
        <v>0.35245948522402287</v>
      </c>
      <c r="Z547" s="187">
        <f>IFERROR(Z544/Z509,"na")</f>
        <v>0.29297953141536909</v>
      </c>
      <c r="AA547" s="187">
        <f>IFERROR(AA544/AA509,"na")</f>
        <v>0.29949317077550858</v>
      </c>
      <c r="AB547" s="187">
        <f>IFERROR(AB544/AB509,"na")</f>
        <v>0.32996761484354048</v>
      </c>
      <c r="AC547" s="187">
        <f>IFERROR(AC544/AC509,"na")</f>
        <v>0.47120198684841813</v>
      </c>
    </row>
    <row r="548" spans="1:40" s="33" customFormat="1" hidden="1" outlineLevel="1">
      <c r="A548" s="192"/>
      <c r="B548" s="192"/>
      <c r="E548" s="69" t="s">
        <v>483</v>
      </c>
      <c r="H548" s="187"/>
      <c r="I548" s="187"/>
      <c r="J548" s="187"/>
      <c r="K548" s="187"/>
      <c r="L548" s="187"/>
      <c r="M548" s="187"/>
      <c r="N548" s="187"/>
      <c r="O548" s="187"/>
      <c r="P548" s="187"/>
      <c r="Q548" s="187"/>
      <c r="R548" s="187"/>
      <c r="S548" s="187"/>
      <c r="T548" s="187"/>
      <c r="U548" s="187"/>
      <c r="V548" s="187"/>
      <c r="W548" s="187"/>
      <c r="X548" s="187"/>
      <c r="Y548" s="187"/>
      <c r="Z548" s="187"/>
      <c r="AA548" s="187"/>
      <c r="AB548" s="187">
        <f>IFERROR(AB546/AB509,"na")</f>
        <v>0.20634020228690084</v>
      </c>
      <c r="AC548" s="187">
        <f>IFERROR(AC546/AC509,"na")</f>
        <v>0.1965145485846527</v>
      </c>
    </row>
    <row r="549" spans="1:40" s="33" customFormat="1" hidden="1" outlineLevel="1">
      <c r="A549" s="192"/>
      <c r="B549" s="192"/>
      <c r="H549" s="191"/>
      <c r="I549" s="191"/>
      <c r="J549" s="191"/>
      <c r="K549" s="191"/>
      <c r="L549" s="191"/>
      <c r="M549" s="191"/>
      <c r="N549" s="191"/>
      <c r="O549" s="19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  <c r="AB549" s="141"/>
    </row>
    <row r="550" spans="1:40" s="33" customFormat="1" collapsed="1">
      <c r="A550" s="192"/>
      <c r="B550" s="192"/>
      <c r="H550" s="191"/>
      <c r="I550" s="191"/>
      <c r="J550" s="191"/>
      <c r="K550" s="191"/>
      <c r="L550" s="191"/>
      <c r="M550" s="191"/>
      <c r="N550" s="191"/>
      <c r="O550" s="19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  <c r="AB550" s="141"/>
    </row>
    <row r="551" spans="1:40">
      <c r="D551" s="90"/>
      <c r="E551" s="91" t="s">
        <v>646</v>
      </c>
      <c r="F551" s="90"/>
      <c r="G551" s="91" t="s">
        <v>647</v>
      </c>
      <c r="H551" s="90"/>
      <c r="I551" s="90"/>
      <c r="J551" s="90"/>
      <c r="K551" s="90"/>
      <c r="L551" s="90"/>
      <c r="M551" s="90"/>
      <c r="N551" s="90"/>
      <c r="O551" s="90"/>
      <c r="P551" s="90"/>
      <c r="Q551" s="90"/>
      <c r="R551" s="90"/>
      <c r="S551" s="90"/>
      <c r="T551" s="90"/>
      <c r="U551" s="90"/>
      <c r="V551" s="90"/>
      <c r="W551" s="90"/>
      <c r="X551" s="90"/>
      <c r="Y551" s="90"/>
      <c r="Z551" s="90"/>
      <c r="AA551" s="90"/>
      <c r="AB551" s="90"/>
      <c r="AC551" s="90"/>
      <c r="AD551" s="90"/>
      <c r="AE551" s="90"/>
      <c r="AF551" s="90"/>
      <c r="AG551" s="90"/>
      <c r="AH551" s="90"/>
      <c r="AI551" s="90"/>
      <c r="AJ551" s="90"/>
      <c r="AK551" s="90"/>
      <c r="AL551" s="90"/>
      <c r="AM551" s="90"/>
      <c r="AN551" s="90"/>
    </row>
    <row r="552" spans="1:40" s="33" customFormat="1" hidden="1" outlineLevel="1">
      <c r="A552" s="192"/>
      <c r="B552" s="192"/>
      <c r="H552" s="191"/>
      <c r="I552" s="191"/>
      <c r="J552" s="191"/>
      <c r="K552" s="191"/>
      <c r="L552" s="191"/>
      <c r="M552" s="191"/>
      <c r="N552" s="191"/>
      <c r="O552" s="19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  <c r="AA552" s="141"/>
      <c r="AB552" s="141"/>
    </row>
    <row r="553" spans="1:40" s="33" customFormat="1" hidden="1" outlineLevel="1">
      <c r="A553" s="192"/>
      <c r="B553" s="192"/>
      <c r="E553" s="33" t="s">
        <v>633</v>
      </c>
      <c r="H553" s="177"/>
      <c r="I553" s="177"/>
      <c r="J553" s="177"/>
      <c r="K553" s="177"/>
      <c r="L553" s="177"/>
      <c r="M553" s="177"/>
      <c r="N553" s="177"/>
      <c r="O553" s="177"/>
      <c r="P553" s="177"/>
      <c r="Q553" s="177"/>
      <c r="R553" s="177">
        <v>1824</v>
      </c>
      <c r="S553" s="177">
        <v>1565</v>
      </c>
      <c r="T553" s="177">
        <v>1451</v>
      </c>
      <c r="U553" s="177">
        <v>1295</v>
      </c>
      <c r="V553" s="177">
        <v>1095</v>
      </c>
      <c r="W553" s="177">
        <v>963</v>
      </c>
      <c r="X553" s="177">
        <v>851</v>
      </c>
      <c r="Y553" s="177">
        <v>717</v>
      </c>
      <c r="Z553" s="177">
        <v>649</v>
      </c>
      <c r="AA553" s="177">
        <v>599</v>
      </c>
      <c r="AB553" s="177">
        <v>527</v>
      </c>
      <c r="AC553" s="177">
        <v>580</v>
      </c>
    </row>
    <row r="554" spans="1:40" s="121" customFormat="1" hidden="1" outlineLevel="1">
      <c r="A554" s="223"/>
      <c r="B554" s="223"/>
      <c r="E554" s="224" t="s">
        <v>656</v>
      </c>
      <c r="H554" s="167"/>
      <c r="I554" s="167"/>
      <c r="J554" s="167"/>
      <c r="K554" s="167"/>
      <c r="L554" s="167"/>
      <c r="M554" s="167"/>
      <c r="N554" s="167"/>
      <c r="O554" s="167"/>
      <c r="P554" s="167"/>
      <c r="Q554" s="167"/>
      <c r="R554" s="167"/>
      <c r="S554" s="167">
        <f t="shared" ref="S554:AC554" si="351">S553/R553-1</f>
        <v>-0.14199561403508776</v>
      </c>
      <c r="T554" s="167">
        <f t="shared" si="351"/>
        <v>-7.284345047923324E-2</v>
      </c>
      <c r="U554" s="167">
        <f t="shared" si="351"/>
        <v>-0.10751206064782903</v>
      </c>
      <c r="V554" s="167">
        <f t="shared" si="351"/>
        <v>-0.15444015444015446</v>
      </c>
      <c r="W554" s="167">
        <f t="shared" si="351"/>
        <v>-0.1205479452054794</v>
      </c>
      <c r="X554" s="167">
        <f t="shared" si="351"/>
        <v>-0.1163032191069574</v>
      </c>
      <c r="Y554" s="167">
        <f t="shared" si="351"/>
        <v>-0.15746180963572265</v>
      </c>
      <c r="Z554" s="167">
        <f t="shared" si="351"/>
        <v>-9.4839609483960974E-2</v>
      </c>
      <c r="AA554" s="167">
        <f t="shared" si="351"/>
        <v>-7.7041602465331316E-2</v>
      </c>
      <c r="AB554" s="167">
        <f t="shared" si="351"/>
        <v>-0.12020033388981632</v>
      </c>
      <c r="AC554" s="167">
        <f t="shared" si="351"/>
        <v>0.10056925996204935</v>
      </c>
    </row>
    <row r="555" spans="1:40" s="122" customFormat="1" hidden="1" outlineLevel="1">
      <c r="A555" s="230"/>
      <c r="B555" s="230"/>
      <c r="E555" s="327" t="s">
        <v>630</v>
      </c>
      <c r="H555" s="326"/>
      <c r="I555" s="326"/>
      <c r="J555" s="326"/>
      <c r="K555" s="326"/>
      <c r="L555" s="326"/>
      <c r="M555" s="326"/>
      <c r="N555" s="326"/>
      <c r="O555" s="326"/>
      <c r="P555" s="326"/>
      <c r="Q555" s="326"/>
      <c r="R555" s="326">
        <f t="shared" ref="R555:AC555" si="352">R558/AVERAGE(Q553:R553)*1000</f>
        <v>84.552083333333343</v>
      </c>
      <c r="S555" s="326">
        <f t="shared" si="352"/>
        <v>101.08704632634996</v>
      </c>
      <c r="T555" s="326">
        <f t="shared" si="352"/>
        <v>119.51989389920423</v>
      </c>
      <c r="U555" s="326">
        <f t="shared" si="352"/>
        <v>126.31682447195922</v>
      </c>
      <c r="V555" s="326">
        <f t="shared" si="352"/>
        <v>135.78158995815897</v>
      </c>
      <c r="W555" s="326">
        <f t="shared" si="352"/>
        <v>166.0952380952381</v>
      </c>
      <c r="X555" s="326">
        <f t="shared" si="352"/>
        <v>185.48401323043001</v>
      </c>
      <c r="Y555" s="326">
        <f t="shared" si="352"/>
        <v>235.15306122448982</v>
      </c>
      <c r="Z555" s="326">
        <f t="shared" si="352"/>
        <v>286.48609077598826</v>
      </c>
      <c r="AA555" s="326">
        <f t="shared" si="352"/>
        <v>321.52884615384613</v>
      </c>
      <c r="AB555" s="326">
        <f t="shared" si="352"/>
        <v>408.87033747779748</v>
      </c>
      <c r="AC555" s="326">
        <f t="shared" si="352"/>
        <v>393.18879855465224</v>
      </c>
    </row>
    <row r="556" spans="1:40" s="121" customFormat="1" hidden="1" outlineLevel="1">
      <c r="A556" s="223"/>
      <c r="B556" s="223"/>
      <c r="E556" s="224" t="s">
        <v>656</v>
      </c>
      <c r="H556" s="167"/>
      <c r="I556" s="167"/>
      <c r="J556" s="167"/>
      <c r="K556" s="167"/>
      <c r="L556" s="167"/>
      <c r="M556" s="167"/>
      <c r="N556" s="167"/>
      <c r="O556" s="167"/>
      <c r="P556" s="167"/>
      <c r="Q556" s="167"/>
      <c r="R556" s="167"/>
      <c r="S556" s="167">
        <f t="shared" ref="S556:AC556" si="353">S555/R555-1</f>
        <v>0.19555949825423125</v>
      </c>
      <c r="T556" s="167">
        <f t="shared" si="353"/>
        <v>0.18234628711324263</v>
      </c>
      <c r="U556" s="167">
        <f t="shared" si="353"/>
        <v>5.6868612839358068E-2</v>
      </c>
      <c r="V556" s="167">
        <f t="shared" si="353"/>
        <v>7.492877948575094E-2</v>
      </c>
      <c r="W556" s="167">
        <f t="shared" si="353"/>
        <v>0.22325300614332377</v>
      </c>
      <c r="X556" s="167">
        <f t="shared" si="353"/>
        <v>0.11673287782082276</v>
      </c>
      <c r="Y556" s="167">
        <f t="shared" si="353"/>
        <v>0.26778074901989046</v>
      </c>
      <c r="Z556" s="167">
        <f t="shared" si="353"/>
        <v>0.21829624196341268</v>
      </c>
      <c r="AA556" s="167">
        <f t="shared" si="353"/>
        <v>0.12231922074450319</v>
      </c>
      <c r="AB556" s="167">
        <f t="shared" si="353"/>
        <v>0.27164434037174967</v>
      </c>
      <c r="AC556" s="167">
        <f t="shared" si="353"/>
        <v>-3.835332985973039E-2</v>
      </c>
    </row>
    <row r="557" spans="1:40" s="33" customFormat="1" hidden="1" outlineLevel="1">
      <c r="A557" s="192"/>
      <c r="B557" s="192"/>
      <c r="H557" s="191"/>
      <c r="I557" s="191"/>
      <c r="J557" s="191"/>
      <c r="K557" s="191"/>
      <c r="L557" s="191"/>
      <c r="M557" s="191"/>
      <c r="N557" s="191"/>
      <c r="O557" s="19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</row>
    <row r="558" spans="1:40" s="33" customFormat="1" hidden="1" outlineLevel="1">
      <c r="A558" s="192"/>
      <c r="B558" s="192"/>
      <c r="E558" s="142" t="s">
        <v>186</v>
      </c>
      <c r="H558" s="324"/>
      <c r="I558" s="324"/>
      <c r="J558" s="324"/>
      <c r="K558" s="324"/>
      <c r="L558" s="324"/>
      <c r="M558" s="324"/>
      <c r="N558" s="324"/>
      <c r="O558" s="324"/>
      <c r="P558" s="324"/>
      <c r="Q558" s="324"/>
      <c r="R558" s="324">
        <v>154.22300000000001</v>
      </c>
      <c r="S558" s="324">
        <v>171.292</v>
      </c>
      <c r="T558" s="324">
        <v>180.23599999999999</v>
      </c>
      <c r="U558" s="324">
        <v>173.43299999999999</v>
      </c>
      <c r="V558" s="324">
        <v>162.25899999999999</v>
      </c>
      <c r="W558" s="324">
        <v>170.91200000000001</v>
      </c>
      <c r="X558" s="324">
        <v>168.23400000000001</v>
      </c>
      <c r="Y558" s="324">
        <v>184.36</v>
      </c>
      <c r="Z558" s="324">
        <v>195.67</v>
      </c>
      <c r="AA558" s="324">
        <v>200.63399999999999</v>
      </c>
      <c r="AB558" s="324">
        <v>230.19399999999999</v>
      </c>
      <c r="AC558" s="324">
        <v>217.63</v>
      </c>
    </row>
    <row r="559" spans="1:40" s="33" customFormat="1" hidden="1" outlineLevel="1">
      <c r="A559" s="192"/>
      <c r="B559" s="192"/>
      <c r="E559" s="123" t="s">
        <v>462</v>
      </c>
      <c r="H559" s="177"/>
      <c r="I559" s="177"/>
      <c r="J559" s="177"/>
      <c r="K559" s="177"/>
      <c r="L559" s="177"/>
      <c r="M559" s="177"/>
      <c r="N559" s="177"/>
      <c r="O559" s="177"/>
      <c r="P559" s="177"/>
      <c r="Q559" s="177"/>
      <c r="R559" s="177">
        <v>72.358000000000004</v>
      </c>
      <c r="S559" s="177">
        <v>82.975999999999999</v>
      </c>
      <c r="T559" s="177">
        <v>85.225999999999999</v>
      </c>
      <c r="U559" s="177">
        <v>88.783000000000001</v>
      </c>
      <c r="V559" s="177">
        <v>82.176000000000002</v>
      </c>
      <c r="W559" s="177">
        <v>84.817999999999998</v>
      </c>
      <c r="X559" s="177">
        <v>78.856999999999999</v>
      </c>
      <c r="Y559" s="177">
        <v>78.423000000000002</v>
      </c>
      <c r="Z559" s="177">
        <v>85.92</v>
      </c>
      <c r="AA559" s="177">
        <v>99.897000000000006</v>
      </c>
      <c r="AB559" s="177">
        <v>125.509</v>
      </c>
      <c r="AC559" s="177">
        <v>134.773</v>
      </c>
    </row>
    <row r="560" spans="1:40" s="33" customFormat="1" hidden="1" outlineLevel="1">
      <c r="A560" s="192"/>
      <c r="B560" s="192"/>
      <c r="E560" s="2" t="s">
        <v>212</v>
      </c>
      <c r="F560" s="2"/>
      <c r="G560" s="2"/>
      <c r="H560" s="139"/>
      <c r="I560" s="139"/>
      <c r="J560" s="139"/>
      <c r="K560" s="139"/>
      <c r="L560" s="139"/>
      <c r="M560" s="139"/>
      <c r="N560" s="139"/>
      <c r="O560" s="139"/>
      <c r="P560" s="139"/>
      <c r="Q560" s="139"/>
      <c r="R560" s="139">
        <f t="shared" ref="R560:W560" si="354">R558-R559</f>
        <v>81.865000000000009</v>
      </c>
      <c r="S560" s="139">
        <f t="shared" si="354"/>
        <v>88.316000000000003</v>
      </c>
      <c r="T560" s="139">
        <f t="shared" si="354"/>
        <v>95.009999999999991</v>
      </c>
      <c r="U560" s="139">
        <f t="shared" si="354"/>
        <v>84.649999999999991</v>
      </c>
      <c r="V560" s="139">
        <f t="shared" si="354"/>
        <v>80.082999999999984</v>
      </c>
      <c r="W560" s="139">
        <f t="shared" si="354"/>
        <v>86.094000000000008</v>
      </c>
      <c r="X560" s="139">
        <f t="shared" ref="X560:AC560" si="355">X558-X559</f>
        <v>89.37700000000001</v>
      </c>
      <c r="Y560" s="139">
        <f t="shared" si="355"/>
        <v>105.93700000000001</v>
      </c>
      <c r="Z560" s="139">
        <f t="shared" si="355"/>
        <v>109.74999999999999</v>
      </c>
      <c r="AA560" s="139">
        <f t="shared" si="355"/>
        <v>100.73699999999998</v>
      </c>
      <c r="AB560" s="139">
        <f t="shared" si="355"/>
        <v>104.68499999999999</v>
      </c>
      <c r="AC560" s="139">
        <f t="shared" si="355"/>
        <v>82.856999999999999</v>
      </c>
    </row>
    <row r="561" spans="1:29" s="33" customFormat="1" hidden="1" outlineLevel="1">
      <c r="A561" s="192"/>
      <c r="B561" s="192"/>
      <c r="E561" s="123" t="s">
        <v>329</v>
      </c>
      <c r="H561" s="177"/>
      <c r="I561" s="177"/>
      <c r="J561" s="177"/>
      <c r="K561" s="177"/>
      <c r="L561" s="177"/>
      <c r="M561" s="177"/>
      <c r="N561" s="177"/>
      <c r="O561" s="177"/>
      <c r="P561" s="177"/>
      <c r="Q561" s="177"/>
      <c r="R561" s="177">
        <v>10.840999999999999</v>
      </c>
      <c r="S561" s="177">
        <v>17.163</v>
      </c>
      <c r="T561" s="177">
        <v>20.181999999999999</v>
      </c>
      <c r="U561" s="177">
        <v>22.003</v>
      </c>
      <c r="V561" s="177">
        <v>20.965</v>
      </c>
      <c r="W561" s="177">
        <v>28.015999999999998</v>
      </c>
      <c r="X561" s="177">
        <v>24.335000000000001</v>
      </c>
      <c r="Y561" s="177">
        <v>25.341999999999999</v>
      </c>
      <c r="Z561" s="177">
        <v>24.074999999999999</v>
      </c>
      <c r="AA561" s="177">
        <v>22.533999999999999</v>
      </c>
      <c r="AB561" s="177">
        <v>21.68</v>
      </c>
      <c r="AC561" s="177">
        <v>21.669</v>
      </c>
    </row>
    <row r="562" spans="1:29" s="33" customFormat="1" hidden="1" outlineLevel="1">
      <c r="A562" s="192"/>
      <c r="B562" s="192"/>
      <c r="E562" s="123" t="s">
        <v>330</v>
      </c>
      <c r="H562" s="177"/>
      <c r="I562" s="177"/>
      <c r="J562" s="177"/>
      <c r="K562" s="177"/>
      <c r="L562" s="177"/>
      <c r="M562" s="177"/>
      <c r="N562" s="177"/>
      <c r="O562" s="177"/>
      <c r="P562" s="177"/>
      <c r="Q562" s="177"/>
      <c r="R562" s="177">
        <v>38.613999999999997</v>
      </c>
      <c r="S562" s="177">
        <v>40.11</v>
      </c>
      <c r="T562" s="177">
        <v>45.043999999999997</v>
      </c>
      <c r="U562" s="177">
        <v>41.473999999999997</v>
      </c>
      <c r="V562" s="177">
        <v>37.457999999999998</v>
      </c>
      <c r="W562" s="177">
        <v>37.868000000000002</v>
      </c>
      <c r="X562" s="177">
        <v>32.945</v>
      </c>
      <c r="Y562" s="177">
        <v>36.097999999999999</v>
      </c>
      <c r="Z562" s="177">
        <v>39.552999999999997</v>
      </c>
      <c r="AA562" s="177">
        <v>43.078000000000003</v>
      </c>
      <c r="AB562" s="177">
        <v>42.945</v>
      </c>
      <c r="AC562" s="177">
        <v>29.76</v>
      </c>
    </row>
    <row r="563" spans="1:29" s="33" customFormat="1" hidden="1" outlineLevel="1">
      <c r="A563" s="192"/>
      <c r="B563" s="192"/>
      <c r="E563" s="123" t="s">
        <v>239</v>
      </c>
      <c r="H563" s="177"/>
      <c r="I563" s="177"/>
      <c r="J563" s="177"/>
      <c r="K563" s="177"/>
      <c r="L563" s="177"/>
      <c r="M563" s="177"/>
      <c r="N563" s="177"/>
      <c r="O563" s="177"/>
      <c r="P563" s="177"/>
      <c r="Q563" s="177"/>
      <c r="R563" s="177">
        <v>29.827000000000002</v>
      </c>
      <c r="S563" s="177">
        <v>30.672000000000001</v>
      </c>
      <c r="T563" s="177">
        <v>34.5</v>
      </c>
      <c r="U563" s="177">
        <v>31.904</v>
      </c>
      <c r="V563" s="177">
        <v>28.175999999999998</v>
      </c>
      <c r="W563" s="177">
        <v>25.027000000000001</v>
      </c>
      <c r="X563" s="177">
        <v>30.042000000000002</v>
      </c>
      <c r="Y563" s="177">
        <v>32.052999999999997</v>
      </c>
      <c r="Z563" s="177">
        <v>32.372</v>
      </c>
      <c r="AA563" s="177">
        <v>30.785</v>
      </c>
      <c r="AB563" s="177">
        <v>31.283999999999999</v>
      </c>
      <c r="AC563" s="177">
        <v>40.091000000000001</v>
      </c>
    </row>
    <row r="564" spans="1:29" s="33" customFormat="1" hidden="1" outlineLevel="1">
      <c r="A564" s="192"/>
      <c r="B564" s="192"/>
      <c r="E564" s="123" t="s">
        <v>217</v>
      </c>
      <c r="H564" s="222"/>
      <c r="I564" s="222"/>
      <c r="J564" s="222"/>
      <c r="K564" s="222"/>
      <c r="L564" s="222"/>
      <c r="M564" s="222"/>
      <c r="N564" s="222"/>
      <c r="O564" s="222"/>
      <c r="P564" s="222"/>
      <c r="Q564" s="222"/>
      <c r="R564" s="222">
        <f t="shared" ref="R564:W564" si="356">R578</f>
        <v>24.684000000000001</v>
      </c>
      <c r="S564" s="222">
        <f t="shared" si="356"/>
        <v>32.817</v>
      </c>
      <c r="T564" s="222">
        <f t="shared" si="356"/>
        <v>33.835000000000001</v>
      </c>
      <c r="U564" s="222">
        <f t="shared" si="356"/>
        <v>28.746000000000002</v>
      </c>
      <c r="V564" s="222">
        <f t="shared" si="356"/>
        <v>20.201999999999998</v>
      </c>
      <c r="W564" s="222">
        <f t="shared" si="356"/>
        <v>20.904</v>
      </c>
      <c r="X564" s="222">
        <f t="shared" ref="X564:AC564" si="357">X578</f>
        <v>20.484000000000002</v>
      </c>
      <c r="Y564" s="222">
        <f t="shared" si="357"/>
        <v>20.514000000000003</v>
      </c>
      <c r="Z564" s="222">
        <f t="shared" si="357"/>
        <v>18.59</v>
      </c>
      <c r="AA564" s="222">
        <f t="shared" si="357"/>
        <v>20.065000000000001</v>
      </c>
      <c r="AB564" s="222">
        <f t="shared" si="357"/>
        <v>23.17</v>
      </c>
      <c r="AC564" s="222">
        <f t="shared" si="357"/>
        <v>25.302</v>
      </c>
    </row>
    <row r="565" spans="1:29" s="33" customFormat="1" hidden="1" outlineLevel="1">
      <c r="A565" s="192"/>
      <c r="B565" s="192"/>
      <c r="E565" s="2" t="s">
        <v>496</v>
      </c>
      <c r="F565" s="2"/>
      <c r="G565" s="2"/>
      <c r="H565" s="139"/>
      <c r="I565" s="139"/>
      <c r="J565" s="139"/>
      <c r="K565" s="139"/>
      <c r="L565" s="139"/>
      <c r="M565" s="139"/>
      <c r="N565" s="139"/>
      <c r="O565" s="139"/>
      <c r="P565" s="139"/>
      <c r="Q565" s="139"/>
      <c r="R565" s="139">
        <f t="shared" ref="R565:W565" si="358">R560-SUM(R561:R564)</f>
        <v>-22.100999999999985</v>
      </c>
      <c r="S565" s="139">
        <f t="shared" si="358"/>
        <v>-32.445999999999998</v>
      </c>
      <c r="T565" s="139">
        <f t="shared" si="358"/>
        <v>-38.551000000000016</v>
      </c>
      <c r="U565" s="139">
        <f t="shared" si="358"/>
        <v>-39.477000000000018</v>
      </c>
      <c r="V565" s="139">
        <f t="shared" si="358"/>
        <v>-26.718000000000018</v>
      </c>
      <c r="W565" s="139">
        <f t="shared" si="358"/>
        <v>-25.720999999999989</v>
      </c>
      <c r="X565" s="139">
        <f t="shared" ref="X565:AC565" si="359">X560-SUM(X561:X564)</f>
        <v>-18.429000000000002</v>
      </c>
      <c r="Y565" s="139">
        <f t="shared" si="359"/>
        <v>-8.0699999999999932</v>
      </c>
      <c r="Z565" s="139">
        <f t="shared" si="359"/>
        <v>-4.8400000000000176</v>
      </c>
      <c r="AA565" s="139">
        <f t="shared" si="359"/>
        <v>-15.725000000000009</v>
      </c>
      <c r="AB565" s="139">
        <f t="shared" si="359"/>
        <v>-14.394000000000005</v>
      </c>
      <c r="AC565" s="139">
        <f t="shared" si="359"/>
        <v>-33.965000000000003</v>
      </c>
    </row>
    <row r="566" spans="1:29" s="33" customFormat="1" hidden="1" outlineLevel="1">
      <c r="A566" s="192"/>
      <c r="B566" s="192"/>
      <c r="H566" s="191"/>
      <c r="I566" s="191"/>
      <c r="J566" s="191"/>
      <c r="K566" s="191"/>
      <c r="L566" s="191"/>
      <c r="M566" s="191"/>
      <c r="N566" s="191"/>
      <c r="O566" s="19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  <c r="AB566" s="141"/>
    </row>
    <row r="567" spans="1:29" s="33" customFormat="1" hidden="1" outlineLevel="1">
      <c r="A567" s="192"/>
      <c r="B567" s="192"/>
      <c r="E567" s="69" t="s">
        <v>504</v>
      </c>
      <c r="H567" s="187"/>
      <c r="I567" s="187"/>
      <c r="J567" s="187"/>
      <c r="K567" s="187"/>
      <c r="L567" s="187"/>
      <c r="M567" s="187"/>
      <c r="N567" s="187"/>
      <c r="O567" s="187"/>
      <c r="P567" s="187"/>
      <c r="Q567" s="187"/>
      <c r="R567" s="187" t="str">
        <f t="shared" ref="R567:AB567" si="360">IFERROR(R558/Q558-1,"na")</f>
        <v>na</v>
      </c>
      <c r="S567" s="187">
        <f t="shared" si="360"/>
        <v>0.11067739571918578</v>
      </c>
      <c r="T567" s="187">
        <f t="shared" si="360"/>
        <v>5.2214931228545369E-2</v>
      </c>
      <c r="U567" s="187">
        <f t="shared" si="360"/>
        <v>-3.7744956612441483E-2</v>
      </c>
      <c r="V567" s="187">
        <f t="shared" si="360"/>
        <v>-6.4428338320850154E-2</v>
      </c>
      <c r="W567" s="187">
        <f t="shared" si="360"/>
        <v>5.3328320771113047E-2</v>
      </c>
      <c r="X567" s="187">
        <f t="shared" si="360"/>
        <v>-1.5668882231791748E-2</v>
      </c>
      <c r="Y567" s="187">
        <f t="shared" si="360"/>
        <v>9.5854583496796097E-2</v>
      </c>
      <c r="Z567" s="187">
        <f t="shared" si="360"/>
        <v>6.1347363853330394E-2</v>
      </c>
      <c r="AA567" s="187">
        <f t="shared" si="360"/>
        <v>2.5369244135534208E-2</v>
      </c>
      <c r="AB567" s="187">
        <f t="shared" si="360"/>
        <v>0.14733295453412687</v>
      </c>
      <c r="AC567" s="187">
        <f>IFERROR(AC558/AB558-1,"na")</f>
        <v>-5.4580049870978309E-2</v>
      </c>
    </row>
    <row r="568" spans="1:29" s="33" customFormat="1" hidden="1" outlineLevel="1">
      <c r="A568" s="192"/>
      <c r="B568" s="192"/>
      <c r="E568" s="69" t="s">
        <v>505</v>
      </c>
      <c r="H568" s="187"/>
      <c r="I568" s="187"/>
      <c r="J568" s="187"/>
      <c r="K568" s="187"/>
      <c r="L568" s="187"/>
      <c r="M568" s="187"/>
      <c r="N568" s="187"/>
      <c r="O568" s="187"/>
      <c r="P568" s="187"/>
      <c r="Q568" s="187"/>
      <c r="R568" s="187">
        <f t="shared" ref="R568:AB568" si="361">IFERROR(R560/R558,"na")</f>
        <v>0.5308222508964292</v>
      </c>
      <c r="S568" s="187">
        <f t="shared" si="361"/>
        <v>0.51558741797632113</v>
      </c>
      <c r="T568" s="187">
        <f t="shared" si="361"/>
        <v>0.52714219134911999</v>
      </c>
      <c r="U568" s="187">
        <f t="shared" si="361"/>
        <v>0.48808473589224655</v>
      </c>
      <c r="V568" s="187">
        <f t="shared" si="361"/>
        <v>0.49355043479868599</v>
      </c>
      <c r="W568" s="187">
        <f t="shared" si="361"/>
        <v>0.50373291518442243</v>
      </c>
      <c r="X568" s="187">
        <f t="shared" si="361"/>
        <v>0.53126597477323256</v>
      </c>
      <c r="Y568" s="187">
        <f t="shared" si="361"/>
        <v>0.5746203080928618</v>
      </c>
      <c r="Z568" s="187">
        <f t="shared" si="361"/>
        <v>0.56089334082894671</v>
      </c>
      <c r="AA568" s="187">
        <f t="shared" si="361"/>
        <v>0.5020933640360058</v>
      </c>
      <c r="AB568" s="187">
        <f t="shared" si="361"/>
        <v>0.45476858649660717</v>
      </c>
      <c r="AC568" s="187">
        <f>IFERROR(AC560/AC558,"na")</f>
        <v>0.38072416486697608</v>
      </c>
    </row>
    <row r="569" spans="1:29" s="33" customFormat="1" hidden="1" outlineLevel="1">
      <c r="A569" s="192"/>
      <c r="B569" s="192"/>
      <c r="E569" s="69" t="s">
        <v>104</v>
      </c>
      <c r="H569" s="187"/>
      <c r="I569" s="187"/>
      <c r="J569" s="187"/>
      <c r="K569" s="187"/>
      <c r="L569" s="187"/>
      <c r="M569" s="187"/>
      <c r="N569" s="187"/>
      <c r="O569" s="187"/>
      <c r="P569" s="187"/>
      <c r="Q569" s="187"/>
      <c r="R569" s="187">
        <f t="shared" ref="R569:AB569" si="362">IFERROR((R565+R564)/R558,"na")</f>
        <v>1.6748474611439385E-2</v>
      </c>
      <c r="S569" s="187">
        <f t="shared" si="362"/>
        <v>2.1658921607547476E-3</v>
      </c>
      <c r="T569" s="187">
        <f t="shared" si="362"/>
        <v>-2.6165693868039769E-2</v>
      </c>
      <c r="U569" s="187">
        <f t="shared" si="362"/>
        <v>-6.1874037812873074E-2</v>
      </c>
      <c r="V569" s="187">
        <f t="shared" si="362"/>
        <v>-4.0158018969672069E-2</v>
      </c>
      <c r="W569" s="187">
        <f t="shared" si="362"/>
        <v>-2.8184094738812893E-2</v>
      </c>
      <c r="X569" s="187">
        <f t="shared" si="362"/>
        <v>1.2215128927565174E-2</v>
      </c>
      <c r="Y569" s="187">
        <f t="shared" si="362"/>
        <v>6.7498372748969457E-2</v>
      </c>
      <c r="Z569" s="187">
        <f t="shared" si="362"/>
        <v>7.0271375274697109E-2</v>
      </c>
      <c r="AA569" s="187">
        <f t="shared" si="362"/>
        <v>2.1631428372060533E-2</v>
      </c>
      <c r="AB569" s="187">
        <f t="shared" si="362"/>
        <v>3.8124364666324913E-2</v>
      </c>
      <c r="AC569" s="187">
        <f>IFERROR((AC565+AC564)/AC558,"na")</f>
        <v>-3.9806092909984853E-2</v>
      </c>
    </row>
    <row r="570" spans="1:29" s="33" customFormat="1" hidden="1" outlineLevel="1">
      <c r="A570" s="192"/>
      <c r="B570" s="192"/>
      <c r="E570" s="218" t="s">
        <v>470</v>
      </c>
      <c r="H570" s="187"/>
      <c r="I570" s="187"/>
      <c r="J570" s="187"/>
      <c r="K570" s="187"/>
      <c r="L570" s="187"/>
      <c r="M570" s="187"/>
      <c r="N570" s="187"/>
      <c r="O570" s="187"/>
      <c r="P570" s="187"/>
      <c r="Q570" s="187"/>
      <c r="R570" s="187">
        <f t="shared" ref="R570:AB570" si="363">IFERROR(R561/R558,"na")</f>
        <v>7.0294314077666745E-2</v>
      </c>
      <c r="S570" s="187">
        <f t="shared" si="363"/>
        <v>0.10019732386801486</v>
      </c>
      <c r="T570" s="187">
        <f t="shared" si="363"/>
        <v>0.11197541001797642</v>
      </c>
      <c r="U570" s="187">
        <f t="shared" si="363"/>
        <v>0.12686743583977675</v>
      </c>
      <c r="V570" s="187">
        <f t="shared" si="363"/>
        <v>0.12920700854806205</v>
      </c>
      <c r="W570" s="187">
        <f t="shared" si="363"/>
        <v>0.16392061411720649</v>
      </c>
      <c r="X570" s="187">
        <f t="shared" si="363"/>
        <v>0.14464971408870977</v>
      </c>
      <c r="Y570" s="187">
        <f t="shared" si="363"/>
        <v>0.13745931872423517</v>
      </c>
      <c r="Z570" s="187">
        <f t="shared" si="363"/>
        <v>0.12303878979915164</v>
      </c>
      <c r="AA570" s="187">
        <f t="shared" si="363"/>
        <v>0.11231396473180019</v>
      </c>
      <c r="AB570" s="187">
        <f t="shared" si="363"/>
        <v>9.418142957679175E-2</v>
      </c>
      <c r="AC570" s="187">
        <f>IFERROR(AC561/AC558,"na")</f>
        <v>9.9568074254468591E-2</v>
      </c>
    </row>
    <row r="571" spans="1:29" s="33" customFormat="1" hidden="1" outlineLevel="1">
      <c r="A571" s="192"/>
      <c r="B571" s="192"/>
      <c r="E571" s="220" t="s">
        <v>484</v>
      </c>
      <c r="H571" s="187"/>
      <c r="I571" s="187"/>
      <c r="J571" s="187"/>
      <c r="K571" s="187"/>
      <c r="L571" s="187"/>
      <c r="M571" s="187"/>
      <c r="N571" s="187"/>
      <c r="O571" s="187"/>
      <c r="P571" s="187"/>
      <c r="Q571" s="187"/>
      <c r="R571" s="187" t="str">
        <f>IFERROR((R561+#REF!)/R558,"na")</f>
        <v>na</v>
      </c>
      <c r="S571" s="187" t="str">
        <f>IFERROR((S561+#REF!)/S558,"na")</f>
        <v>na</v>
      </c>
      <c r="T571" s="187" t="str">
        <f>IFERROR((T561+#REF!)/T558,"na")</f>
        <v>na</v>
      </c>
      <c r="U571" s="187" t="str">
        <f>IFERROR((U561+#REF!)/U558,"na")</f>
        <v>na</v>
      </c>
      <c r="V571" s="187" t="str">
        <f>IFERROR((V561+#REF!)/V558,"na")</f>
        <v>na</v>
      </c>
      <c r="W571" s="187" t="str">
        <f>IFERROR((W561+#REF!)/W558,"na")</f>
        <v>na</v>
      </c>
      <c r="X571" s="187" t="str">
        <f>IFERROR((X561+#REF!)/X558,"na")</f>
        <v>na</v>
      </c>
      <c r="Y571" s="187" t="str">
        <f>IFERROR((Y561+#REF!)/Y558,"na")</f>
        <v>na</v>
      </c>
      <c r="Z571" s="187" t="str">
        <f>IFERROR((Z561+#REF!)/Z558,"na")</f>
        <v>na</v>
      </c>
      <c r="AA571" s="187" t="str">
        <f>IFERROR((AA561+#REF!)/AA558,"na")</f>
        <v>na</v>
      </c>
      <c r="AB571" s="187" t="str">
        <f>IFERROR((AB561+#REF!)/AB558,"na")</f>
        <v>na</v>
      </c>
      <c r="AC571" s="187" t="str">
        <f>IFERROR((AC561+#REF!)/AC558,"na")</f>
        <v>na</v>
      </c>
    </row>
    <row r="572" spans="1:29" s="33" customFormat="1" hidden="1" outlineLevel="1">
      <c r="A572" s="192"/>
      <c r="B572" s="192"/>
      <c r="E572" s="218" t="s">
        <v>471</v>
      </c>
      <c r="H572" s="187"/>
      <c r="I572" s="187"/>
      <c r="J572" s="187"/>
      <c r="K572" s="187"/>
      <c r="L572" s="187"/>
      <c r="M572" s="187"/>
      <c r="N572" s="187"/>
      <c r="O572" s="187"/>
      <c r="P572" s="187"/>
      <c r="Q572" s="187"/>
      <c r="R572" s="187">
        <f t="shared" ref="R572:AB572" si="364">IFERROR(R562/R558,"na")</f>
        <v>0.25037769982428038</v>
      </c>
      <c r="S572" s="187">
        <f t="shared" si="364"/>
        <v>0.23416154870046471</v>
      </c>
      <c r="T572" s="187">
        <f t="shared" si="364"/>
        <v>0.24991677578286248</v>
      </c>
      <c r="U572" s="187">
        <f t="shared" si="364"/>
        <v>0.2391355739680453</v>
      </c>
      <c r="V572" s="187">
        <f t="shared" si="364"/>
        <v>0.23085314219858374</v>
      </c>
      <c r="W572" s="187">
        <f t="shared" si="364"/>
        <v>0.22156431379891406</v>
      </c>
      <c r="X572" s="187">
        <f t="shared" si="364"/>
        <v>0.1958284294494573</v>
      </c>
      <c r="Y572" s="187">
        <f t="shared" si="364"/>
        <v>0.19580169234107181</v>
      </c>
      <c r="Z572" s="187">
        <f t="shared" si="364"/>
        <v>0.20214136045382533</v>
      </c>
      <c r="AA572" s="187">
        <f t="shared" si="364"/>
        <v>0.21470937129300122</v>
      </c>
      <c r="AB572" s="187">
        <f t="shared" si="364"/>
        <v>0.18656003197303145</v>
      </c>
      <c r="AC572" s="187">
        <f>IFERROR(AC562/AC558,"na")</f>
        <v>0.13674585305334744</v>
      </c>
    </row>
    <row r="573" spans="1:29" s="33" customFormat="1" hidden="1" outlineLevel="1">
      <c r="A573" s="192"/>
      <c r="B573" s="192"/>
      <c r="E573" s="218" t="s">
        <v>472</v>
      </c>
      <c r="H573" s="187"/>
      <c r="I573" s="187"/>
      <c r="J573" s="187"/>
      <c r="K573" s="187"/>
      <c r="L573" s="187"/>
      <c r="M573" s="187"/>
      <c r="N573" s="187"/>
      <c r="O573" s="187"/>
      <c r="P573" s="187"/>
      <c r="Q573" s="187"/>
      <c r="R573" s="187">
        <f t="shared" ref="R573:AB573" si="365">IFERROR(R563/R558,"na")</f>
        <v>0.19340176238304274</v>
      </c>
      <c r="S573" s="187">
        <f t="shared" si="365"/>
        <v>0.17906265324708684</v>
      </c>
      <c r="T573" s="187">
        <f t="shared" si="365"/>
        <v>0.19141569941632083</v>
      </c>
      <c r="U573" s="187">
        <f t="shared" si="365"/>
        <v>0.18395576389729754</v>
      </c>
      <c r="V573" s="187">
        <f t="shared" si="365"/>
        <v>0.17364830302171222</v>
      </c>
      <c r="W573" s="187">
        <f t="shared" si="365"/>
        <v>0.14643208200711477</v>
      </c>
      <c r="X573" s="187">
        <f t="shared" si="365"/>
        <v>0.17857270230750028</v>
      </c>
      <c r="Y573" s="187">
        <f t="shared" si="365"/>
        <v>0.17386092427858535</v>
      </c>
      <c r="Z573" s="187">
        <f t="shared" si="365"/>
        <v>0.16544181530127255</v>
      </c>
      <c r="AA573" s="187">
        <f t="shared" si="365"/>
        <v>0.15343859963914391</v>
      </c>
      <c r="AB573" s="187">
        <f t="shared" si="365"/>
        <v>0.13590276028045908</v>
      </c>
      <c r="AC573" s="187">
        <f>IFERROR(AC563/AC558,"na")</f>
        <v>0.1842163304691449</v>
      </c>
    </row>
    <row r="574" spans="1:29" s="33" customFormat="1" hidden="1" outlineLevel="1">
      <c r="A574" s="192"/>
      <c r="B574" s="192"/>
      <c r="E574" s="218" t="s">
        <v>473</v>
      </c>
      <c r="H574" s="187"/>
      <c r="I574" s="187"/>
      <c r="J574" s="187"/>
      <c r="K574" s="187"/>
      <c r="L574" s="187"/>
      <c r="M574" s="187"/>
      <c r="N574" s="187"/>
      <c r="O574" s="187"/>
      <c r="P574" s="187"/>
      <c r="Q574" s="187"/>
      <c r="R574" s="187">
        <f t="shared" ref="R574:AB574" si="366">IFERROR(R564/R558,"na")</f>
        <v>0.16005394785472984</v>
      </c>
      <c r="S574" s="187">
        <f t="shared" si="366"/>
        <v>0.1915851294864909</v>
      </c>
      <c r="T574" s="187">
        <f t="shared" si="366"/>
        <v>0.18772609245655697</v>
      </c>
      <c r="U574" s="187">
        <f t="shared" si="366"/>
        <v>0.16574700316548754</v>
      </c>
      <c r="V574" s="187">
        <f t="shared" si="366"/>
        <v>0.12450464997319101</v>
      </c>
      <c r="W574" s="187">
        <f t="shared" si="366"/>
        <v>0.12230855645010297</v>
      </c>
      <c r="X574" s="187">
        <f t="shared" si="366"/>
        <v>0.12175897856556939</v>
      </c>
      <c r="Y574" s="187">
        <f t="shared" si="366"/>
        <v>0.1112714254719028</v>
      </c>
      <c r="Z574" s="187">
        <f t="shared" si="366"/>
        <v>9.5006899371390618E-2</v>
      </c>
      <c r="AA574" s="187">
        <f t="shared" si="366"/>
        <v>0.10000797472013717</v>
      </c>
      <c r="AB574" s="187">
        <f t="shared" si="366"/>
        <v>0.10065423077925577</v>
      </c>
      <c r="AC574" s="187">
        <f>IFERROR(AC564/AC558,"na")</f>
        <v>0.11626154482378348</v>
      </c>
    </row>
    <row r="575" spans="1:29" s="33" customFormat="1" hidden="1" outlineLevel="1">
      <c r="A575" s="192"/>
      <c r="B575" s="192"/>
      <c r="E575" s="69"/>
      <c r="H575" s="187"/>
      <c r="I575" s="187"/>
      <c r="J575" s="187"/>
      <c r="K575" s="187"/>
      <c r="L575" s="187"/>
      <c r="M575" s="187"/>
      <c r="N575" s="187"/>
      <c r="O575" s="187"/>
      <c r="P575" s="187"/>
      <c r="Q575" s="187"/>
      <c r="R575" s="187"/>
      <c r="S575" s="187"/>
      <c r="T575" s="187"/>
      <c r="U575" s="187"/>
      <c r="V575" s="187"/>
      <c r="W575" s="187"/>
      <c r="X575" s="187"/>
      <c r="Y575" s="187"/>
      <c r="Z575" s="187"/>
      <c r="AA575" s="187"/>
      <c r="AB575" s="187"/>
      <c r="AC575" s="187"/>
    </row>
    <row r="576" spans="1:29" s="33" customFormat="1" hidden="1" outlineLevel="1">
      <c r="A576" s="192"/>
      <c r="B576" s="192"/>
      <c r="E576" s="123" t="s">
        <v>649</v>
      </c>
      <c r="H576" s="177"/>
      <c r="I576" s="177"/>
      <c r="J576" s="177"/>
      <c r="K576" s="177"/>
      <c r="L576" s="177"/>
      <c r="M576" s="177"/>
      <c r="N576" s="177"/>
      <c r="O576" s="177"/>
      <c r="P576" s="177"/>
      <c r="Q576" s="177"/>
      <c r="R576" s="177">
        <v>22.224</v>
      </c>
      <c r="S576" s="177">
        <v>28.03</v>
      </c>
      <c r="T576" s="177">
        <v>27.992000000000001</v>
      </c>
      <c r="U576" s="177">
        <v>22.942</v>
      </c>
      <c r="V576" s="177">
        <v>16.672999999999998</v>
      </c>
      <c r="W576" s="177">
        <v>17.975000000000001</v>
      </c>
      <c r="X576" s="177">
        <v>18.032</v>
      </c>
      <c r="Y576" s="177">
        <v>18.138000000000002</v>
      </c>
      <c r="Z576" s="177">
        <v>16.277000000000001</v>
      </c>
      <c r="AA576" s="177">
        <v>19.193000000000001</v>
      </c>
      <c r="AB576" s="177">
        <v>21.579000000000001</v>
      </c>
      <c r="AC576" s="177">
        <v>22.507999999999999</v>
      </c>
    </row>
    <row r="577" spans="1:29" s="33" customFormat="1" hidden="1" outlineLevel="1">
      <c r="A577" s="192"/>
      <c r="B577" s="192"/>
      <c r="E577" s="123" t="s">
        <v>217</v>
      </c>
      <c r="H577" s="177"/>
      <c r="I577" s="177"/>
      <c r="J577" s="177"/>
      <c r="K577" s="177"/>
      <c r="L577" s="177"/>
      <c r="M577" s="177"/>
      <c r="N577" s="177"/>
      <c r="O577" s="177"/>
      <c r="P577" s="177"/>
      <c r="Q577" s="177"/>
      <c r="R577" s="177">
        <v>2.46</v>
      </c>
      <c r="S577" s="177">
        <v>4.7869999999999999</v>
      </c>
      <c r="T577" s="177">
        <v>5.843</v>
      </c>
      <c r="U577" s="177">
        <v>5.8040000000000003</v>
      </c>
      <c r="V577" s="177">
        <v>3.5289999999999999</v>
      </c>
      <c r="W577" s="177">
        <v>2.9289999999999998</v>
      </c>
      <c r="X577" s="177">
        <v>2.452</v>
      </c>
      <c r="Y577" s="177">
        <v>2.3759999999999999</v>
      </c>
      <c r="Z577" s="177">
        <v>2.3130000000000002</v>
      </c>
      <c r="AA577" s="177">
        <v>0.872</v>
      </c>
      <c r="AB577" s="177">
        <v>1.591</v>
      </c>
      <c r="AC577" s="177">
        <v>2.794</v>
      </c>
    </row>
    <row r="578" spans="1:29" s="33" customFormat="1" hidden="1" outlineLevel="1">
      <c r="A578" s="192"/>
      <c r="B578" s="192"/>
      <c r="E578" s="2" t="s">
        <v>217</v>
      </c>
      <c r="F578" s="2"/>
      <c r="G578" s="2"/>
      <c r="H578" s="139"/>
      <c r="I578" s="139"/>
      <c r="J578" s="139"/>
      <c r="K578" s="139"/>
      <c r="L578" s="139"/>
      <c r="M578" s="139"/>
      <c r="N578" s="139"/>
      <c r="O578" s="139"/>
      <c r="P578" s="139"/>
      <c r="Q578" s="139"/>
      <c r="R578" s="139">
        <f t="shared" ref="R578:AC578" si="367">SUM(R576:R577)</f>
        <v>24.684000000000001</v>
      </c>
      <c r="S578" s="139">
        <f t="shared" si="367"/>
        <v>32.817</v>
      </c>
      <c r="T578" s="139">
        <f t="shared" si="367"/>
        <v>33.835000000000001</v>
      </c>
      <c r="U578" s="139">
        <f t="shared" si="367"/>
        <v>28.746000000000002</v>
      </c>
      <c r="V578" s="139">
        <f t="shared" si="367"/>
        <v>20.201999999999998</v>
      </c>
      <c r="W578" s="139">
        <f t="shared" si="367"/>
        <v>20.904</v>
      </c>
      <c r="X578" s="139">
        <f t="shared" si="367"/>
        <v>20.484000000000002</v>
      </c>
      <c r="Y578" s="139">
        <f t="shared" si="367"/>
        <v>20.514000000000003</v>
      </c>
      <c r="Z578" s="139">
        <f t="shared" si="367"/>
        <v>18.59</v>
      </c>
      <c r="AA578" s="139">
        <f t="shared" si="367"/>
        <v>20.065000000000001</v>
      </c>
      <c r="AB578" s="139">
        <f t="shared" si="367"/>
        <v>23.17</v>
      </c>
      <c r="AC578" s="139">
        <f t="shared" si="367"/>
        <v>25.302</v>
      </c>
    </row>
    <row r="579" spans="1:29" s="33" customFormat="1" hidden="1" outlineLevel="1">
      <c r="A579" s="192"/>
      <c r="B579" s="192"/>
      <c r="H579" s="191"/>
      <c r="I579" s="191"/>
      <c r="J579" s="191"/>
      <c r="K579" s="191"/>
      <c r="L579" s="191"/>
      <c r="M579" s="191"/>
      <c r="N579" s="191"/>
      <c r="O579" s="19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  <c r="AB579" s="141"/>
    </row>
    <row r="580" spans="1:29" s="125" customFormat="1" hidden="1" outlineLevel="1">
      <c r="A580" s="192"/>
      <c r="B580" s="192"/>
      <c r="E580" s="126" t="s">
        <v>650</v>
      </c>
      <c r="H580" s="177"/>
      <c r="I580" s="177"/>
      <c r="J580" s="177"/>
      <c r="K580" s="177"/>
      <c r="L580" s="177"/>
      <c r="M580" s="177"/>
      <c r="N580" s="177"/>
      <c r="O580" s="177"/>
      <c r="P580" s="177"/>
      <c r="Q580" s="177"/>
      <c r="R580" s="177">
        <v>51.5</v>
      </c>
      <c r="S580" s="177">
        <v>57.4</v>
      </c>
      <c r="T580" s="177">
        <v>55.2</v>
      </c>
      <c r="U580" s="177">
        <v>59.447000000000003</v>
      </c>
      <c r="V580" s="177">
        <v>55.274000000000001</v>
      </c>
      <c r="W580" s="177">
        <v>58.607999999999997</v>
      </c>
      <c r="X580" s="177">
        <v>56.595999999999997</v>
      </c>
      <c r="Y580" s="177">
        <v>54.033000000000001</v>
      </c>
      <c r="Z580" s="177">
        <v>57.118000000000002</v>
      </c>
      <c r="AA580" s="177">
        <v>67.747</v>
      </c>
      <c r="AB580" s="177">
        <v>88.472999999999999</v>
      </c>
      <c r="AC580" s="177">
        <v>94.18</v>
      </c>
    </row>
    <row r="581" spans="1:29" s="125" customFormat="1" hidden="1" outlineLevel="1">
      <c r="A581" s="192"/>
      <c r="B581" s="192"/>
      <c r="E581" s="126" t="s">
        <v>651</v>
      </c>
      <c r="H581" s="217"/>
      <c r="I581" s="217"/>
      <c r="J581" s="217"/>
      <c r="K581" s="217"/>
      <c r="L581" s="217"/>
      <c r="M581" s="217"/>
      <c r="N581" s="217"/>
      <c r="O581" s="217"/>
      <c r="P581" s="77"/>
      <c r="Q581" s="77"/>
      <c r="R581" s="77">
        <f t="shared" ref="R581:AA581" si="368">R583-R580-R582</f>
        <v>13.058000000000003</v>
      </c>
      <c r="S581" s="77">
        <f t="shared" si="368"/>
        <v>19.375999999999998</v>
      </c>
      <c r="T581" s="77">
        <f t="shared" si="368"/>
        <v>21.725999999999996</v>
      </c>
      <c r="U581" s="77">
        <f t="shared" si="368"/>
        <v>20.823999999999998</v>
      </c>
      <c r="V581" s="77">
        <f t="shared" si="368"/>
        <v>19.648000000000003</v>
      </c>
      <c r="W581" s="77">
        <f t="shared" si="368"/>
        <v>20.007000000000001</v>
      </c>
      <c r="X581" s="77">
        <f t="shared" si="368"/>
        <v>16.554000000000002</v>
      </c>
      <c r="Y581" s="77">
        <f t="shared" si="368"/>
        <v>18.100999999999999</v>
      </c>
      <c r="Z581" s="77">
        <f t="shared" si="368"/>
        <v>17.347000000000001</v>
      </c>
      <c r="AA581" s="77">
        <f t="shared" si="368"/>
        <v>17.963000000000008</v>
      </c>
      <c r="AB581" s="77">
        <f>AB583-AB580-AB582</f>
        <v>20.465</v>
      </c>
      <c r="AC581" s="77">
        <f>AC583-AC580-AC582</f>
        <v>17.960999999999988</v>
      </c>
    </row>
    <row r="582" spans="1:29" s="125" customFormat="1" hidden="1" outlineLevel="1">
      <c r="A582" s="192"/>
      <c r="B582" s="192"/>
      <c r="E582" s="126" t="s">
        <v>123</v>
      </c>
      <c r="H582" s="177"/>
      <c r="I582" s="177"/>
      <c r="J582" s="177"/>
      <c r="K582" s="177"/>
      <c r="L582" s="177"/>
      <c r="M582" s="177"/>
      <c r="N582" s="177"/>
      <c r="O582" s="177"/>
      <c r="P582" s="177"/>
      <c r="Q582" s="177"/>
      <c r="R582" s="177">
        <f>5.9+0.4+0.7+0.8</f>
        <v>7.8000000000000007</v>
      </c>
      <c r="S582" s="177">
        <f>3.6+0.8+0.9+0.9</f>
        <v>6.2000000000000011</v>
      </c>
      <c r="T582" s="177">
        <f>4.9+0.9+0.9+1.6</f>
        <v>8.3000000000000007</v>
      </c>
      <c r="U582" s="177">
        <v>8.5120000000000005</v>
      </c>
      <c r="V582" s="177">
        <v>7.2539999999999996</v>
      </c>
      <c r="W582" s="177">
        <v>6.2030000000000003</v>
      </c>
      <c r="X582" s="177">
        <v>5.7069999999999999</v>
      </c>
      <c r="Y582" s="177">
        <v>6.2889999999999997</v>
      </c>
      <c r="Z582" s="177">
        <v>11.455</v>
      </c>
      <c r="AA582" s="177">
        <v>14.186999999999999</v>
      </c>
      <c r="AB582" s="177">
        <v>16.571000000000002</v>
      </c>
      <c r="AC582" s="177">
        <v>22.632000000000001</v>
      </c>
    </row>
    <row r="583" spans="1:29" s="33" customFormat="1" hidden="1" outlineLevel="1">
      <c r="A583" s="192"/>
      <c r="B583" s="192"/>
      <c r="E583" s="2" t="s">
        <v>462</v>
      </c>
      <c r="F583" s="2"/>
      <c r="G583" s="2"/>
      <c r="H583" s="139"/>
      <c r="I583" s="139"/>
      <c r="J583" s="139"/>
      <c r="K583" s="139"/>
      <c r="L583" s="139"/>
      <c r="M583" s="139"/>
      <c r="N583" s="139"/>
      <c r="O583" s="139"/>
      <c r="P583" s="139"/>
      <c r="Q583" s="139"/>
      <c r="R583" s="139">
        <f t="shared" ref="R583:AC583" si="369">R559</f>
        <v>72.358000000000004</v>
      </c>
      <c r="S583" s="139">
        <f t="shared" si="369"/>
        <v>82.975999999999999</v>
      </c>
      <c r="T583" s="139">
        <f t="shared" si="369"/>
        <v>85.225999999999999</v>
      </c>
      <c r="U583" s="139">
        <f t="shared" si="369"/>
        <v>88.783000000000001</v>
      </c>
      <c r="V583" s="139">
        <f t="shared" si="369"/>
        <v>82.176000000000002</v>
      </c>
      <c r="W583" s="139">
        <f t="shared" si="369"/>
        <v>84.817999999999998</v>
      </c>
      <c r="X583" s="139">
        <f t="shared" si="369"/>
        <v>78.856999999999999</v>
      </c>
      <c r="Y583" s="139">
        <f t="shared" si="369"/>
        <v>78.423000000000002</v>
      </c>
      <c r="Z583" s="139">
        <f t="shared" si="369"/>
        <v>85.92</v>
      </c>
      <c r="AA583" s="139">
        <f t="shared" si="369"/>
        <v>99.897000000000006</v>
      </c>
      <c r="AB583" s="139">
        <f t="shared" si="369"/>
        <v>125.509</v>
      </c>
      <c r="AC583" s="139">
        <f t="shared" si="369"/>
        <v>134.773</v>
      </c>
    </row>
    <row r="584" spans="1:29" s="33" customFormat="1" hidden="1" outlineLevel="1">
      <c r="A584" s="192"/>
      <c r="B584" s="192"/>
      <c r="H584" s="191"/>
      <c r="I584" s="191"/>
      <c r="J584" s="191"/>
      <c r="K584" s="191"/>
      <c r="L584" s="191"/>
      <c r="M584" s="191"/>
      <c r="N584" s="191"/>
      <c r="O584" s="19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  <c r="AB584" s="141"/>
    </row>
    <row r="585" spans="1:29" s="33" customFormat="1" hidden="1" outlineLevel="1">
      <c r="A585" s="192"/>
      <c r="B585" s="192"/>
      <c r="E585" s="33" t="s">
        <v>479</v>
      </c>
      <c r="H585" s="177"/>
      <c r="I585" s="177"/>
      <c r="J585" s="177"/>
      <c r="K585" s="177"/>
      <c r="L585" s="177"/>
      <c r="M585" s="177"/>
      <c r="N585" s="177"/>
      <c r="O585" s="177"/>
      <c r="P585" s="177"/>
      <c r="Q585" s="177"/>
      <c r="R585" s="177">
        <v>33.500999999999998</v>
      </c>
      <c r="S585" s="177">
        <v>30.363</v>
      </c>
      <c r="T585" s="177">
        <v>18.39</v>
      </c>
      <c r="U585" s="177">
        <v>18.574999999999999</v>
      </c>
      <c r="V585" s="177">
        <v>18.581</v>
      </c>
      <c r="W585" s="177">
        <v>24.713999999999999</v>
      </c>
      <c r="X585" s="177">
        <v>9.5630000000000006</v>
      </c>
      <c r="Y585" s="177">
        <v>20.725000000000001</v>
      </c>
      <c r="Z585" s="177">
        <v>16.113</v>
      </c>
      <c r="AA585" s="177">
        <v>34.704000000000001</v>
      </c>
      <c r="AB585" s="177">
        <v>25.085000000000001</v>
      </c>
      <c r="AC585" s="177">
        <v>15.81</v>
      </c>
    </row>
    <row r="586" spans="1:29" s="33" customFormat="1" hidden="1" outlineLevel="1">
      <c r="A586" s="192"/>
      <c r="B586" s="192"/>
      <c r="H586" s="191"/>
      <c r="I586" s="191"/>
      <c r="J586" s="191"/>
      <c r="K586" s="191"/>
      <c r="L586" s="191"/>
      <c r="M586" s="191"/>
      <c r="N586" s="191"/>
      <c r="O586" s="19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  <c r="AB586" s="141"/>
    </row>
    <row r="587" spans="1:29" s="33" customFormat="1" hidden="1" outlineLevel="1">
      <c r="A587" s="192"/>
      <c r="B587" s="192"/>
      <c r="E587" s="33" t="s">
        <v>476</v>
      </c>
      <c r="H587" s="177"/>
      <c r="I587" s="177"/>
      <c r="J587" s="177"/>
      <c r="K587" s="177"/>
      <c r="L587" s="177"/>
      <c r="M587" s="177"/>
      <c r="N587" s="177"/>
      <c r="O587" s="177"/>
      <c r="P587" s="177"/>
      <c r="Q587" s="177"/>
      <c r="R587" s="177">
        <f>28.022+8.277</f>
        <v>36.298999999999999</v>
      </c>
      <c r="S587" s="177">
        <f>28.045+20.646</f>
        <v>48.691000000000003</v>
      </c>
      <c r="T587" s="177">
        <f>26.602+12.308</f>
        <v>38.909999999999997</v>
      </c>
      <c r="U587" s="177">
        <f>21.43+8.192</f>
        <v>29.622</v>
      </c>
      <c r="V587" s="177">
        <f>22.622+9.625</f>
        <v>32.247</v>
      </c>
      <c r="W587" s="177">
        <f>26.795+9.578</f>
        <v>36.373000000000005</v>
      </c>
      <c r="X587" s="177">
        <f>27.418+4.865</f>
        <v>32.283000000000001</v>
      </c>
      <c r="Y587" s="177">
        <f>32.3871+5.397</f>
        <v>37.784099999999995</v>
      </c>
      <c r="Z587" s="177">
        <f>26.041+14.789</f>
        <v>40.83</v>
      </c>
      <c r="AA587" s="177">
        <f>34.476+9.92</f>
        <v>44.396000000000001</v>
      </c>
      <c r="AB587" s="177">
        <f>31.675+15.588</f>
        <v>47.262999999999998</v>
      </c>
      <c r="AC587" s="177">
        <f>42.217+13.036</f>
        <v>55.253</v>
      </c>
    </row>
    <row r="588" spans="1:29" s="33" customFormat="1" hidden="1" outlineLevel="1">
      <c r="A588" s="192"/>
      <c r="B588" s="192"/>
      <c r="E588" s="33" t="s">
        <v>477</v>
      </c>
      <c r="H588" s="177"/>
      <c r="I588" s="177"/>
      <c r="J588" s="177"/>
      <c r="K588" s="177"/>
      <c r="L588" s="177"/>
      <c r="M588" s="177"/>
      <c r="N588" s="177"/>
      <c r="O588" s="177"/>
      <c r="P588" s="177"/>
      <c r="Q588" s="177"/>
      <c r="R588" s="177">
        <f>10.3+6.554+15.327</f>
        <v>32.180999999999997</v>
      </c>
      <c r="S588" s="177">
        <f>6.797+7.287+13.195</f>
        <v>27.279</v>
      </c>
      <c r="T588" s="177">
        <f>6.73+6.892+14.866</f>
        <v>28.488</v>
      </c>
      <c r="U588" s="177">
        <f>5.473+3.523+15.022</f>
        <v>24.018000000000001</v>
      </c>
      <c r="V588" s="177">
        <f>7.065+3.509+14.383</f>
        <v>24.957000000000001</v>
      </c>
      <c r="W588" s="177">
        <f>9.137+2.89+10.857</f>
        <v>22.884</v>
      </c>
      <c r="X588" s="177">
        <f>8.79+2.138+12.836</f>
        <v>23.763999999999999</v>
      </c>
      <c r="Y588" s="177">
        <f>4.439+1.187+18.507</f>
        <v>24.133000000000003</v>
      </c>
      <c r="Z588" s="177">
        <f>9.216+1.883+12.922</f>
        <v>24.021000000000001</v>
      </c>
      <c r="AA588" s="177">
        <f>12.02+0.976+13.398</f>
        <v>26.393999999999998</v>
      </c>
      <c r="AB588" s="177">
        <f>4.587+0.933+17.56</f>
        <v>23.08</v>
      </c>
      <c r="AC588" s="177">
        <f>11.631+3.266+19.292</f>
        <v>34.189</v>
      </c>
    </row>
    <row r="589" spans="1:29" s="33" customFormat="1" hidden="1" outlineLevel="1">
      <c r="A589" s="192"/>
      <c r="B589" s="192"/>
      <c r="H589" s="191"/>
      <c r="I589" s="191"/>
      <c r="J589" s="191"/>
      <c r="K589" s="191"/>
      <c r="L589" s="191"/>
      <c r="M589" s="191"/>
      <c r="N589" s="191"/>
      <c r="O589" s="19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  <c r="AB589" s="141"/>
    </row>
    <row r="590" spans="1:29" s="33" customFormat="1" hidden="1" outlineLevel="1">
      <c r="A590" s="192"/>
      <c r="B590" s="192"/>
      <c r="E590" s="33" t="s">
        <v>136</v>
      </c>
      <c r="H590" s="177"/>
      <c r="I590" s="177"/>
      <c r="J590" s="177"/>
      <c r="K590" s="177"/>
      <c r="L590" s="177"/>
      <c r="M590" s="177"/>
      <c r="N590" s="177"/>
      <c r="O590" s="177"/>
      <c r="P590" s="177"/>
      <c r="Q590" s="177"/>
      <c r="R590" s="177">
        <v>52.890999999999998</v>
      </c>
      <c r="S590" s="177">
        <v>56.368000000000002</v>
      </c>
      <c r="T590" s="177">
        <v>41.250999999999998</v>
      </c>
      <c r="U590" s="177">
        <v>32.905000000000001</v>
      </c>
      <c r="V590" s="177">
        <v>32.636000000000003</v>
      </c>
      <c r="W590" s="177">
        <v>36.143000000000001</v>
      </c>
      <c r="X590" s="177">
        <v>30.352</v>
      </c>
      <c r="Y590" s="177">
        <v>28.991</v>
      </c>
      <c r="Z590" s="177">
        <v>27.378</v>
      </c>
      <c r="AA590" s="177">
        <v>46.136000000000003</v>
      </c>
      <c r="AB590" s="177">
        <v>46.417999999999999</v>
      </c>
      <c r="AC590" s="177">
        <v>33.622</v>
      </c>
    </row>
    <row r="591" spans="1:29" s="33" customFormat="1" hidden="1" outlineLevel="1">
      <c r="A591" s="192"/>
      <c r="B591" s="192"/>
      <c r="E591" s="33" t="s">
        <v>138</v>
      </c>
      <c r="H591" s="177"/>
      <c r="I591" s="177"/>
      <c r="J591" s="177"/>
      <c r="K591" s="177"/>
      <c r="L591" s="177"/>
      <c r="M591" s="177"/>
      <c r="N591" s="177"/>
      <c r="O591" s="177"/>
      <c r="P591" s="177"/>
      <c r="Q591" s="177"/>
      <c r="R591" s="177">
        <v>0</v>
      </c>
      <c r="S591" s="177">
        <v>0</v>
      </c>
      <c r="T591" s="177">
        <v>0</v>
      </c>
      <c r="U591" s="177">
        <v>0</v>
      </c>
      <c r="V591" s="177">
        <v>0</v>
      </c>
      <c r="W591" s="177">
        <v>0</v>
      </c>
      <c r="X591" s="177">
        <v>0</v>
      </c>
      <c r="Y591" s="177">
        <v>0</v>
      </c>
      <c r="Z591" s="177">
        <v>0</v>
      </c>
      <c r="AA591" s="177">
        <v>0</v>
      </c>
      <c r="AB591" s="177">
        <v>0</v>
      </c>
      <c r="AC591" s="177">
        <v>14.61</v>
      </c>
    </row>
    <row r="592" spans="1:29" s="33" customFormat="1" hidden="1" outlineLevel="1">
      <c r="A592" s="192"/>
      <c r="B592" s="192"/>
      <c r="E592" s="33" t="s">
        <v>223</v>
      </c>
      <c r="H592" s="177"/>
      <c r="I592" s="177"/>
      <c r="J592" s="177"/>
      <c r="K592" s="177"/>
      <c r="L592" s="177"/>
      <c r="M592" s="177"/>
      <c r="N592" s="177"/>
      <c r="O592" s="177"/>
      <c r="P592" s="177"/>
      <c r="Q592" s="177"/>
      <c r="R592" s="177"/>
      <c r="S592" s="177"/>
      <c r="T592" s="177"/>
      <c r="U592" s="177"/>
      <c r="V592" s="177"/>
      <c r="W592" s="177"/>
      <c r="X592" s="177"/>
      <c r="Y592" s="177"/>
      <c r="Z592" s="177"/>
      <c r="AA592" s="177">
        <v>12.842000000000001</v>
      </c>
      <c r="AB592" s="177">
        <v>10.15</v>
      </c>
      <c r="AC592" s="177">
        <v>6.3380000000000001</v>
      </c>
    </row>
    <row r="593" spans="1:40" s="33" customFormat="1" hidden="1" outlineLevel="1">
      <c r="A593" s="192"/>
      <c r="B593" s="192"/>
      <c r="E593" s="69" t="s">
        <v>482</v>
      </c>
      <c r="H593" s="187"/>
      <c r="I593" s="187"/>
      <c r="J593" s="187"/>
      <c r="K593" s="187"/>
      <c r="L593" s="187"/>
      <c r="M593" s="187"/>
      <c r="N593" s="187"/>
      <c r="O593" s="187"/>
      <c r="P593" s="187"/>
      <c r="Q593" s="187"/>
      <c r="R593" s="167">
        <f t="shared" ref="R593:AC593" si="370">IFERROR(R590/R558,"na")</f>
        <v>0.34295144044662595</v>
      </c>
      <c r="S593" s="167">
        <f t="shared" si="370"/>
        <v>0.32907549681246062</v>
      </c>
      <c r="T593" s="167">
        <f t="shared" si="370"/>
        <v>0.22887214540935219</v>
      </c>
      <c r="U593" s="167">
        <f t="shared" si="370"/>
        <v>0.18972744518055965</v>
      </c>
      <c r="V593" s="167">
        <f t="shared" si="370"/>
        <v>0.20113522208321269</v>
      </c>
      <c r="W593" s="167">
        <f t="shared" si="370"/>
        <v>0.21147140048680022</v>
      </c>
      <c r="X593" s="167">
        <f t="shared" si="370"/>
        <v>0.18041537382455389</v>
      </c>
      <c r="Y593" s="167">
        <f t="shared" si="370"/>
        <v>0.15725211542633977</v>
      </c>
      <c r="Z593" s="167">
        <f t="shared" si="370"/>
        <v>0.13991925180150253</v>
      </c>
      <c r="AA593" s="167">
        <f t="shared" si="370"/>
        <v>0.22995105515515818</v>
      </c>
      <c r="AB593" s="167">
        <f t="shared" si="370"/>
        <v>0.2016473061852177</v>
      </c>
      <c r="AC593" s="167">
        <f t="shared" si="370"/>
        <v>0.15449156825805266</v>
      </c>
    </row>
    <row r="594" spans="1:40" s="33" customFormat="1" hidden="1" outlineLevel="1">
      <c r="A594" s="192"/>
      <c r="B594" s="192"/>
      <c r="E594" s="69" t="s">
        <v>483</v>
      </c>
      <c r="H594" s="187"/>
      <c r="I594" s="187"/>
      <c r="J594" s="187"/>
      <c r="K594" s="187"/>
      <c r="L594" s="187"/>
      <c r="M594" s="187"/>
      <c r="N594" s="187"/>
      <c r="O594" s="187"/>
      <c r="P594" s="187"/>
      <c r="Q594" s="187"/>
      <c r="R594" s="187"/>
      <c r="S594" s="187"/>
      <c r="T594" s="187"/>
      <c r="U594" s="187"/>
      <c r="V594" s="187"/>
      <c r="W594" s="187"/>
      <c r="X594" s="187"/>
      <c r="Y594" s="187"/>
      <c r="Z594" s="187"/>
      <c r="AA594" s="167">
        <f>IFERROR(AA592/AA558,"na")</f>
        <v>6.4007097500922081E-2</v>
      </c>
      <c r="AB594" s="167">
        <f>IFERROR(AB592/AB558,"na")</f>
        <v>4.409324309061053E-2</v>
      </c>
      <c r="AC594" s="167">
        <f>IFERROR(AC592/AC558,"na")</f>
        <v>2.9122823140192069E-2</v>
      </c>
    </row>
    <row r="595" spans="1:40" s="33" customFormat="1" hidden="1" outlineLevel="1">
      <c r="A595" s="192"/>
      <c r="B595" s="192"/>
      <c r="H595" s="191"/>
      <c r="I595" s="191"/>
      <c r="J595" s="191"/>
      <c r="K595" s="191"/>
      <c r="L595" s="191"/>
      <c r="M595" s="191"/>
      <c r="N595" s="191"/>
      <c r="O595" s="19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  <c r="AB595" s="141"/>
    </row>
    <row r="596" spans="1:40" s="33" customFormat="1" collapsed="1">
      <c r="A596" s="192"/>
      <c r="B596" s="192"/>
      <c r="H596" s="191"/>
      <c r="I596" s="191"/>
      <c r="J596" s="191"/>
      <c r="K596" s="191"/>
      <c r="L596" s="191"/>
      <c r="M596" s="191"/>
      <c r="N596" s="191"/>
      <c r="O596" s="19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  <c r="AB596" s="141"/>
    </row>
    <row r="597" spans="1:40">
      <c r="D597" s="90"/>
      <c r="E597" s="91" t="s">
        <v>588</v>
      </c>
      <c r="F597" s="90"/>
      <c r="G597" s="91" t="s">
        <v>589</v>
      </c>
      <c r="H597" s="90"/>
      <c r="I597" s="90"/>
      <c r="J597" s="90"/>
      <c r="K597" s="90"/>
      <c r="L597" s="90"/>
      <c r="M597" s="90"/>
      <c r="N597" s="90"/>
      <c r="O597" s="90"/>
      <c r="P597" s="90"/>
      <c r="Q597" s="90"/>
      <c r="R597" s="90"/>
      <c r="S597" s="90"/>
      <c r="T597" s="90"/>
      <c r="U597" s="90"/>
      <c r="V597" s="90"/>
      <c r="W597" s="90"/>
      <c r="X597" s="90"/>
      <c r="Y597" s="90"/>
      <c r="Z597" s="90"/>
      <c r="AA597" s="90"/>
      <c r="AB597" s="90"/>
      <c r="AC597" s="90"/>
      <c r="AD597" s="90"/>
      <c r="AE597" s="90"/>
      <c r="AF597" s="90"/>
      <c r="AG597" s="90"/>
      <c r="AH597" s="90"/>
      <c r="AI597" s="90"/>
      <c r="AJ597" s="90"/>
      <c r="AK597" s="90"/>
      <c r="AL597" s="90"/>
      <c r="AM597" s="90"/>
      <c r="AN597" s="90"/>
    </row>
    <row r="598" spans="1:40" s="33" customFormat="1" hidden="1" outlineLevel="1">
      <c r="A598" s="192"/>
      <c r="B598" s="192"/>
      <c r="H598" s="191"/>
      <c r="I598" s="191"/>
      <c r="J598" s="191"/>
      <c r="K598" s="191"/>
      <c r="L598" s="191"/>
      <c r="M598" s="191"/>
      <c r="N598" s="191"/>
      <c r="O598" s="19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  <c r="AB598" s="141"/>
    </row>
    <row r="599" spans="1:40" s="33" customFormat="1" hidden="1" outlineLevel="1">
      <c r="A599" s="192"/>
      <c r="B599" s="192"/>
      <c r="E599" s="123" t="s">
        <v>211</v>
      </c>
      <c r="H599" s="177"/>
      <c r="I599" s="177"/>
      <c r="J599" s="177"/>
      <c r="K599" s="177"/>
      <c r="L599" s="177"/>
      <c r="M599" s="177"/>
      <c r="N599" s="177"/>
      <c r="O599" s="177"/>
      <c r="P599" s="177"/>
      <c r="Q599" s="177"/>
      <c r="R599" s="177"/>
      <c r="S599" s="177"/>
      <c r="T599" s="177"/>
      <c r="U599" s="177"/>
      <c r="V599" s="177"/>
      <c r="W599" s="177"/>
      <c r="X599" s="177">
        <v>35.793999999999997</v>
      </c>
      <c r="Y599" s="177">
        <v>57.99</v>
      </c>
      <c r="Z599" s="177">
        <v>86.123000000000005</v>
      </c>
      <c r="AA599" s="177">
        <v>148.80699999999999</v>
      </c>
      <c r="AB599" s="177">
        <v>210.28800000000001</v>
      </c>
      <c r="AC599" s="177">
        <v>329.29899999999998</v>
      </c>
    </row>
    <row r="600" spans="1:40" s="33" customFormat="1" hidden="1" outlineLevel="1">
      <c r="A600" s="192"/>
      <c r="B600" s="192"/>
      <c r="E600" s="123" t="s">
        <v>375</v>
      </c>
      <c r="H600" s="177"/>
      <c r="I600" s="177"/>
      <c r="J600" s="177"/>
      <c r="K600" s="177"/>
      <c r="L600" s="177"/>
      <c r="M600" s="177"/>
      <c r="N600" s="177"/>
      <c r="O600" s="177"/>
      <c r="P600" s="177"/>
      <c r="Q600" s="177"/>
      <c r="R600" s="177"/>
      <c r="S600" s="177"/>
      <c r="T600" s="177"/>
      <c r="U600" s="177"/>
      <c r="V600" s="177"/>
      <c r="W600" s="177"/>
      <c r="X600" s="177">
        <v>37.402999999999999</v>
      </c>
      <c r="Y600" s="177">
        <v>56.856999999999999</v>
      </c>
      <c r="Z600" s="177">
        <v>84.828000000000003</v>
      </c>
      <c r="AA600" s="177">
        <v>124.437</v>
      </c>
      <c r="AB600" s="177">
        <v>174.49700000000001</v>
      </c>
      <c r="AC600" s="177">
        <v>253.13800000000001</v>
      </c>
    </row>
    <row r="601" spans="1:40" s="33" customFormat="1" hidden="1" outlineLevel="1">
      <c r="A601" s="192"/>
      <c r="B601" s="192"/>
      <c r="E601" s="123" t="s">
        <v>492</v>
      </c>
      <c r="H601" s="177"/>
      <c r="I601" s="177"/>
      <c r="J601" s="177"/>
      <c r="K601" s="177"/>
      <c r="L601" s="177"/>
      <c r="M601" s="177"/>
      <c r="N601" s="177"/>
      <c r="O601" s="177"/>
      <c r="P601" s="177"/>
      <c r="Q601" s="177"/>
      <c r="R601" s="177"/>
      <c r="S601" s="177"/>
      <c r="T601" s="177"/>
      <c r="U601" s="177"/>
      <c r="V601" s="177"/>
      <c r="W601" s="177"/>
      <c r="X601" s="177">
        <v>5.7789999999999999</v>
      </c>
      <c r="Y601" s="177">
        <v>9.8529999999999998</v>
      </c>
      <c r="Z601" s="177">
        <v>14.465</v>
      </c>
      <c r="AA601" s="177">
        <v>23.838000000000001</v>
      </c>
      <c r="AB601" s="177">
        <v>38.792999999999999</v>
      </c>
      <c r="AC601" s="177">
        <v>76.105000000000004</v>
      </c>
    </row>
    <row r="602" spans="1:40" s="33" customFormat="1" hidden="1" outlineLevel="1">
      <c r="A602" s="192"/>
      <c r="B602" s="192"/>
      <c r="E602" s="123" t="s">
        <v>123</v>
      </c>
      <c r="H602" s="177"/>
      <c r="I602" s="177"/>
      <c r="J602" s="177"/>
      <c r="K602" s="177"/>
      <c r="L602" s="177"/>
      <c r="M602" s="177"/>
      <c r="N602" s="177"/>
      <c r="O602" s="177"/>
      <c r="P602" s="177"/>
      <c r="Q602" s="177"/>
      <c r="R602" s="177"/>
      <c r="S602" s="177"/>
      <c r="T602" s="177"/>
      <c r="U602" s="177"/>
      <c r="V602" s="177"/>
      <c r="W602" s="177"/>
      <c r="X602" s="177">
        <v>1.349</v>
      </c>
      <c r="Y602" s="177">
        <v>1.0169999999999999</v>
      </c>
      <c r="Z602" s="177">
        <v>4.758</v>
      </c>
      <c r="AA602" s="177">
        <v>5.7539999999999996</v>
      </c>
      <c r="AB602" s="177">
        <v>7.6909999999999998</v>
      </c>
      <c r="AC602" s="177">
        <v>14.558</v>
      </c>
    </row>
    <row r="603" spans="1:40" s="33" customFormat="1" hidden="1" outlineLevel="1">
      <c r="A603" s="192"/>
      <c r="B603" s="192"/>
      <c r="E603" s="2" t="s">
        <v>186</v>
      </c>
      <c r="F603" s="2"/>
      <c r="G603" s="2"/>
      <c r="H603" s="139"/>
      <c r="I603" s="139"/>
      <c r="J603" s="139"/>
      <c r="K603" s="139"/>
      <c r="L603" s="139"/>
      <c r="M603" s="139"/>
      <c r="N603" s="139"/>
      <c r="O603" s="139"/>
      <c r="P603" s="139"/>
      <c r="Q603" s="139"/>
      <c r="R603" s="139"/>
      <c r="S603" s="139"/>
      <c r="T603" s="139"/>
      <c r="U603" s="139"/>
      <c r="V603" s="139"/>
      <c r="W603" s="139"/>
      <c r="X603" s="139">
        <f t="shared" ref="X603:AC603" si="371">SUM(X599:X602)</f>
        <v>80.325000000000003</v>
      </c>
      <c r="Y603" s="139">
        <f t="shared" si="371"/>
        <v>125.717</v>
      </c>
      <c r="Z603" s="139">
        <f t="shared" si="371"/>
        <v>190.17400000000004</v>
      </c>
      <c r="AA603" s="139">
        <f t="shared" si="371"/>
        <v>302.83600000000001</v>
      </c>
      <c r="AB603" s="139">
        <f t="shared" si="371"/>
        <v>431.26900000000001</v>
      </c>
      <c r="AC603" s="139">
        <f t="shared" si="371"/>
        <v>673.1</v>
      </c>
    </row>
    <row r="604" spans="1:40" s="121" customFormat="1" hidden="1" outlineLevel="1">
      <c r="A604" s="223"/>
      <c r="B604" s="223"/>
      <c r="E604" s="228" t="s">
        <v>237</v>
      </c>
      <c r="H604" s="229"/>
      <c r="I604" s="229"/>
      <c r="J604" s="229"/>
      <c r="K604" s="229"/>
      <c r="L604" s="229"/>
      <c r="M604" s="229"/>
      <c r="N604" s="229"/>
      <c r="O604" s="229"/>
      <c r="P604" s="229"/>
      <c r="Q604" s="229"/>
      <c r="R604" s="229"/>
      <c r="S604" s="229"/>
      <c r="T604" s="229"/>
      <c r="U604" s="229"/>
      <c r="V604" s="229"/>
      <c r="W604" s="229"/>
      <c r="X604" s="229">
        <f t="shared" ref="X604:AC604" si="372">IFERROR(X599/X603,"na")</f>
        <v>0.4456146903205726</v>
      </c>
      <c r="Y604" s="229">
        <f t="shared" si="372"/>
        <v>0.46127413158124997</v>
      </c>
      <c r="Z604" s="229">
        <f t="shared" si="372"/>
        <v>0.45286421908357605</v>
      </c>
      <c r="AA604" s="229">
        <f t="shared" si="372"/>
        <v>0.49137817168368353</v>
      </c>
      <c r="AB604" s="229">
        <f t="shared" si="372"/>
        <v>0.48760286503319278</v>
      </c>
      <c r="AC604" s="229">
        <f t="shared" si="372"/>
        <v>0.48922745505868365</v>
      </c>
    </row>
    <row r="605" spans="1:40" s="33" customFormat="1" hidden="1" outlineLevel="1">
      <c r="A605" s="192"/>
      <c r="B605" s="192"/>
      <c r="H605" s="191"/>
      <c r="I605" s="191"/>
      <c r="J605" s="191"/>
      <c r="K605" s="191"/>
      <c r="L605" s="191"/>
      <c r="M605" s="191"/>
      <c r="N605" s="191"/>
      <c r="O605" s="19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</row>
    <row r="606" spans="1:40" s="33" customFormat="1" hidden="1" outlineLevel="1">
      <c r="A606" s="192"/>
      <c r="B606" s="192"/>
      <c r="E606" s="123" t="s">
        <v>590</v>
      </c>
      <c r="H606" s="177"/>
      <c r="I606" s="177"/>
      <c r="J606" s="177"/>
      <c r="K606" s="177"/>
      <c r="L606" s="177"/>
      <c r="M606" s="177"/>
      <c r="N606" s="177"/>
      <c r="O606" s="177"/>
      <c r="P606" s="177"/>
      <c r="Q606" s="177"/>
      <c r="R606" s="177"/>
      <c r="S606" s="177"/>
      <c r="T606" s="177"/>
      <c r="U606" s="177"/>
      <c r="V606" s="177"/>
      <c r="W606" s="177"/>
      <c r="X606" s="177">
        <v>67.471999999999994</v>
      </c>
      <c r="Y606" s="177">
        <v>110.9</v>
      </c>
      <c r="Z606" s="177">
        <v>175.798</v>
      </c>
      <c r="AA606" s="177">
        <v>289.57900000000001</v>
      </c>
      <c r="AB606" s="177">
        <v>414.90800000000002</v>
      </c>
      <c r="AC606" s="177">
        <v>632.41600000000005</v>
      </c>
    </row>
    <row r="607" spans="1:40" s="33" customFormat="1" hidden="1" outlineLevel="1">
      <c r="A607" s="192"/>
      <c r="B607" s="192"/>
      <c r="E607" s="123" t="s">
        <v>591</v>
      </c>
      <c r="H607" s="177"/>
      <c r="I607" s="177"/>
      <c r="J607" s="177"/>
      <c r="K607" s="177"/>
      <c r="L607" s="177"/>
      <c r="M607" s="177"/>
      <c r="N607" s="177"/>
      <c r="O607" s="177"/>
      <c r="P607" s="177"/>
      <c r="Q607" s="177"/>
      <c r="R607" s="177"/>
      <c r="S607" s="177"/>
      <c r="T607" s="177"/>
      <c r="U607" s="177"/>
      <c r="V607" s="177"/>
      <c r="W607" s="177"/>
      <c r="X607" s="177">
        <v>12.853</v>
      </c>
      <c r="Y607" s="177">
        <v>14.817</v>
      </c>
      <c r="Z607" s="177">
        <v>14.375999999999999</v>
      </c>
      <c r="AA607" s="177">
        <v>13.257</v>
      </c>
      <c r="AB607" s="177">
        <v>16.361000000000001</v>
      </c>
      <c r="AC607" s="177">
        <v>40.683999999999997</v>
      </c>
    </row>
    <row r="608" spans="1:40" s="33" customFormat="1" hidden="1" outlineLevel="1">
      <c r="A608" s="192"/>
      <c r="B608" s="192"/>
      <c r="E608" s="2" t="s">
        <v>186</v>
      </c>
      <c r="F608" s="2"/>
      <c r="G608" s="2"/>
      <c r="H608" s="139"/>
      <c r="I608" s="139"/>
      <c r="J608" s="139"/>
      <c r="K608" s="139"/>
      <c r="L608" s="139"/>
      <c r="M608" s="139"/>
      <c r="N608" s="139"/>
      <c r="O608" s="139"/>
      <c r="P608" s="139"/>
      <c r="Q608" s="139"/>
      <c r="R608" s="139"/>
      <c r="S608" s="139"/>
      <c r="T608" s="139"/>
      <c r="U608" s="139"/>
      <c r="V608" s="139"/>
      <c r="W608" s="139"/>
      <c r="X608" s="139">
        <f t="shared" ref="X608:AC608" si="373">SUM(X606:X607)</f>
        <v>80.324999999999989</v>
      </c>
      <c r="Y608" s="139">
        <f t="shared" si="373"/>
        <v>125.71700000000001</v>
      </c>
      <c r="Z608" s="139">
        <f t="shared" si="373"/>
        <v>190.17400000000001</v>
      </c>
      <c r="AA608" s="139">
        <f t="shared" si="373"/>
        <v>302.83600000000001</v>
      </c>
      <c r="AB608" s="139">
        <f t="shared" si="373"/>
        <v>431.26900000000001</v>
      </c>
      <c r="AC608" s="139">
        <f t="shared" si="373"/>
        <v>673.1</v>
      </c>
    </row>
    <row r="609" spans="1:29" s="121" customFormat="1" hidden="1" outlineLevel="1">
      <c r="A609" s="223"/>
      <c r="B609" s="223"/>
      <c r="E609" s="228" t="s">
        <v>592</v>
      </c>
      <c r="H609" s="229"/>
      <c r="I609" s="229"/>
      <c r="J609" s="229"/>
      <c r="K609" s="229"/>
      <c r="L609" s="229"/>
      <c r="M609" s="229"/>
      <c r="N609" s="229"/>
      <c r="O609" s="229"/>
      <c r="P609" s="229"/>
      <c r="Q609" s="229"/>
      <c r="R609" s="229"/>
      <c r="S609" s="229"/>
      <c r="T609" s="229"/>
      <c r="U609" s="229"/>
      <c r="V609" s="229"/>
      <c r="W609" s="229"/>
      <c r="X609" s="229">
        <f t="shared" ref="X609:AC609" si="374">IFERROR(X606/X608,"na")</f>
        <v>0.83998755057578589</v>
      </c>
      <c r="Y609" s="229">
        <f t="shared" si="374"/>
        <v>0.88214004470358021</v>
      </c>
      <c r="Z609" s="229">
        <f t="shared" si="374"/>
        <v>0.92440607023042054</v>
      </c>
      <c r="AA609" s="229">
        <f t="shared" si="374"/>
        <v>0.95622383072025785</v>
      </c>
      <c r="AB609" s="229">
        <f t="shared" si="374"/>
        <v>0.96206312069729105</v>
      </c>
      <c r="AC609" s="229">
        <f t="shared" si="374"/>
        <v>0.93955727232209185</v>
      </c>
    </row>
    <row r="610" spans="1:29" s="33" customFormat="1" hidden="1" outlineLevel="1">
      <c r="A610" s="192"/>
      <c r="B610" s="192"/>
      <c r="H610" s="191"/>
      <c r="I610" s="191"/>
      <c r="J610" s="191"/>
      <c r="K610" s="191"/>
      <c r="L610" s="191"/>
      <c r="M610" s="191"/>
      <c r="N610" s="191"/>
      <c r="O610" s="19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</row>
    <row r="611" spans="1:29" s="33" customFormat="1" hidden="1" outlineLevel="1">
      <c r="A611" s="192"/>
      <c r="B611" s="192"/>
      <c r="E611" s="33" t="s">
        <v>633</v>
      </c>
      <c r="H611" s="177"/>
      <c r="I611" s="177"/>
      <c r="J611" s="177"/>
      <c r="K611" s="177"/>
      <c r="L611" s="177"/>
      <c r="M611" s="177"/>
      <c r="N611" s="177"/>
      <c r="O611" s="177"/>
      <c r="P611" s="177"/>
      <c r="Q611" s="177"/>
      <c r="R611" s="177"/>
      <c r="S611" s="177"/>
      <c r="T611" s="177"/>
      <c r="U611" s="177"/>
      <c r="V611" s="177"/>
      <c r="W611" s="177"/>
      <c r="X611" s="177"/>
      <c r="Y611" s="177"/>
      <c r="Z611" s="177">
        <v>3250</v>
      </c>
      <c r="AA611" s="177">
        <v>3900</v>
      </c>
      <c r="AB611" s="177">
        <v>4500</v>
      </c>
      <c r="AC611" s="177">
        <v>5600</v>
      </c>
    </row>
    <row r="612" spans="1:29" s="33" customFormat="1" hidden="1" outlineLevel="1">
      <c r="A612" s="192"/>
      <c r="B612" s="192"/>
      <c r="E612" s="33" t="s">
        <v>372</v>
      </c>
      <c r="H612" s="203"/>
      <c r="I612" s="203"/>
      <c r="J612" s="203"/>
      <c r="K612" s="203"/>
      <c r="L612" s="203"/>
      <c r="M612" s="203"/>
      <c r="N612" s="203"/>
      <c r="O612" s="203"/>
      <c r="P612" s="203"/>
      <c r="Q612" s="203"/>
      <c r="R612" s="203"/>
      <c r="S612" s="203"/>
      <c r="T612" s="203"/>
      <c r="U612" s="203"/>
      <c r="V612" s="203"/>
      <c r="W612" s="203"/>
      <c r="X612" s="203">
        <v>1.1499999999999999</v>
      </c>
      <c r="Y612" s="203">
        <v>1.1499999999999999</v>
      </c>
      <c r="Z612" s="203">
        <v>1.17</v>
      </c>
      <c r="AA612" s="203">
        <v>1.18</v>
      </c>
      <c r="AB612" s="203">
        <v>1.2</v>
      </c>
      <c r="AC612" s="203">
        <v>1.28</v>
      </c>
    </row>
    <row r="613" spans="1:29" s="33" customFormat="1" hidden="1" outlineLevel="1">
      <c r="A613" s="192"/>
      <c r="B613" s="192"/>
      <c r="H613" s="191"/>
      <c r="I613" s="191"/>
      <c r="J613" s="191"/>
      <c r="K613" s="191"/>
      <c r="L613" s="191"/>
      <c r="M613" s="191"/>
      <c r="N613" s="191"/>
      <c r="O613" s="19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</row>
    <row r="614" spans="1:29" s="33" customFormat="1" hidden="1" outlineLevel="1">
      <c r="A614" s="192"/>
      <c r="B614" s="192"/>
      <c r="E614" s="122" t="s">
        <v>655</v>
      </c>
      <c r="H614" s="191"/>
      <c r="I614" s="191"/>
      <c r="J614" s="191"/>
      <c r="K614" s="191"/>
      <c r="L614" s="191"/>
      <c r="M614" s="191"/>
      <c r="N614" s="191"/>
      <c r="O614" s="19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3">
        <f>Z617/AVERAGE(Y611:Z611)*1000</f>
        <v>58.515076923076926</v>
      </c>
      <c r="AA614" s="143">
        <f>AA617/AVERAGE(Z611:AA611)*1000</f>
        <v>84.709370629370625</v>
      </c>
      <c r="AB614" s="143">
        <f>AB617/AVERAGE(AA611:AB611)*1000</f>
        <v>102.68309523809523</v>
      </c>
      <c r="AC614" s="143">
        <f>AC617/AVERAGE(AB611:AC611)*1000</f>
        <v>133.28712871287129</v>
      </c>
    </row>
    <row r="615" spans="1:29" s="121" customFormat="1" hidden="1" outlineLevel="1">
      <c r="A615" s="223"/>
      <c r="B615" s="223"/>
      <c r="E615" s="224" t="s">
        <v>507</v>
      </c>
      <c r="H615" s="225"/>
      <c r="I615" s="225"/>
      <c r="J615" s="225"/>
      <c r="K615" s="225"/>
      <c r="L615" s="225"/>
      <c r="M615" s="225"/>
      <c r="N615" s="225"/>
      <c r="O615" s="225"/>
      <c r="P615" s="226"/>
      <c r="Q615" s="226"/>
      <c r="R615" s="226"/>
      <c r="S615" s="226"/>
      <c r="T615" s="226"/>
      <c r="U615" s="226"/>
      <c r="V615" s="226"/>
      <c r="W615" s="226"/>
      <c r="X615" s="226"/>
      <c r="Y615" s="226"/>
      <c r="Z615" s="226"/>
      <c r="AA615" s="229">
        <f>AA614/Z614-1</f>
        <v>0.44765033361792095</v>
      </c>
      <c r="AB615" s="229">
        <f>AB614/AA614-1</f>
        <v>0.21218106657131419</v>
      </c>
      <c r="AC615" s="229">
        <f>AC614/AB614-1</f>
        <v>0.2980435426475343</v>
      </c>
    </row>
    <row r="616" spans="1:29" s="33" customFormat="1" hidden="1" outlineLevel="1">
      <c r="A616" s="192"/>
      <c r="B616" s="192"/>
      <c r="H616" s="191"/>
      <c r="I616" s="191"/>
      <c r="J616" s="191"/>
      <c r="K616" s="191"/>
      <c r="L616" s="191"/>
      <c r="M616" s="191"/>
      <c r="N616" s="191"/>
      <c r="O616" s="19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</row>
    <row r="617" spans="1:29" s="33" customFormat="1" hidden="1" outlineLevel="1">
      <c r="A617" s="192"/>
      <c r="B617" s="192"/>
      <c r="E617" s="142" t="s">
        <v>186</v>
      </c>
      <c r="H617" s="143"/>
      <c r="I617" s="143"/>
      <c r="J617" s="143"/>
      <c r="K617" s="143"/>
      <c r="L617" s="143"/>
      <c r="M617" s="143"/>
      <c r="N617" s="143"/>
      <c r="O617" s="143"/>
      <c r="P617" s="143"/>
      <c r="Q617" s="143"/>
      <c r="R617" s="143"/>
      <c r="S617" s="143"/>
      <c r="T617" s="143"/>
      <c r="U617" s="143"/>
      <c r="V617" s="143"/>
      <c r="W617" s="284">
        <v>53.707000000000001</v>
      </c>
      <c r="X617" s="143">
        <f t="shared" ref="X617:AC617" si="375">X608</f>
        <v>80.324999999999989</v>
      </c>
      <c r="Y617" s="143">
        <f t="shared" si="375"/>
        <v>125.71700000000001</v>
      </c>
      <c r="Z617" s="143">
        <f t="shared" si="375"/>
        <v>190.17400000000001</v>
      </c>
      <c r="AA617" s="143">
        <f t="shared" si="375"/>
        <v>302.83600000000001</v>
      </c>
      <c r="AB617" s="143">
        <f t="shared" si="375"/>
        <v>431.26900000000001</v>
      </c>
      <c r="AC617" s="143">
        <f t="shared" si="375"/>
        <v>673.1</v>
      </c>
    </row>
    <row r="618" spans="1:29" s="33" customFormat="1" hidden="1" outlineLevel="1">
      <c r="A618" s="192"/>
      <c r="B618" s="192"/>
      <c r="E618" s="123" t="s">
        <v>462</v>
      </c>
      <c r="H618" s="177"/>
      <c r="I618" s="177"/>
      <c r="J618" s="177"/>
      <c r="K618" s="177"/>
      <c r="L618" s="177"/>
      <c r="M618" s="177"/>
      <c r="N618" s="177"/>
      <c r="O618" s="177"/>
      <c r="P618" s="177"/>
      <c r="Q618" s="177"/>
      <c r="R618" s="177"/>
      <c r="S618" s="177"/>
      <c r="T618" s="177"/>
      <c r="U618" s="177"/>
      <c r="V618" s="177"/>
      <c r="W618" s="177"/>
      <c r="X618" s="177">
        <f>20.127-SUM(X635,X637,X638)*X640</f>
        <v>12.856099999999998</v>
      </c>
      <c r="Y618" s="177">
        <f>27.472-SUM(Y635,Y637,Y638)*Y640</f>
        <v>16.752200000000002</v>
      </c>
      <c r="Z618" s="177">
        <f>37.875-SUM(Z635,Z637,Z638)*Z640</f>
        <v>23.056699999999999</v>
      </c>
      <c r="AA618" s="177">
        <f>59.669-0.512-SUM(AA635,AA637,AA638)*AA640</f>
        <v>38.822699999999998</v>
      </c>
      <c r="AB618" s="177">
        <f>95.733-2.03-SUM(AB635,AB637,AB638)*AB640</f>
        <v>54.355300000000007</v>
      </c>
      <c r="AC618" s="177">
        <f>150.317-6.468-SUM(AC635,AC637,AC638)*AC640</f>
        <v>79.997800000000012</v>
      </c>
    </row>
    <row r="619" spans="1:29" s="33" customFormat="1" hidden="1" outlineLevel="1">
      <c r="A619" s="192"/>
      <c r="B619" s="192"/>
      <c r="E619" s="2" t="s">
        <v>212</v>
      </c>
      <c r="F619" s="2"/>
      <c r="G619" s="2"/>
      <c r="H619" s="139"/>
      <c r="I619" s="139"/>
      <c r="J619" s="139"/>
      <c r="K619" s="139"/>
      <c r="L619" s="139"/>
      <c r="M619" s="139"/>
      <c r="N619" s="139"/>
      <c r="O619" s="139"/>
      <c r="P619" s="139"/>
      <c r="Q619" s="139"/>
      <c r="R619" s="139"/>
      <c r="S619" s="139"/>
      <c r="T619" s="139"/>
      <c r="U619" s="139"/>
      <c r="V619" s="139"/>
      <c r="W619" s="139"/>
      <c r="X619" s="139">
        <f t="shared" ref="X619:AC619" si="376">X617-X618</f>
        <v>67.468899999999991</v>
      </c>
      <c r="Y619" s="139">
        <f t="shared" si="376"/>
        <v>108.96480000000001</v>
      </c>
      <c r="Z619" s="139">
        <f t="shared" si="376"/>
        <v>167.1173</v>
      </c>
      <c r="AA619" s="139">
        <f t="shared" si="376"/>
        <v>264.01330000000002</v>
      </c>
      <c r="AB619" s="139">
        <f t="shared" si="376"/>
        <v>376.91370000000001</v>
      </c>
      <c r="AC619" s="139">
        <f t="shared" si="376"/>
        <v>593.10220000000004</v>
      </c>
    </row>
    <row r="620" spans="1:29" s="33" customFormat="1" hidden="1" outlineLevel="1">
      <c r="A620" s="192"/>
      <c r="B620" s="192"/>
      <c r="E620" s="123" t="s">
        <v>329</v>
      </c>
      <c r="H620" s="177"/>
      <c r="I620" s="177"/>
      <c r="J620" s="177"/>
      <c r="K620" s="177"/>
      <c r="L620" s="177"/>
      <c r="M620" s="177"/>
      <c r="N620" s="177"/>
      <c r="O620" s="177"/>
      <c r="P620" s="177"/>
      <c r="Q620" s="177"/>
      <c r="R620" s="177"/>
      <c r="S620" s="177"/>
      <c r="T620" s="177"/>
      <c r="U620" s="177"/>
      <c r="V620" s="177"/>
      <c r="W620" s="177"/>
      <c r="X620" s="177">
        <f>20.94-SUM(X635,X637,X638)*X641</f>
        <v>19.38195</v>
      </c>
      <c r="Y620" s="177">
        <f>33.561-SUM(Y635,Y637,Y638)*Y641</f>
        <v>31.2639</v>
      </c>
      <c r="Z620" s="177">
        <f>39.379-SUM(Z635,Z637,Z638)*Z641</f>
        <v>36.203649999999996</v>
      </c>
      <c r="AA620" s="177">
        <f>61.969-0.386-SUM(AA635,AA637,AA638)*AA641</f>
        <v>57.225650000000002</v>
      </c>
      <c r="AB620" s="177">
        <f>97.879-1.28-SUM(AB635,AB637,AB638)*AB641</f>
        <v>88.167349999999999</v>
      </c>
      <c r="AC620" s="177">
        <f>174.653-SUM(AC635,AC637,AC638)*AC641</f>
        <v>160.97059999999999</v>
      </c>
    </row>
    <row r="621" spans="1:29" s="33" customFormat="1" hidden="1" outlineLevel="1">
      <c r="A621" s="192"/>
      <c r="B621" s="192"/>
      <c r="E621" s="123" t="s">
        <v>330</v>
      </c>
      <c r="H621" s="177"/>
      <c r="I621" s="177"/>
      <c r="J621" s="177"/>
      <c r="K621" s="177"/>
      <c r="L621" s="177"/>
      <c r="M621" s="177"/>
      <c r="N621" s="177"/>
      <c r="O621" s="177"/>
      <c r="P621" s="177"/>
      <c r="Q621" s="177"/>
      <c r="R621" s="177"/>
      <c r="S621" s="177"/>
      <c r="T621" s="177"/>
      <c r="U621" s="177"/>
      <c r="V621" s="177"/>
      <c r="W621" s="177"/>
      <c r="X621" s="177">
        <v>56.701999999999998</v>
      </c>
      <c r="Y621" s="177">
        <v>79.236000000000004</v>
      </c>
      <c r="Z621" s="177">
        <v>116.40900000000001</v>
      </c>
      <c r="AA621" s="177">
        <f>169.913-0.01</f>
        <v>169.90300000000002</v>
      </c>
      <c r="AB621" s="177">
        <f>277.981-0.074</f>
        <v>277.90699999999998</v>
      </c>
      <c r="AC621" s="177">
        <f>459.407-0.327</f>
        <v>459.08</v>
      </c>
    </row>
    <row r="622" spans="1:29" s="33" customFormat="1" hidden="1" outlineLevel="1">
      <c r="A622" s="192"/>
      <c r="B622" s="192"/>
      <c r="E622" s="123" t="s">
        <v>239</v>
      </c>
      <c r="H622" s="177"/>
      <c r="I622" s="177"/>
      <c r="J622" s="177"/>
      <c r="K622" s="177"/>
      <c r="L622" s="177"/>
      <c r="M622" s="177"/>
      <c r="N622" s="177"/>
      <c r="O622" s="177"/>
      <c r="P622" s="177"/>
      <c r="Q622" s="177"/>
      <c r="R622" s="177"/>
      <c r="S622" s="177"/>
      <c r="T622" s="177"/>
      <c r="U622" s="177"/>
      <c r="V622" s="177"/>
      <c r="W622" s="177"/>
      <c r="X622" s="177">
        <f>9.399-+SUM(X635,X637,X638)*X642</f>
        <v>7.8409499999999985</v>
      </c>
      <c r="Y622" s="177">
        <f>20.521-5.827-+SUM(Y635,Y637,Y638)*Y642</f>
        <v>12.3969</v>
      </c>
      <c r="Z622" s="177">
        <f>31.135-8.039-+SUM(Z635,Z637,Z638)*Z642</f>
        <v>19.920650000000002</v>
      </c>
      <c r="AA622" s="177">
        <f>46.598-13.079-+SUM(AA635,AA637,AA638)*AA642</f>
        <v>29.161649999999998</v>
      </c>
      <c r="AB622" s="177">
        <f>73.632-0.746-18.356-+SUM(AB635,AB637,AB638)*AB642</f>
        <v>46.098350000000011</v>
      </c>
      <c r="AC622" s="177">
        <f>96.535-0.416-SUM(AC635,AC637,AC638)*AC642</f>
        <v>82.436599999999999</v>
      </c>
    </row>
    <row r="623" spans="1:29" s="33" customFormat="1" hidden="1" outlineLevel="1">
      <c r="A623" s="192"/>
      <c r="B623" s="192"/>
      <c r="E623" s="123" t="s">
        <v>217</v>
      </c>
      <c r="H623" s="222"/>
      <c r="I623" s="222"/>
      <c r="J623" s="222"/>
      <c r="K623" s="222"/>
      <c r="L623" s="222"/>
      <c r="M623" s="222"/>
      <c r="N623" s="222"/>
      <c r="O623" s="222"/>
      <c r="P623" s="222"/>
      <c r="Q623" s="222"/>
      <c r="R623" s="222"/>
      <c r="S623" s="222"/>
      <c r="T623" s="222"/>
      <c r="U623" s="222"/>
      <c r="V623" s="222"/>
      <c r="W623" s="222"/>
      <c r="X623" s="222">
        <f t="shared" ref="X623:AC623" si="377">X639</f>
        <v>10.387</v>
      </c>
      <c r="Y623" s="222">
        <f t="shared" si="377"/>
        <v>15.314</v>
      </c>
      <c r="Z623" s="222">
        <f t="shared" si="377"/>
        <v>21.169</v>
      </c>
      <c r="AA623" s="222">
        <f t="shared" si="377"/>
        <v>29.957000000000001</v>
      </c>
      <c r="AB623" s="222">
        <f t="shared" si="377"/>
        <v>59.594999999999999</v>
      </c>
      <c r="AC623" s="222">
        <f t="shared" si="377"/>
        <v>98.010999999999996</v>
      </c>
    </row>
    <row r="624" spans="1:29" s="33" customFormat="1" hidden="1" outlineLevel="1">
      <c r="A624" s="192"/>
      <c r="B624" s="192"/>
      <c r="E624" s="2" t="s">
        <v>496</v>
      </c>
      <c r="F624" s="2"/>
      <c r="G624" s="2"/>
      <c r="H624" s="139"/>
      <c r="I624" s="139"/>
      <c r="J624" s="139"/>
      <c r="K624" s="139"/>
      <c r="L624" s="139"/>
      <c r="M624" s="139"/>
      <c r="N624" s="139"/>
      <c r="O624" s="139"/>
      <c r="P624" s="139"/>
      <c r="Q624" s="139"/>
      <c r="R624" s="139"/>
      <c r="S624" s="139"/>
      <c r="T624" s="139"/>
      <c r="U624" s="139"/>
      <c r="V624" s="139"/>
      <c r="W624" s="139"/>
      <c r="X624" s="139">
        <f t="shared" ref="X624:AC624" si="378">X619-SUM(X620:X623)</f>
        <v>-26.843000000000004</v>
      </c>
      <c r="Y624" s="139">
        <f t="shared" si="378"/>
        <v>-29.245999999999995</v>
      </c>
      <c r="Z624" s="139">
        <f t="shared" si="378"/>
        <v>-26.585000000000008</v>
      </c>
      <c r="AA624" s="139">
        <f t="shared" si="378"/>
        <v>-22.23399999999998</v>
      </c>
      <c r="AB624" s="139">
        <f t="shared" si="378"/>
        <v>-94.853999999999985</v>
      </c>
      <c r="AC624" s="139">
        <f t="shared" si="378"/>
        <v>-207.39599999999996</v>
      </c>
    </row>
    <row r="625" spans="1:29" s="33" customFormat="1" hidden="1" outlineLevel="1">
      <c r="A625" s="192"/>
      <c r="B625" s="192"/>
      <c r="H625" s="191"/>
      <c r="I625" s="191"/>
      <c r="J625" s="191"/>
      <c r="K625" s="191"/>
      <c r="L625" s="191"/>
      <c r="M625" s="191"/>
      <c r="N625" s="191"/>
      <c r="O625" s="19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</row>
    <row r="626" spans="1:29" s="33" customFormat="1" hidden="1" outlineLevel="1">
      <c r="A626" s="192"/>
      <c r="B626" s="192"/>
      <c r="E626" s="69" t="s">
        <v>504</v>
      </c>
      <c r="H626" s="187"/>
      <c r="I626" s="187"/>
      <c r="J626" s="187"/>
      <c r="K626" s="187"/>
      <c r="L626" s="187"/>
      <c r="M626" s="187"/>
      <c r="N626" s="187"/>
      <c r="O626" s="187"/>
      <c r="P626" s="187"/>
      <c r="Q626" s="187"/>
      <c r="R626" s="187"/>
      <c r="S626" s="187"/>
      <c r="T626" s="187"/>
      <c r="U626" s="187"/>
      <c r="V626" s="187"/>
      <c r="W626" s="187"/>
      <c r="X626" s="187">
        <f t="shared" ref="X626:AC626" si="379">IFERROR(X617/W617-1,"na")</f>
        <v>0.49561509672854531</v>
      </c>
      <c r="Y626" s="187">
        <f t="shared" si="379"/>
        <v>0.56510426392779367</v>
      </c>
      <c r="Z626" s="187">
        <f t="shared" si="379"/>
        <v>0.51271506637924857</v>
      </c>
      <c r="AA626" s="187">
        <f t="shared" si="379"/>
        <v>0.59241536697971342</v>
      </c>
      <c r="AB626" s="187">
        <f t="shared" si="379"/>
        <v>0.42410083345441096</v>
      </c>
      <c r="AC626" s="187">
        <f t="shared" si="379"/>
        <v>0.56074283104048761</v>
      </c>
    </row>
    <row r="627" spans="1:29" s="33" customFormat="1" hidden="1" outlineLevel="1">
      <c r="A627" s="192"/>
      <c r="B627" s="192"/>
      <c r="E627" s="69" t="s">
        <v>505</v>
      </c>
      <c r="H627" s="187"/>
      <c r="I627" s="187"/>
      <c r="J627" s="187"/>
      <c r="K627" s="187"/>
      <c r="L627" s="187"/>
      <c r="M627" s="187"/>
      <c r="N627" s="187"/>
      <c r="O627" s="187"/>
      <c r="P627" s="187"/>
      <c r="Q627" s="187"/>
      <c r="R627" s="187"/>
      <c r="S627" s="187"/>
      <c r="T627" s="187"/>
      <c r="U627" s="187"/>
      <c r="V627" s="187"/>
      <c r="W627" s="187"/>
      <c r="X627" s="187">
        <f t="shared" ref="X627:AC627" si="380">IFERROR(X619/X617,"na")</f>
        <v>0.83994895736072206</v>
      </c>
      <c r="Y627" s="187">
        <f t="shared" si="380"/>
        <v>0.86674674069537139</v>
      </c>
      <c r="Z627" s="187">
        <f t="shared" si="380"/>
        <v>0.87875997770462833</v>
      </c>
      <c r="AA627" s="187">
        <f t="shared" si="380"/>
        <v>0.87180289001307643</v>
      </c>
      <c r="AB627" s="187">
        <f t="shared" si="380"/>
        <v>0.87396427751588912</v>
      </c>
      <c r="AC627" s="187">
        <f t="shared" si="380"/>
        <v>0.88115020056455207</v>
      </c>
    </row>
    <row r="628" spans="1:29" s="33" customFormat="1" hidden="1" outlineLevel="1">
      <c r="A628" s="192"/>
      <c r="B628" s="192"/>
      <c r="E628" s="69" t="s">
        <v>104</v>
      </c>
      <c r="H628" s="187"/>
      <c r="I628" s="187"/>
      <c r="J628" s="187"/>
      <c r="K628" s="187"/>
      <c r="L628" s="187"/>
      <c r="M628" s="187"/>
      <c r="N628" s="187"/>
      <c r="O628" s="187"/>
      <c r="P628" s="187"/>
      <c r="Q628" s="187"/>
      <c r="R628" s="187"/>
      <c r="S628" s="187"/>
      <c r="T628" s="187"/>
      <c r="U628" s="187"/>
      <c r="V628" s="187"/>
      <c r="W628" s="187"/>
      <c r="X628" s="187">
        <f t="shared" ref="X628:AC628" si="381">IFERROR((X624+X623)/X617,"na")</f>
        <v>-0.20486772486772495</v>
      </c>
      <c r="Y628" s="187">
        <f t="shared" si="381"/>
        <v>-0.11082033456095829</v>
      </c>
      <c r="Z628" s="187">
        <f t="shared" si="381"/>
        <v>-2.8479182222596187E-2</v>
      </c>
      <c r="AA628" s="187">
        <f t="shared" si="381"/>
        <v>2.5502252044010687E-2</v>
      </c>
      <c r="AB628" s="187">
        <f t="shared" si="381"/>
        <v>-8.1756397978987566E-2</v>
      </c>
      <c r="AC628" s="187">
        <f t="shared" si="381"/>
        <v>-0.16250928539592921</v>
      </c>
    </row>
    <row r="629" spans="1:29" s="33" customFormat="1" hidden="1" outlineLevel="1">
      <c r="A629" s="192"/>
      <c r="B629" s="192"/>
      <c r="E629" s="218" t="s">
        <v>470</v>
      </c>
      <c r="H629" s="187"/>
      <c r="I629" s="187"/>
      <c r="J629" s="187"/>
      <c r="K629" s="187"/>
      <c r="L629" s="187"/>
      <c r="M629" s="187"/>
      <c r="N629" s="187"/>
      <c r="O629" s="187"/>
      <c r="P629" s="187"/>
      <c r="Q629" s="187"/>
      <c r="R629" s="187"/>
      <c r="S629" s="187"/>
      <c r="T629" s="187"/>
      <c r="U629" s="187"/>
      <c r="V629" s="187"/>
      <c r="W629" s="187"/>
      <c r="X629" s="187">
        <f t="shared" ref="X629:AC629" si="382">IFERROR(X620/X617,"na")</f>
        <v>0.24129411764705885</v>
      </c>
      <c r="Y629" s="187">
        <f t="shared" si="382"/>
        <v>0.24868474430665699</v>
      </c>
      <c r="Z629" s="187">
        <f t="shared" si="382"/>
        <v>0.19037118638720327</v>
      </c>
      <c r="AA629" s="187">
        <f t="shared" si="382"/>
        <v>0.18896580987729331</v>
      </c>
      <c r="AB629" s="187">
        <f t="shared" si="382"/>
        <v>0.20443702190512186</v>
      </c>
      <c r="AC629" s="187">
        <f t="shared" si="382"/>
        <v>0.23914812063586388</v>
      </c>
    </row>
    <row r="630" spans="1:29" s="33" customFormat="1" hidden="1" outlineLevel="1">
      <c r="A630" s="192"/>
      <c r="B630" s="192"/>
      <c r="E630" s="220" t="s">
        <v>484</v>
      </c>
      <c r="H630" s="187"/>
      <c r="I630" s="187"/>
      <c r="J630" s="187"/>
      <c r="K630" s="187"/>
      <c r="L630" s="187"/>
      <c r="M630" s="187"/>
      <c r="N630" s="187"/>
      <c r="O630" s="187"/>
      <c r="P630" s="187"/>
      <c r="Q630" s="187"/>
      <c r="R630" s="187"/>
      <c r="S630" s="187"/>
      <c r="T630" s="187"/>
      <c r="U630" s="187"/>
      <c r="V630" s="187"/>
      <c r="W630" s="187"/>
      <c r="X630" s="187">
        <f t="shared" ref="X630:AC630" si="383">IFERROR((X620+X647)/X617,"na")</f>
        <v>0.25181388110799879</v>
      </c>
      <c r="Y630" s="187">
        <f t="shared" si="383"/>
        <v>0.2517949044281998</v>
      </c>
      <c r="Z630" s="187">
        <f t="shared" si="383"/>
        <v>0.19969422739175702</v>
      </c>
      <c r="AA630" s="187">
        <f t="shared" si="383"/>
        <v>0.1994071048356206</v>
      </c>
      <c r="AB630" s="187">
        <f t="shared" si="383"/>
        <v>0.22469583948765154</v>
      </c>
      <c r="AC630" s="187">
        <f t="shared" si="383"/>
        <v>0.25420086168474221</v>
      </c>
    </row>
    <row r="631" spans="1:29" s="33" customFormat="1" hidden="1" outlineLevel="1">
      <c r="A631" s="192"/>
      <c r="B631" s="192"/>
      <c r="E631" s="218" t="s">
        <v>471</v>
      </c>
      <c r="H631" s="187"/>
      <c r="I631" s="187"/>
      <c r="J631" s="187"/>
      <c r="K631" s="187"/>
      <c r="L631" s="187"/>
      <c r="M631" s="187"/>
      <c r="N631" s="187"/>
      <c r="O631" s="187"/>
      <c r="P631" s="187"/>
      <c r="Q631" s="187"/>
      <c r="R631" s="187"/>
      <c r="S631" s="187"/>
      <c r="T631" s="187"/>
      <c r="U631" s="187"/>
      <c r="V631" s="187"/>
      <c r="W631" s="187"/>
      <c r="X631" s="187">
        <f t="shared" ref="X631:AC631" si="384">IFERROR(X621/X617,"na")</f>
        <v>0.70590725178960478</v>
      </c>
      <c r="Y631" s="187">
        <f t="shared" si="384"/>
        <v>0.63027275547459771</v>
      </c>
      <c r="Z631" s="187">
        <f t="shared" si="384"/>
        <v>0.61211837580321182</v>
      </c>
      <c r="AA631" s="187">
        <f t="shared" si="384"/>
        <v>0.56103963861628081</v>
      </c>
      <c r="AB631" s="187">
        <f t="shared" si="384"/>
        <v>0.64439363830926866</v>
      </c>
      <c r="AC631" s="187">
        <f t="shared" si="384"/>
        <v>0.68203833011439607</v>
      </c>
    </row>
    <row r="632" spans="1:29" s="33" customFormat="1" hidden="1" outlineLevel="1">
      <c r="A632" s="192"/>
      <c r="B632" s="192"/>
      <c r="E632" s="218" t="s">
        <v>472</v>
      </c>
      <c r="H632" s="187"/>
      <c r="I632" s="187"/>
      <c r="J632" s="187"/>
      <c r="K632" s="187"/>
      <c r="L632" s="187"/>
      <c r="M632" s="187"/>
      <c r="N632" s="187"/>
      <c r="O632" s="187"/>
      <c r="P632" s="187"/>
      <c r="Q632" s="187"/>
      <c r="R632" s="187"/>
      <c r="S632" s="187"/>
      <c r="T632" s="187"/>
      <c r="U632" s="187"/>
      <c r="V632" s="187"/>
      <c r="W632" s="187"/>
      <c r="X632" s="187">
        <f t="shared" ref="X632:AC632" si="385">IFERROR(X622/X617,"na")</f>
        <v>9.7615312791783371E-2</v>
      </c>
      <c r="Y632" s="187">
        <f t="shared" si="385"/>
        <v>9.860957547507497E-2</v>
      </c>
      <c r="Z632" s="187">
        <f t="shared" si="385"/>
        <v>0.10474959773680946</v>
      </c>
      <c r="AA632" s="187">
        <f t="shared" si="385"/>
        <v>9.6295189475491677E-2</v>
      </c>
      <c r="AB632" s="187">
        <f t="shared" si="385"/>
        <v>0.10689001528048622</v>
      </c>
      <c r="AC632" s="187">
        <f t="shared" si="385"/>
        <v>0.12247303521022136</v>
      </c>
    </row>
    <row r="633" spans="1:29" s="33" customFormat="1" hidden="1" outlineLevel="1">
      <c r="A633" s="192"/>
      <c r="B633" s="192"/>
      <c r="E633" s="218" t="s">
        <v>473</v>
      </c>
      <c r="H633" s="187"/>
      <c r="I633" s="187"/>
      <c r="J633" s="187"/>
      <c r="K633" s="187"/>
      <c r="L633" s="187"/>
      <c r="M633" s="187"/>
      <c r="N633" s="187"/>
      <c r="O633" s="187"/>
      <c r="P633" s="187"/>
      <c r="Q633" s="187"/>
      <c r="R633" s="187"/>
      <c r="S633" s="187"/>
      <c r="T633" s="187"/>
      <c r="U633" s="187"/>
      <c r="V633" s="187"/>
      <c r="W633" s="187"/>
      <c r="X633" s="187">
        <f t="shared" ref="X633:AC633" si="386">IFERROR(X623/X617,"na")</f>
        <v>0.12931216931216932</v>
      </c>
      <c r="Y633" s="187">
        <f t="shared" si="386"/>
        <v>0.12181327903147544</v>
      </c>
      <c r="Z633" s="187">
        <f t="shared" si="386"/>
        <v>0.11131384942210817</v>
      </c>
      <c r="AA633" s="187">
        <f t="shared" si="386"/>
        <v>9.8921528484063978E-2</v>
      </c>
      <c r="AB633" s="187">
        <f t="shared" si="386"/>
        <v>0.13818521618757665</v>
      </c>
      <c r="AC633" s="187">
        <f t="shared" si="386"/>
        <v>0.14561135046798393</v>
      </c>
    </row>
    <row r="634" spans="1:29" s="33" customFormat="1" hidden="1" outlineLevel="1">
      <c r="A634" s="192"/>
      <c r="B634" s="192"/>
      <c r="E634" s="69"/>
      <c r="H634" s="187"/>
      <c r="I634" s="187"/>
      <c r="J634" s="187"/>
      <c r="K634" s="187"/>
      <c r="L634" s="187"/>
      <c r="M634" s="187"/>
      <c r="N634" s="187"/>
      <c r="O634" s="187"/>
      <c r="P634" s="187"/>
      <c r="Q634" s="187"/>
      <c r="R634" s="187"/>
      <c r="S634" s="187"/>
      <c r="T634" s="187"/>
      <c r="U634" s="187"/>
      <c r="V634" s="187"/>
      <c r="W634" s="187"/>
      <c r="X634" s="187"/>
      <c r="Y634" s="187"/>
      <c r="Z634" s="187"/>
      <c r="AA634" s="187"/>
      <c r="AB634" s="187"/>
      <c r="AC634" s="187"/>
    </row>
    <row r="635" spans="1:29" s="33" customFormat="1" hidden="1" outlineLevel="1">
      <c r="A635" s="192"/>
      <c r="B635" s="192"/>
      <c r="E635" s="123" t="s">
        <v>217</v>
      </c>
      <c r="H635" s="177"/>
      <c r="I635" s="177"/>
      <c r="J635" s="177"/>
      <c r="K635" s="177"/>
      <c r="L635" s="177"/>
      <c r="M635" s="177"/>
      <c r="N635" s="177"/>
      <c r="O635" s="177"/>
      <c r="P635" s="177"/>
      <c r="Q635" s="177"/>
      <c r="R635" s="177"/>
      <c r="S635" s="177"/>
      <c r="T635" s="177"/>
      <c r="U635" s="177"/>
      <c r="V635" s="177"/>
      <c r="W635" s="177"/>
      <c r="X635" s="177">
        <v>4.8719999999999999</v>
      </c>
      <c r="Y635" s="177">
        <v>6.84</v>
      </c>
      <c r="Z635" s="177">
        <v>7.9880000000000004</v>
      </c>
      <c r="AA635" s="177">
        <v>10.398</v>
      </c>
      <c r="AB635" s="177">
        <v>17.734000000000002</v>
      </c>
      <c r="AC635" s="177">
        <v>29.663</v>
      </c>
    </row>
    <row r="636" spans="1:29" s="33" customFormat="1" hidden="1" outlineLevel="1">
      <c r="A636" s="192"/>
      <c r="B636" s="192"/>
      <c r="E636" s="123" t="s">
        <v>499</v>
      </c>
      <c r="H636" s="177"/>
      <c r="I636" s="177"/>
      <c r="J636" s="177"/>
      <c r="K636" s="177"/>
      <c r="L636" s="177"/>
      <c r="M636" s="177"/>
      <c r="N636" s="177"/>
      <c r="O636" s="177"/>
      <c r="P636" s="177"/>
      <c r="Q636" s="177"/>
      <c r="R636" s="177"/>
      <c r="S636" s="177"/>
      <c r="T636" s="177"/>
      <c r="U636" s="177"/>
      <c r="V636" s="177"/>
      <c r="W636" s="177"/>
      <c r="X636" s="177">
        <v>0</v>
      </c>
      <c r="Y636" s="177">
        <v>0</v>
      </c>
      <c r="Z636" s="177">
        <v>0</v>
      </c>
      <c r="AA636" s="177">
        <v>0.90800000000000003</v>
      </c>
      <c r="AB636" s="177">
        <v>3.3839999999999999</v>
      </c>
      <c r="AC636" s="177">
        <v>6.7949999999999999</v>
      </c>
    </row>
    <row r="637" spans="1:29" s="33" customFormat="1" hidden="1" outlineLevel="1">
      <c r="A637" s="192"/>
      <c r="B637" s="192"/>
      <c r="E637" s="123" t="s">
        <v>497</v>
      </c>
      <c r="H637" s="177"/>
      <c r="I637" s="177"/>
      <c r="J637" s="177"/>
      <c r="K637" s="177"/>
      <c r="L637" s="177"/>
      <c r="M637" s="177"/>
      <c r="N637" s="177"/>
      <c r="O637" s="177"/>
      <c r="P637" s="177"/>
      <c r="Q637" s="177"/>
      <c r="R637" s="177"/>
      <c r="S637" s="177"/>
      <c r="T637" s="177"/>
      <c r="U637" s="177"/>
      <c r="V637" s="177"/>
      <c r="W637" s="177"/>
      <c r="X637" s="177">
        <v>0</v>
      </c>
      <c r="Y637" s="177">
        <v>0</v>
      </c>
      <c r="Z637" s="177">
        <v>0</v>
      </c>
      <c r="AA637" s="177">
        <v>0</v>
      </c>
      <c r="AB637" s="177">
        <v>13.555</v>
      </c>
      <c r="AC637" s="177">
        <v>20.995000000000001</v>
      </c>
    </row>
    <row r="638" spans="1:29" s="33" customFormat="1" hidden="1" outlineLevel="1">
      <c r="A638" s="192"/>
      <c r="B638" s="192"/>
      <c r="E638" s="123" t="s">
        <v>498</v>
      </c>
      <c r="H638" s="177"/>
      <c r="I638" s="177"/>
      <c r="J638" s="177"/>
      <c r="K638" s="177"/>
      <c r="L638" s="177"/>
      <c r="M638" s="177"/>
      <c r="N638" s="177"/>
      <c r="O638" s="177"/>
      <c r="P638" s="177"/>
      <c r="Q638" s="177"/>
      <c r="R638" s="177"/>
      <c r="S638" s="177"/>
      <c r="T638" s="177"/>
      <c r="U638" s="177"/>
      <c r="V638" s="177"/>
      <c r="W638" s="177"/>
      <c r="X638" s="177">
        <v>5.5149999999999997</v>
      </c>
      <c r="Y638" s="177">
        <v>8.4740000000000002</v>
      </c>
      <c r="Z638" s="177">
        <v>13.180999999999999</v>
      </c>
      <c r="AA638" s="177">
        <v>18.651</v>
      </c>
      <c r="AB638" s="177">
        <v>24.922000000000001</v>
      </c>
      <c r="AC638" s="177">
        <v>40.558</v>
      </c>
    </row>
    <row r="639" spans="1:29" s="33" customFormat="1" hidden="1" outlineLevel="1">
      <c r="A639" s="192"/>
      <c r="B639" s="192"/>
      <c r="E639" s="2" t="s">
        <v>217</v>
      </c>
      <c r="F639" s="2"/>
      <c r="G639" s="2"/>
      <c r="H639" s="139"/>
      <c r="I639" s="139"/>
      <c r="J639" s="139"/>
      <c r="K639" s="139"/>
      <c r="L639" s="139"/>
      <c r="M639" s="139"/>
      <c r="N639" s="139"/>
      <c r="O639" s="139"/>
      <c r="P639" s="139"/>
      <c r="Q639" s="139"/>
      <c r="R639" s="139"/>
      <c r="S639" s="139"/>
      <c r="T639" s="139"/>
      <c r="U639" s="139"/>
      <c r="V639" s="139"/>
      <c r="W639" s="139"/>
      <c r="X639" s="139">
        <f t="shared" ref="X639:AC639" si="387">SUM(X635:X638)</f>
        <v>10.387</v>
      </c>
      <c r="Y639" s="139">
        <f t="shared" si="387"/>
        <v>15.314</v>
      </c>
      <c r="Z639" s="139">
        <f t="shared" si="387"/>
        <v>21.169</v>
      </c>
      <c r="AA639" s="139">
        <f t="shared" si="387"/>
        <v>29.957000000000001</v>
      </c>
      <c r="AB639" s="139">
        <f t="shared" si="387"/>
        <v>59.594999999999999</v>
      </c>
      <c r="AC639" s="139">
        <f t="shared" si="387"/>
        <v>98.010999999999996</v>
      </c>
    </row>
    <row r="640" spans="1:29" s="121" customFormat="1" hidden="1" outlineLevel="1">
      <c r="A640" s="223"/>
      <c r="B640" s="223"/>
      <c r="E640" s="224" t="s">
        <v>500</v>
      </c>
      <c r="H640" s="227"/>
      <c r="I640" s="227"/>
      <c r="J640" s="227"/>
      <c r="K640" s="227"/>
      <c r="L640" s="227"/>
      <c r="M640" s="227"/>
      <c r="N640" s="227"/>
      <c r="O640" s="227"/>
      <c r="P640" s="227"/>
      <c r="Q640" s="227"/>
      <c r="R640" s="227"/>
      <c r="S640" s="227"/>
      <c r="T640" s="227"/>
      <c r="U640" s="227"/>
      <c r="V640" s="227"/>
      <c r="W640" s="227"/>
      <c r="X640" s="227">
        <v>0.7</v>
      </c>
      <c r="Y640" s="227">
        <v>0.7</v>
      </c>
      <c r="Z640" s="227">
        <v>0.7</v>
      </c>
      <c r="AA640" s="227">
        <v>0.7</v>
      </c>
      <c r="AB640" s="227">
        <v>0.7</v>
      </c>
      <c r="AC640" s="227">
        <v>0.7</v>
      </c>
    </row>
    <row r="641" spans="1:29" s="121" customFormat="1" hidden="1" outlineLevel="1">
      <c r="A641" s="223"/>
      <c r="B641" s="223"/>
      <c r="E641" s="224" t="s">
        <v>501</v>
      </c>
      <c r="H641" s="227"/>
      <c r="I641" s="227"/>
      <c r="J641" s="227"/>
      <c r="K641" s="227"/>
      <c r="L641" s="227"/>
      <c r="M641" s="227"/>
      <c r="N641" s="227"/>
      <c r="O641" s="227"/>
      <c r="P641" s="227"/>
      <c r="Q641" s="227"/>
      <c r="R641" s="227"/>
      <c r="S641" s="227"/>
      <c r="T641" s="227"/>
      <c r="U641" s="227"/>
      <c r="V641" s="227"/>
      <c r="W641" s="227"/>
      <c r="X641" s="227">
        <v>0.15</v>
      </c>
      <c r="Y641" s="227">
        <v>0.15</v>
      </c>
      <c r="Z641" s="227">
        <v>0.15</v>
      </c>
      <c r="AA641" s="227">
        <v>0.15</v>
      </c>
      <c r="AB641" s="227">
        <v>0.15</v>
      </c>
      <c r="AC641" s="227">
        <v>0.15</v>
      </c>
    </row>
    <row r="642" spans="1:29" s="33" customFormat="1" hidden="1" outlineLevel="1">
      <c r="A642" s="192"/>
      <c r="B642" s="192"/>
      <c r="E642" s="224" t="s">
        <v>502</v>
      </c>
      <c r="H642" s="227"/>
      <c r="I642" s="227"/>
      <c r="J642" s="227"/>
      <c r="K642" s="227"/>
      <c r="L642" s="227"/>
      <c r="M642" s="227"/>
      <c r="N642" s="227"/>
      <c r="O642" s="227"/>
      <c r="P642" s="227"/>
      <c r="Q642" s="227"/>
      <c r="R642" s="227"/>
      <c r="S642" s="227"/>
      <c r="T642" s="227"/>
      <c r="U642" s="227"/>
      <c r="V642" s="227"/>
      <c r="W642" s="227"/>
      <c r="X642" s="227">
        <f t="shared" ref="X642:AC642" si="388">1-SUM(X640:X641)</f>
        <v>0.15000000000000002</v>
      </c>
      <c r="Y642" s="227">
        <f t="shared" si="388"/>
        <v>0.15000000000000002</v>
      </c>
      <c r="Z642" s="227">
        <f t="shared" si="388"/>
        <v>0.15000000000000002</v>
      </c>
      <c r="AA642" s="227">
        <f t="shared" si="388"/>
        <v>0.15000000000000002</v>
      </c>
      <c r="AB642" s="227">
        <f t="shared" si="388"/>
        <v>0.15000000000000002</v>
      </c>
      <c r="AC642" s="227">
        <f t="shared" si="388"/>
        <v>0.15000000000000002</v>
      </c>
    </row>
    <row r="643" spans="1:29" s="33" customFormat="1" hidden="1" outlineLevel="1">
      <c r="A643" s="192"/>
      <c r="B643" s="192"/>
      <c r="H643" s="191"/>
      <c r="I643" s="191"/>
      <c r="J643" s="191"/>
      <c r="K643" s="191"/>
      <c r="L643" s="191"/>
      <c r="M643" s="191"/>
      <c r="N643" s="191"/>
      <c r="O643" s="191"/>
      <c r="P643" s="141"/>
      <c r="Q643" s="141"/>
      <c r="R643" s="141"/>
      <c r="S643" s="141"/>
      <c r="T643" s="141"/>
      <c r="U643" s="141"/>
      <c r="V643" s="141"/>
      <c r="W643" s="141"/>
      <c r="X643" s="141"/>
      <c r="Y643" s="141"/>
      <c r="Z643" s="141"/>
      <c r="AA643" s="141"/>
      <c r="AB643" s="141"/>
    </row>
    <row r="644" spans="1:29" s="33" customFormat="1" hidden="1" outlineLevel="1">
      <c r="A644" s="192"/>
      <c r="B644" s="192"/>
      <c r="E644" s="33" t="s">
        <v>127</v>
      </c>
      <c r="H644" s="177"/>
      <c r="I644" s="177"/>
      <c r="J644" s="177"/>
      <c r="K644" s="177"/>
      <c r="L644" s="177"/>
      <c r="M644" s="177"/>
      <c r="N644" s="177"/>
      <c r="O644" s="177"/>
      <c r="P644" s="177"/>
      <c r="Q644" s="177"/>
      <c r="R644" s="177"/>
      <c r="S644" s="177"/>
      <c r="T644" s="177"/>
      <c r="U644" s="177"/>
      <c r="V644" s="177"/>
      <c r="W644" s="177"/>
      <c r="X644" s="177">
        <v>0</v>
      </c>
      <c r="Y644" s="177">
        <v>0</v>
      </c>
      <c r="Z644" s="177">
        <v>0</v>
      </c>
      <c r="AA644" s="177">
        <v>11.432</v>
      </c>
      <c r="AB644" s="177">
        <v>39.600999999999999</v>
      </c>
      <c r="AC644" s="177">
        <v>40.53</v>
      </c>
    </row>
    <row r="645" spans="1:29" s="33" customFormat="1" hidden="1" outlineLevel="1">
      <c r="A645" s="192"/>
      <c r="B645" s="192"/>
      <c r="E645" s="33" t="s">
        <v>479</v>
      </c>
      <c r="H645" s="177"/>
      <c r="I645" s="177"/>
      <c r="J645" s="177"/>
      <c r="K645" s="177"/>
      <c r="L645" s="177"/>
      <c r="M645" s="177"/>
      <c r="N645" s="177"/>
      <c r="O645" s="177"/>
      <c r="P645" s="177"/>
      <c r="Q645" s="177"/>
      <c r="R645" s="177"/>
      <c r="S645" s="177"/>
      <c r="T645" s="177"/>
      <c r="U645" s="177"/>
      <c r="V645" s="177"/>
      <c r="W645" s="177"/>
      <c r="X645" s="177">
        <v>5.4020000000000001</v>
      </c>
      <c r="Y645" s="177">
        <v>7.7830000000000004</v>
      </c>
      <c r="Z645" s="177">
        <v>13.397</v>
      </c>
      <c r="AA645" s="177">
        <v>25.52</v>
      </c>
      <c r="AB645" s="177">
        <v>43.072000000000003</v>
      </c>
      <c r="AC645" s="177">
        <v>48.164999999999999</v>
      </c>
    </row>
    <row r="646" spans="1:29" s="33" customFormat="1" hidden="1" outlineLevel="1">
      <c r="A646" s="192"/>
      <c r="B646" s="192"/>
      <c r="E646" s="33" t="s">
        <v>506</v>
      </c>
      <c r="H646" s="177"/>
      <c r="I646" s="177"/>
      <c r="J646" s="177"/>
      <c r="K646" s="177"/>
      <c r="L646" s="177"/>
      <c r="M646" s="177"/>
      <c r="N646" s="177"/>
      <c r="O646" s="177"/>
      <c r="P646" s="177"/>
      <c r="Q646" s="177"/>
      <c r="R646" s="177"/>
      <c r="S646" s="177"/>
      <c r="T646" s="177"/>
      <c r="U646" s="177"/>
      <c r="V646" s="177"/>
      <c r="W646" s="177"/>
      <c r="X646" s="177">
        <v>0</v>
      </c>
      <c r="Y646" s="177">
        <v>0</v>
      </c>
      <c r="Z646" s="177">
        <v>0</v>
      </c>
      <c r="AA646" s="177">
        <v>1.48</v>
      </c>
      <c r="AB646" s="177">
        <v>0</v>
      </c>
      <c r="AC646" s="177">
        <v>0</v>
      </c>
    </row>
    <row r="647" spans="1:29" s="33" customFormat="1" hidden="1" outlineLevel="1">
      <c r="A647" s="192"/>
      <c r="B647" s="192"/>
      <c r="E647" s="33" t="s">
        <v>478</v>
      </c>
      <c r="H647" s="177"/>
      <c r="I647" s="177"/>
      <c r="J647" s="177"/>
      <c r="K647" s="177"/>
      <c r="L647" s="177"/>
      <c r="M647" s="177"/>
      <c r="N647" s="177"/>
      <c r="O647" s="177"/>
      <c r="P647" s="177"/>
      <c r="Q647" s="177"/>
      <c r="R647" s="177"/>
      <c r="S647" s="177"/>
      <c r="T647" s="177"/>
      <c r="U647" s="177"/>
      <c r="V647" s="177"/>
      <c r="W647" s="177"/>
      <c r="X647" s="177">
        <v>0.84499999999999997</v>
      </c>
      <c r="Y647" s="177">
        <v>0.39100000000000001</v>
      </c>
      <c r="Z647" s="177">
        <v>1.7729999999999999</v>
      </c>
      <c r="AA647" s="177">
        <v>3.1619999999999999</v>
      </c>
      <c r="AB647" s="177">
        <v>8.7370000000000001</v>
      </c>
      <c r="AC647" s="177">
        <v>10.132</v>
      </c>
    </row>
    <row r="648" spans="1:29" s="33" customFormat="1" hidden="1" outlineLevel="1">
      <c r="A648" s="192"/>
      <c r="B648" s="192"/>
      <c r="H648" s="191"/>
      <c r="I648" s="191"/>
      <c r="J648" s="191"/>
      <c r="K648" s="191"/>
      <c r="L648" s="191"/>
      <c r="M648" s="191"/>
      <c r="N648" s="191"/>
      <c r="O648" s="191"/>
      <c r="P648" s="141"/>
      <c r="Q648" s="141"/>
      <c r="R648" s="141"/>
      <c r="S648" s="141"/>
      <c r="T648" s="141"/>
      <c r="U648" s="141"/>
      <c r="V648" s="141"/>
      <c r="W648" s="141"/>
      <c r="X648" s="141"/>
      <c r="Y648" s="141"/>
      <c r="Z648" s="141"/>
      <c r="AA648" s="141"/>
      <c r="AB648" s="141"/>
    </row>
    <row r="649" spans="1:29" s="33" customFormat="1" hidden="1" outlineLevel="1">
      <c r="A649" s="192"/>
      <c r="B649" s="192"/>
      <c r="E649" s="33" t="s">
        <v>476</v>
      </c>
      <c r="H649" s="177"/>
      <c r="I649" s="177"/>
      <c r="J649" s="177"/>
      <c r="K649" s="177"/>
      <c r="L649" s="177"/>
      <c r="M649" s="177"/>
      <c r="N649" s="177"/>
      <c r="O649" s="177"/>
      <c r="P649" s="177"/>
      <c r="Q649" s="177"/>
      <c r="R649" s="177"/>
      <c r="S649" s="177"/>
      <c r="T649" s="177"/>
      <c r="U649" s="177"/>
      <c r="V649" s="177"/>
      <c r="W649" s="177"/>
      <c r="X649" s="177"/>
      <c r="Y649" s="177">
        <v>39.052</v>
      </c>
      <c r="Z649" s="177">
        <v>61.610999999999997</v>
      </c>
      <c r="AA649" s="177">
        <v>93.340999999999994</v>
      </c>
      <c r="AB649" s="177">
        <v>147.584</v>
      </c>
      <c r="AC649" s="177">
        <v>257.10899999999998</v>
      </c>
    </row>
    <row r="650" spans="1:29" s="33" customFormat="1" hidden="1" outlineLevel="1">
      <c r="A650" s="192"/>
      <c r="B650" s="192"/>
      <c r="E650" s="33" t="s">
        <v>477</v>
      </c>
      <c r="H650" s="177"/>
      <c r="I650" s="177"/>
      <c r="J650" s="177"/>
      <c r="K650" s="177"/>
      <c r="L650" s="177"/>
      <c r="M650" s="177"/>
      <c r="N650" s="177"/>
      <c r="O650" s="177"/>
      <c r="P650" s="177"/>
      <c r="Q650" s="177"/>
      <c r="R650" s="177"/>
      <c r="S650" s="177"/>
      <c r="T650" s="177"/>
      <c r="U650" s="177"/>
      <c r="V650" s="177"/>
      <c r="W650" s="177"/>
      <c r="X650" s="177"/>
      <c r="Y650" s="177">
        <v>3.7629999999999999</v>
      </c>
      <c r="Z650" s="177">
        <v>4.8949999999999996</v>
      </c>
      <c r="AA650" s="177">
        <v>6.2080000000000002</v>
      </c>
      <c r="AB650" s="177">
        <v>5.2329999999999997</v>
      </c>
      <c r="AC650" s="177">
        <v>12.547000000000001</v>
      </c>
    </row>
    <row r="651" spans="1:29" s="33" customFormat="1" hidden="1" outlineLevel="1">
      <c r="A651" s="192"/>
      <c r="B651" s="192"/>
      <c r="H651" s="191"/>
      <c r="I651" s="191"/>
      <c r="J651" s="191"/>
      <c r="K651" s="191"/>
      <c r="L651" s="191"/>
      <c r="M651" s="191"/>
      <c r="N651" s="191"/>
      <c r="O651" s="191"/>
      <c r="P651" s="141"/>
      <c r="Q651" s="141"/>
      <c r="R651" s="141"/>
      <c r="S651" s="141"/>
      <c r="T651" s="141"/>
      <c r="U651" s="141"/>
      <c r="V651" s="141"/>
      <c r="W651" s="141"/>
      <c r="X651" s="141"/>
      <c r="Y651" s="141"/>
      <c r="Z651" s="141"/>
      <c r="AA651" s="141"/>
      <c r="AB651" s="141"/>
    </row>
    <row r="652" spans="1:29" s="33" customFormat="1" hidden="1" outlineLevel="1">
      <c r="A652" s="192"/>
      <c r="B652" s="192"/>
      <c r="E652" s="33" t="s">
        <v>136</v>
      </c>
      <c r="H652" s="177"/>
      <c r="I652" s="177"/>
      <c r="J652" s="177"/>
      <c r="K652" s="177"/>
      <c r="L652" s="177"/>
      <c r="M652" s="177"/>
      <c r="N652" s="177"/>
      <c r="O652" s="177"/>
      <c r="P652" s="177"/>
      <c r="Q652" s="177"/>
      <c r="R652" s="177"/>
      <c r="S652" s="177"/>
      <c r="T652" s="177"/>
      <c r="U652" s="177"/>
      <c r="V652" s="177"/>
      <c r="W652" s="177"/>
      <c r="X652" s="177"/>
      <c r="Y652" s="177">
        <v>13.138999999999999</v>
      </c>
      <c r="Z652" s="177">
        <v>19.765000000000001</v>
      </c>
      <c r="AA652" s="177">
        <v>41.045999999999999</v>
      </c>
      <c r="AB652" s="177">
        <v>75.733999999999995</v>
      </c>
      <c r="AC652" s="177">
        <v>108.57599999999999</v>
      </c>
    </row>
    <row r="653" spans="1:29" s="33" customFormat="1" hidden="1" outlineLevel="1">
      <c r="A653" s="192"/>
      <c r="B653" s="192"/>
      <c r="E653" s="33" t="s">
        <v>138</v>
      </c>
      <c r="H653" s="177"/>
      <c r="I653" s="177"/>
      <c r="J653" s="177"/>
      <c r="K653" s="177"/>
      <c r="L653" s="177"/>
      <c r="M653" s="177"/>
      <c r="N653" s="177"/>
      <c r="O653" s="177"/>
      <c r="P653" s="177"/>
      <c r="Q653" s="177"/>
      <c r="R653" s="177"/>
      <c r="S653" s="177"/>
      <c r="T653" s="177"/>
      <c r="U653" s="177"/>
      <c r="V653" s="177"/>
      <c r="W653" s="177"/>
      <c r="X653" s="177"/>
      <c r="Y653" s="177">
        <v>0</v>
      </c>
      <c r="Z653" s="177">
        <v>0</v>
      </c>
      <c r="AA653" s="177">
        <v>8.7080000000000002</v>
      </c>
      <c r="AB653" s="177">
        <v>24.024000000000001</v>
      </c>
      <c r="AC653" s="177">
        <v>32.128999999999998</v>
      </c>
    </row>
    <row r="654" spans="1:29" s="33" customFormat="1" hidden="1" outlineLevel="1">
      <c r="A654" s="192"/>
      <c r="B654" s="192"/>
      <c r="E654" s="33" t="s">
        <v>223</v>
      </c>
      <c r="H654" s="177"/>
      <c r="I654" s="177"/>
      <c r="J654" s="177"/>
      <c r="K654" s="177"/>
      <c r="L654" s="177"/>
      <c r="M654" s="177"/>
      <c r="N654" s="177"/>
      <c r="O654" s="177"/>
      <c r="P654" s="177"/>
      <c r="Q654" s="177"/>
      <c r="R654" s="177"/>
      <c r="S654" s="177"/>
      <c r="T654" s="177"/>
      <c r="U654" s="177"/>
      <c r="V654" s="177"/>
      <c r="W654" s="177"/>
      <c r="X654" s="177"/>
      <c r="Y654" s="177">
        <v>0</v>
      </c>
      <c r="Z654" s="177">
        <v>0</v>
      </c>
      <c r="AA654" s="177">
        <v>0</v>
      </c>
      <c r="AB654" s="177">
        <v>36.119</v>
      </c>
      <c r="AC654" s="177">
        <v>44.338999999999999</v>
      </c>
    </row>
    <row r="655" spans="1:29" s="33" customFormat="1" hidden="1" outlineLevel="1">
      <c r="A655" s="192"/>
      <c r="B655" s="192"/>
      <c r="E655" s="69" t="s">
        <v>482</v>
      </c>
      <c r="H655" s="187"/>
      <c r="I655" s="187"/>
      <c r="J655" s="187"/>
      <c r="K655" s="187"/>
      <c r="L655" s="187"/>
      <c r="M655" s="187"/>
      <c r="N655" s="187"/>
      <c r="O655" s="187"/>
      <c r="P655" s="187"/>
      <c r="Q655" s="187"/>
      <c r="R655" s="187"/>
      <c r="S655" s="187"/>
      <c r="T655" s="187"/>
      <c r="U655" s="187"/>
      <c r="V655" s="187"/>
      <c r="W655" s="187"/>
      <c r="X655" s="187"/>
      <c r="Y655" s="187">
        <f>IFERROR(Y652/Y617,"na")</f>
        <v>0.10451251620703643</v>
      </c>
      <c r="Z655" s="187">
        <f>IFERROR(Z652/Z617,"na")</f>
        <v>0.10393113674845142</v>
      </c>
      <c r="AA655" s="187">
        <f>IFERROR(AA652/AA617,"na")</f>
        <v>0.13553870741919719</v>
      </c>
      <c r="AB655" s="187">
        <f>IFERROR(AB652/AB617,"na")</f>
        <v>0.17560733556086802</v>
      </c>
      <c r="AC655" s="187">
        <f>IFERROR(AC652/AC617,"na")</f>
        <v>0.16130738374684295</v>
      </c>
    </row>
    <row r="656" spans="1:29" s="33" customFormat="1" hidden="1" outlineLevel="1">
      <c r="A656" s="192"/>
      <c r="B656" s="192"/>
      <c r="E656" s="69" t="s">
        <v>483</v>
      </c>
      <c r="H656" s="187"/>
      <c r="I656" s="187"/>
      <c r="J656" s="187"/>
      <c r="K656" s="187"/>
      <c r="L656" s="187"/>
      <c r="M656" s="187"/>
      <c r="N656" s="187"/>
      <c r="O656" s="187"/>
      <c r="P656" s="187"/>
      <c r="Q656" s="187"/>
      <c r="R656" s="187"/>
      <c r="S656" s="187"/>
      <c r="T656" s="187"/>
      <c r="U656" s="187"/>
      <c r="V656" s="187"/>
      <c r="W656" s="187"/>
      <c r="X656" s="187"/>
      <c r="Y656" s="187"/>
      <c r="Z656" s="187"/>
      <c r="AA656" s="187"/>
      <c r="AB656" s="187">
        <f>IFERROR(AB654/AB617,"na")</f>
        <v>8.3750513020875605E-2</v>
      </c>
      <c r="AC656" s="187">
        <f>IFERROR(AC654/AC617,"na")</f>
        <v>6.5872827217352548E-2</v>
      </c>
    </row>
    <row r="657" spans="1:44" s="33" customFormat="1" hidden="1" outlineLevel="1">
      <c r="A657" s="192"/>
      <c r="B657" s="192"/>
      <c r="H657" s="191"/>
      <c r="I657" s="191"/>
      <c r="J657" s="191"/>
      <c r="K657" s="191"/>
      <c r="L657" s="191"/>
      <c r="M657" s="191"/>
      <c r="N657" s="191"/>
      <c r="O657" s="191"/>
      <c r="P657" s="141"/>
      <c r="Q657" s="141"/>
      <c r="R657" s="141"/>
      <c r="S657" s="141"/>
      <c r="T657" s="141"/>
      <c r="U657" s="141"/>
      <c r="V657" s="141"/>
      <c r="W657" s="141"/>
      <c r="X657" s="141"/>
      <c r="Y657" s="141"/>
      <c r="Z657" s="141"/>
      <c r="AA657" s="141"/>
      <c r="AB657" s="141"/>
    </row>
    <row r="658" spans="1:44" s="33" customFormat="1" collapsed="1">
      <c r="A658" s="192"/>
      <c r="B658" s="192"/>
      <c r="H658" s="191"/>
      <c r="I658" s="191"/>
      <c r="J658" s="191"/>
      <c r="K658" s="191"/>
      <c r="L658" s="191"/>
      <c r="M658" s="191"/>
      <c r="N658" s="191"/>
      <c r="O658" s="191"/>
      <c r="P658" s="141"/>
      <c r="Q658" s="141"/>
      <c r="R658" s="141"/>
      <c r="S658" s="141"/>
      <c r="T658" s="141"/>
      <c r="U658" s="141"/>
      <c r="V658" s="141"/>
      <c r="W658" s="141"/>
      <c r="X658" s="141"/>
      <c r="Y658" s="141"/>
      <c r="Z658" s="141"/>
      <c r="AA658" s="141"/>
      <c r="AB658" s="141"/>
    </row>
    <row r="659" spans="1:44">
      <c r="C659" s="120"/>
      <c r="D659" s="41" t="s">
        <v>238</v>
      </c>
      <c r="E659" s="41"/>
      <c r="F659" s="41"/>
      <c r="G659" s="41"/>
      <c r="H659" s="41"/>
      <c r="I659" s="41"/>
      <c r="J659" s="41"/>
      <c r="K659" s="41"/>
      <c r="L659" s="41"/>
      <c r="M659" s="41"/>
      <c r="N659" s="41"/>
      <c r="O659" s="41"/>
      <c r="P659" s="41"/>
      <c r="Q659" s="41"/>
      <c r="R659" s="41"/>
      <c r="S659" s="41"/>
      <c r="T659" s="41"/>
      <c r="U659" s="41"/>
      <c r="V659" s="41"/>
      <c r="W659" s="41"/>
      <c r="X659" s="41"/>
      <c r="Y659" s="41"/>
      <c r="Z659" s="41"/>
      <c r="AA659" s="41"/>
      <c r="AB659" s="41"/>
      <c r="AC659" s="41"/>
      <c r="AD659" s="41"/>
      <c r="AE659" s="41"/>
      <c r="AF659" s="41"/>
      <c r="AG659" s="41"/>
      <c r="AH659" s="41"/>
      <c r="AI659" s="41"/>
      <c r="AJ659" s="41"/>
      <c r="AK659" s="41"/>
      <c r="AL659" s="41"/>
      <c r="AM659" s="41"/>
      <c r="AN659" s="41"/>
      <c r="AP659" s="92" t="s">
        <v>608</v>
      </c>
      <c r="AQ659" s="92" t="s">
        <v>609</v>
      </c>
      <c r="AR659" s="92" t="s">
        <v>610</v>
      </c>
    </row>
    <row r="660" spans="1:44">
      <c r="U660" s="54"/>
      <c r="V660" s="54"/>
      <c r="W660" s="54"/>
      <c r="X660" s="54"/>
      <c r="Y660" s="54"/>
      <c r="Z660" s="54"/>
      <c r="AA660" s="7"/>
      <c r="AB660" s="54"/>
      <c r="AC660" s="54"/>
      <c r="AD660" s="54"/>
      <c r="AE660" s="54"/>
      <c r="AF660" s="54"/>
      <c r="AG660" s="54"/>
      <c r="AH660" s="54"/>
      <c r="AI660" s="54"/>
      <c r="AJ660" s="54"/>
      <c r="AK660" s="54"/>
      <c r="AL660" s="54"/>
      <c r="AM660" s="54"/>
      <c r="AN660" s="54"/>
      <c r="AO660" s="54"/>
    </row>
    <row r="661" spans="1:44">
      <c r="D661" s="90"/>
      <c r="E661" s="91" t="s">
        <v>614</v>
      </c>
      <c r="F661" s="90"/>
      <c r="G661" s="91"/>
      <c r="H661" s="90"/>
      <c r="I661" s="90"/>
      <c r="J661" s="90"/>
      <c r="K661" s="90"/>
      <c r="L661" s="90"/>
      <c r="M661" s="90"/>
      <c r="N661" s="90"/>
      <c r="O661" s="90"/>
      <c r="P661" s="90"/>
      <c r="Q661" s="90"/>
      <c r="R661" s="90"/>
      <c r="S661" s="90"/>
      <c r="T661" s="90"/>
      <c r="U661" s="90"/>
      <c r="V661" s="90"/>
      <c r="W661" s="90"/>
      <c r="X661" s="90"/>
      <c r="Y661" s="90"/>
      <c r="Z661" s="90"/>
      <c r="AA661" s="90"/>
      <c r="AB661" s="90"/>
      <c r="AC661" s="90"/>
      <c r="AD661" s="90"/>
      <c r="AE661" s="90"/>
      <c r="AF661" s="90"/>
      <c r="AG661" s="90"/>
      <c r="AH661" s="90"/>
      <c r="AI661" s="90"/>
      <c r="AJ661" s="90"/>
      <c r="AK661" s="90"/>
      <c r="AL661" s="90"/>
      <c r="AM661" s="90"/>
      <c r="AN661" s="90"/>
    </row>
    <row r="662" spans="1:44" hidden="1" outlineLevel="2">
      <c r="U662" s="54"/>
      <c r="V662" s="54"/>
      <c r="W662" s="54"/>
      <c r="X662" s="54"/>
      <c r="Y662" s="54"/>
      <c r="Z662" s="54"/>
      <c r="AA662" s="54"/>
      <c r="AB662" s="54"/>
      <c r="AC662" s="54"/>
      <c r="AD662" s="54"/>
      <c r="AE662" s="54"/>
      <c r="AF662" s="54"/>
      <c r="AG662" s="54"/>
      <c r="AH662" s="54"/>
      <c r="AI662" s="54"/>
      <c r="AJ662" s="54"/>
      <c r="AK662" s="54"/>
      <c r="AL662" s="54"/>
      <c r="AM662" s="54"/>
      <c r="AN662" s="54"/>
      <c r="AO662" s="54"/>
    </row>
    <row r="663" spans="1:44" hidden="1" outlineLevel="2">
      <c r="E663" s="59" t="s">
        <v>593</v>
      </c>
      <c r="H663" s="177"/>
      <c r="I663" s="177"/>
      <c r="J663" s="177"/>
      <c r="K663" s="177"/>
      <c r="L663" s="177"/>
      <c r="M663" s="177"/>
      <c r="N663" s="177"/>
      <c r="O663" s="177"/>
      <c r="P663" s="177"/>
      <c r="Q663" s="177"/>
      <c r="R663" s="177"/>
      <c r="S663" s="177"/>
      <c r="T663" s="177"/>
      <c r="U663" s="177"/>
      <c r="V663" s="177"/>
      <c r="W663" s="177">
        <v>542</v>
      </c>
      <c r="X663" s="177">
        <v>680</v>
      </c>
      <c r="Y663" s="177">
        <v>864</v>
      </c>
      <c r="Z663" s="177">
        <v>1127</v>
      </c>
      <c r="AA663" s="177">
        <v>367</v>
      </c>
      <c r="AB663" s="177">
        <v>442</v>
      </c>
      <c r="AC663" s="141">
        <v>641</v>
      </c>
      <c r="AD663" s="141">
        <v>904</v>
      </c>
      <c r="AE663" s="141">
        <v>1185</v>
      </c>
      <c r="AF663" s="141">
        <v>1489</v>
      </c>
      <c r="AG663" s="141">
        <v>1830</v>
      </c>
      <c r="AP663" s="54">
        <f>(AB663/W663)^(1/5)-1</f>
        <v>-3.9970459723564722E-2</v>
      </c>
      <c r="AQ663" s="54">
        <f>(AG663/AB663)^(1/5)-1</f>
        <v>0.32863523029237784</v>
      </c>
      <c r="AR663" s="54">
        <f>(AG663/W663)^(1/10)-1</f>
        <v>0.12939323060334806</v>
      </c>
    </row>
    <row r="664" spans="1:44" hidden="1" outlineLevel="2">
      <c r="E664" s="59" t="s">
        <v>594</v>
      </c>
      <c r="H664" s="177"/>
      <c r="I664" s="177"/>
      <c r="J664" s="177"/>
      <c r="K664" s="177"/>
      <c r="L664" s="177"/>
      <c r="M664" s="177"/>
      <c r="N664" s="177"/>
      <c r="O664" s="177"/>
      <c r="P664" s="177"/>
      <c r="Q664" s="177"/>
      <c r="R664" s="177"/>
      <c r="S664" s="177"/>
      <c r="T664" s="177"/>
      <c r="U664" s="177"/>
      <c r="V664" s="177"/>
      <c r="W664" s="177">
        <v>13934</v>
      </c>
      <c r="X664" s="177">
        <v>17414</v>
      </c>
      <c r="Y664" s="177">
        <v>22895</v>
      </c>
      <c r="Z664" s="177">
        <v>40585</v>
      </c>
      <c r="AA664" s="177">
        <v>47630</v>
      </c>
      <c r="AB664" s="177">
        <v>55050</v>
      </c>
      <c r="AC664" s="141">
        <v>64448</v>
      </c>
      <c r="AD664" s="141">
        <v>75067</v>
      </c>
      <c r="AE664" s="141">
        <v>86536</v>
      </c>
      <c r="AF664" s="141">
        <v>99774</v>
      </c>
      <c r="AG664" s="141">
        <v>114276</v>
      </c>
      <c r="AP664" s="54">
        <f t="shared" ref="AP664:AP681" si="389">(AB664/W664)^(1/5)-1</f>
        <v>0.31624369365879201</v>
      </c>
      <c r="AQ664" s="54">
        <f t="shared" ref="AQ664:AQ681" si="390">(AG664/AB664)^(1/5)-1</f>
        <v>0.15728291432103281</v>
      </c>
      <c r="AR664" s="54">
        <f t="shared" ref="AR664:AR681" si="391">(AG664/W664)^(1/10)-1</f>
        <v>0.23420676458773615</v>
      </c>
    </row>
    <row r="665" spans="1:44" hidden="1" outlineLevel="2">
      <c r="E665" s="59" t="s">
        <v>595</v>
      </c>
      <c r="H665" s="177"/>
      <c r="I665" s="177"/>
      <c r="J665" s="177"/>
      <c r="K665" s="177"/>
      <c r="L665" s="177"/>
      <c r="M665" s="177"/>
      <c r="N665" s="177"/>
      <c r="O665" s="177"/>
      <c r="P665" s="177"/>
      <c r="Q665" s="177"/>
      <c r="R665" s="177"/>
      <c r="S665" s="177"/>
      <c r="T665" s="177"/>
      <c r="U665" s="177"/>
      <c r="V665" s="177"/>
      <c r="W665" s="177">
        <v>6973</v>
      </c>
      <c r="X665" s="177">
        <v>8546</v>
      </c>
      <c r="Y665" s="177">
        <v>10009</v>
      </c>
      <c r="Z665" s="177">
        <v>14480</v>
      </c>
      <c r="AA665" s="177">
        <v>16936</v>
      </c>
      <c r="AB665" s="177">
        <v>20006</v>
      </c>
      <c r="AC665" s="141">
        <v>22685</v>
      </c>
      <c r="AD665" s="141">
        <v>26384</v>
      </c>
      <c r="AE665" s="141">
        <v>30871</v>
      </c>
      <c r="AF665" s="141">
        <v>35893</v>
      </c>
      <c r="AG665" s="141">
        <v>41328</v>
      </c>
      <c r="AP665" s="54">
        <f t="shared" si="389"/>
        <v>0.23466210822278022</v>
      </c>
      <c r="AQ665" s="54">
        <f t="shared" si="390"/>
        <v>0.1561570316566141</v>
      </c>
      <c r="AR665" s="54">
        <f t="shared" si="391"/>
        <v>0.19476494681663081</v>
      </c>
    </row>
    <row r="666" spans="1:44" hidden="1" outlineLevel="2">
      <c r="E666" s="59" t="s">
        <v>596</v>
      </c>
      <c r="H666" s="177"/>
      <c r="I666" s="177"/>
      <c r="J666" s="177"/>
      <c r="K666" s="177"/>
      <c r="L666" s="177"/>
      <c r="M666" s="177"/>
      <c r="N666" s="177"/>
      <c r="O666" s="177"/>
      <c r="P666" s="177"/>
      <c r="Q666" s="177"/>
      <c r="R666" s="177"/>
      <c r="S666" s="177"/>
      <c r="T666" s="177"/>
      <c r="U666" s="177"/>
      <c r="V666" s="177"/>
      <c r="W666" s="177">
        <v>3266</v>
      </c>
      <c r="X666" s="177">
        <v>3640</v>
      </c>
      <c r="Y666" s="177">
        <v>4110</v>
      </c>
      <c r="Z666" s="177">
        <v>14140</v>
      </c>
      <c r="AA666" s="177">
        <v>14983</v>
      </c>
      <c r="AB666" s="177">
        <v>17529</v>
      </c>
      <c r="AC666" s="141">
        <v>20655</v>
      </c>
      <c r="AD666" s="141">
        <v>25113</v>
      </c>
      <c r="AE666" s="141">
        <v>31108</v>
      </c>
      <c r="AF666" s="141">
        <v>36946</v>
      </c>
      <c r="AG666" s="141">
        <v>43451</v>
      </c>
      <c r="AP666" s="54">
        <f t="shared" si="389"/>
        <v>0.39942037290564603</v>
      </c>
      <c r="AQ666" s="54">
        <f t="shared" si="390"/>
        <v>0.19908101531551115</v>
      </c>
      <c r="AR666" s="54">
        <f t="shared" si="391"/>
        <v>0.29538349595666569</v>
      </c>
    </row>
    <row r="667" spans="1:44" hidden="1" outlineLevel="2">
      <c r="E667" s="59" t="s">
        <v>597</v>
      </c>
      <c r="H667" s="177"/>
      <c r="I667" s="177"/>
      <c r="J667" s="177"/>
      <c r="K667" s="177"/>
      <c r="L667" s="177"/>
      <c r="M667" s="177"/>
      <c r="N667" s="177"/>
      <c r="O667" s="177"/>
      <c r="P667" s="177"/>
      <c r="Q667" s="177"/>
      <c r="R667" s="177"/>
      <c r="S667" s="177"/>
      <c r="T667" s="177"/>
      <c r="U667" s="177"/>
      <c r="V667" s="177"/>
      <c r="W667" s="177">
        <v>462</v>
      </c>
      <c r="X667" s="177">
        <v>596</v>
      </c>
      <c r="Y667" s="177">
        <v>743</v>
      </c>
      <c r="Z667" s="177">
        <v>778</v>
      </c>
      <c r="AA667" s="177">
        <v>1391</v>
      </c>
      <c r="AB667" s="177">
        <v>1637</v>
      </c>
      <c r="AC667" s="141">
        <v>1933</v>
      </c>
      <c r="AD667" s="141">
        <v>2343</v>
      </c>
      <c r="AE667" s="141">
        <v>2863</v>
      </c>
      <c r="AF667" s="141">
        <v>3443</v>
      </c>
      <c r="AG667" s="141">
        <v>4094</v>
      </c>
      <c r="AP667" s="54">
        <f t="shared" si="389"/>
        <v>0.28789762040267664</v>
      </c>
      <c r="AQ667" s="54">
        <f t="shared" si="390"/>
        <v>0.20121246929306924</v>
      </c>
      <c r="AR667" s="54">
        <f t="shared" si="391"/>
        <v>0.24380009680035286</v>
      </c>
    </row>
    <row r="668" spans="1:44" hidden="1" outlineLevel="2">
      <c r="E668" s="59" t="s">
        <v>598</v>
      </c>
      <c r="H668" s="177"/>
      <c r="I668" s="177"/>
      <c r="J668" s="177"/>
      <c r="K668" s="177"/>
      <c r="L668" s="177"/>
      <c r="M668" s="177"/>
      <c r="N668" s="177"/>
      <c r="O668" s="177"/>
      <c r="P668" s="177"/>
      <c r="Q668" s="177"/>
      <c r="R668" s="177"/>
      <c r="S668" s="177"/>
      <c r="T668" s="177"/>
      <c r="U668" s="177"/>
      <c r="V668" s="177"/>
      <c r="W668" s="177">
        <v>2106</v>
      </c>
      <c r="X668" s="177">
        <v>2717</v>
      </c>
      <c r="Y668" s="177">
        <v>3220</v>
      </c>
      <c r="Z668" s="177">
        <v>4636</v>
      </c>
      <c r="AA668" s="177">
        <v>5155</v>
      </c>
      <c r="AB668" s="177">
        <v>6286</v>
      </c>
      <c r="AC668" s="141">
        <v>7635</v>
      </c>
      <c r="AD668" s="141">
        <v>9506</v>
      </c>
      <c r="AE668" s="141">
        <v>11950</v>
      </c>
      <c r="AF668" s="141">
        <v>15036</v>
      </c>
      <c r="AG668" s="141">
        <v>18332</v>
      </c>
      <c r="AP668" s="54">
        <f t="shared" si="389"/>
        <v>0.24446647624395301</v>
      </c>
      <c r="AQ668" s="54">
        <f t="shared" si="390"/>
        <v>0.23870272895359812</v>
      </c>
      <c r="AR668" s="54">
        <f t="shared" si="391"/>
        <v>0.24158125799911012</v>
      </c>
    </row>
    <row r="669" spans="1:44" hidden="1" outlineLevel="2">
      <c r="E669" s="59" t="s">
        <v>599</v>
      </c>
      <c r="H669" s="177"/>
      <c r="I669" s="177"/>
      <c r="J669" s="177"/>
      <c r="K669" s="177"/>
      <c r="L669" s="177"/>
      <c r="M669" s="177"/>
      <c r="N669" s="177"/>
      <c r="O669" s="177"/>
      <c r="P669" s="177"/>
      <c r="Q669" s="177"/>
      <c r="R669" s="177"/>
      <c r="S669" s="177"/>
      <c r="T669" s="177"/>
      <c r="U669" s="177"/>
      <c r="V669" s="177"/>
      <c r="W669" s="177">
        <v>1304</v>
      </c>
      <c r="X669" s="177">
        <v>2035</v>
      </c>
      <c r="Y669" s="177">
        <v>3051</v>
      </c>
      <c r="Z669" s="177">
        <v>4780</v>
      </c>
      <c r="AA669" s="177">
        <v>5464</v>
      </c>
      <c r="AB669" s="177">
        <v>6399</v>
      </c>
      <c r="AC669" s="141">
        <v>7548</v>
      </c>
      <c r="AD669" s="141">
        <v>8726</v>
      </c>
      <c r="AE669" s="141">
        <v>9905</v>
      </c>
      <c r="AF669" s="141">
        <v>11040</v>
      </c>
      <c r="AG669" s="141">
        <v>12208</v>
      </c>
      <c r="AP669" s="54">
        <f t="shared" si="389"/>
        <v>0.37457013469980582</v>
      </c>
      <c r="AQ669" s="54">
        <f t="shared" si="390"/>
        <v>0.1379062481078599</v>
      </c>
      <c r="AR669" s="54">
        <f t="shared" si="391"/>
        <v>0.25065260753631002</v>
      </c>
    </row>
    <row r="670" spans="1:44" hidden="1" outlineLevel="2">
      <c r="E670" s="59" t="s">
        <v>600</v>
      </c>
      <c r="H670" s="177"/>
      <c r="I670" s="177"/>
      <c r="J670" s="177"/>
      <c r="K670" s="177"/>
      <c r="L670" s="177"/>
      <c r="M670" s="177"/>
      <c r="N670" s="177"/>
      <c r="O670" s="177"/>
      <c r="P670" s="177"/>
      <c r="Q670" s="177"/>
      <c r="R670" s="177"/>
      <c r="S670" s="177"/>
      <c r="T670" s="177"/>
      <c r="U670" s="177"/>
      <c r="V670" s="177"/>
      <c r="W670" s="177">
        <v>5986</v>
      </c>
      <c r="X670" s="177">
        <v>7474</v>
      </c>
      <c r="Y670" s="177">
        <v>9445</v>
      </c>
      <c r="Z670" s="177">
        <v>13007</v>
      </c>
      <c r="AA670" s="177">
        <v>13706</v>
      </c>
      <c r="AB670" s="177">
        <v>15800</v>
      </c>
      <c r="AC670" s="141">
        <v>18620</v>
      </c>
      <c r="AD670" s="141">
        <v>21622</v>
      </c>
      <c r="AE670" s="141">
        <v>24963</v>
      </c>
      <c r="AF670" s="141">
        <v>28495</v>
      </c>
      <c r="AG670" s="141">
        <v>32304</v>
      </c>
      <c r="AP670" s="54">
        <f t="shared" si="389"/>
        <v>0.21423871223482904</v>
      </c>
      <c r="AQ670" s="54">
        <f t="shared" si="390"/>
        <v>0.15377159548610342</v>
      </c>
      <c r="AR670" s="54">
        <f t="shared" si="391"/>
        <v>0.18361908412975936</v>
      </c>
    </row>
    <row r="671" spans="1:44" s="3" customFormat="1" hidden="1" outlineLevel="2">
      <c r="A671" s="96"/>
      <c r="B671" s="96"/>
      <c r="C671" s="122"/>
      <c r="E671" s="2" t="s">
        <v>601</v>
      </c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8">
        <f>SUM(W663:W670)</f>
        <v>34573</v>
      </c>
      <c r="X671" s="8">
        <f t="shared" ref="X671:AG671" si="392">SUM(X663:X670)</f>
        <v>43102</v>
      </c>
      <c r="Y671" s="8">
        <f t="shared" si="392"/>
        <v>54337</v>
      </c>
      <c r="Z671" s="8">
        <f t="shared" si="392"/>
        <v>93533</v>
      </c>
      <c r="AA671" s="8">
        <f t="shared" si="392"/>
        <v>105632</v>
      </c>
      <c r="AB671" s="8">
        <f t="shared" si="392"/>
        <v>123149</v>
      </c>
      <c r="AC671" s="8">
        <f t="shared" si="392"/>
        <v>144165</v>
      </c>
      <c r="AD671" s="8">
        <f t="shared" si="392"/>
        <v>169665</v>
      </c>
      <c r="AE671" s="8">
        <f t="shared" si="392"/>
        <v>199381</v>
      </c>
      <c r="AF671" s="8">
        <f t="shared" si="392"/>
        <v>232116</v>
      </c>
      <c r="AG671" s="8">
        <f t="shared" si="392"/>
        <v>267823</v>
      </c>
      <c r="AH671" s="2"/>
      <c r="AI671" s="2"/>
      <c r="AJ671" s="2"/>
      <c r="AK671" s="2"/>
      <c r="AL671" s="2"/>
      <c r="AM671" s="2"/>
      <c r="AN671" s="2"/>
      <c r="AP671" s="22">
        <f t="shared" si="389"/>
        <v>0.2892548228345122</v>
      </c>
      <c r="AQ671" s="22">
        <f t="shared" si="390"/>
        <v>0.16810907016945675</v>
      </c>
      <c r="AR671" s="22">
        <f t="shared" si="391"/>
        <v>0.22718794498345263</v>
      </c>
    </row>
    <row r="672" spans="1:44" hidden="1" outlineLevel="2">
      <c r="W672" s="141"/>
      <c r="X672" s="141"/>
      <c r="Y672" s="141"/>
      <c r="Z672" s="141"/>
      <c r="AA672" s="141"/>
      <c r="AB672" s="141"/>
      <c r="AC672" s="141"/>
      <c r="AD672" s="141"/>
      <c r="AE672" s="141"/>
      <c r="AF672" s="141"/>
      <c r="AG672" s="141"/>
      <c r="AP672" s="54"/>
      <c r="AQ672" s="54"/>
      <c r="AR672" s="54"/>
    </row>
    <row r="673" spans="1:44" hidden="1" outlineLevel="2">
      <c r="E673" s="59" t="s">
        <v>602</v>
      </c>
      <c r="H673" s="177"/>
      <c r="I673" s="177"/>
      <c r="J673" s="177"/>
      <c r="K673" s="177"/>
      <c r="L673" s="177"/>
      <c r="M673" s="177"/>
      <c r="N673" s="177"/>
      <c r="O673" s="177"/>
      <c r="P673" s="177"/>
      <c r="Q673" s="177"/>
      <c r="R673" s="177"/>
      <c r="S673" s="177"/>
      <c r="T673" s="177"/>
      <c r="U673" s="177"/>
      <c r="V673" s="177"/>
      <c r="W673" s="177">
        <v>1027</v>
      </c>
      <c r="X673" s="177">
        <v>1292</v>
      </c>
      <c r="Y673" s="177">
        <v>2037</v>
      </c>
      <c r="Z673" s="177">
        <v>2122</v>
      </c>
      <c r="AA673" s="177">
        <v>3254</v>
      </c>
      <c r="AB673" s="177">
        <v>3643</v>
      </c>
      <c r="AC673" s="141">
        <v>4109</v>
      </c>
      <c r="AD673" s="141">
        <v>4661</v>
      </c>
      <c r="AE673" s="141">
        <v>4999</v>
      </c>
      <c r="AF673" s="141">
        <v>5399</v>
      </c>
      <c r="AG673" s="141">
        <v>5857</v>
      </c>
      <c r="AP673" s="54">
        <f t="shared" si="389"/>
        <v>0.28818353985314693</v>
      </c>
      <c r="AQ673" s="54">
        <f t="shared" si="390"/>
        <v>9.9621469357804804E-2</v>
      </c>
      <c r="AR673" s="54">
        <f t="shared" si="391"/>
        <v>0.19017405319384095</v>
      </c>
    </row>
    <row r="674" spans="1:44" hidden="1" outlineLevel="2">
      <c r="E674" s="59" t="s">
        <v>603</v>
      </c>
      <c r="H674" s="177"/>
      <c r="I674" s="177"/>
      <c r="J674" s="177"/>
      <c r="K674" s="177"/>
      <c r="L674" s="177"/>
      <c r="M674" s="177"/>
      <c r="N674" s="177"/>
      <c r="O674" s="177"/>
      <c r="P674" s="177"/>
      <c r="Q674" s="177"/>
      <c r="R674" s="177"/>
      <c r="S674" s="177"/>
      <c r="T674" s="177"/>
      <c r="U674" s="177"/>
      <c r="V674" s="177"/>
      <c r="W674" s="177">
        <v>2818</v>
      </c>
      <c r="X674" s="177">
        <v>3962</v>
      </c>
      <c r="Y674" s="177">
        <v>8232</v>
      </c>
      <c r="Z674" s="177">
        <v>10825</v>
      </c>
      <c r="AA674" s="177">
        <v>15429</v>
      </c>
      <c r="AB674" s="177">
        <v>19567</v>
      </c>
      <c r="AC674" s="141">
        <v>24952</v>
      </c>
      <c r="AD674" s="141">
        <v>30472</v>
      </c>
      <c r="AE674" s="141">
        <v>36682</v>
      </c>
      <c r="AF674" s="141">
        <v>41667</v>
      </c>
      <c r="AG674" s="141">
        <v>47138</v>
      </c>
      <c r="AP674" s="54">
        <f t="shared" si="389"/>
        <v>0.47338638112811027</v>
      </c>
      <c r="AQ674" s="54">
        <f t="shared" si="390"/>
        <v>0.19225562862964996</v>
      </c>
      <c r="AR674" s="54">
        <f t="shared" si="391"/>
        <v>0.32538794548851246</v>
      </c>
    </row>
    <row r="675" spans="1:44" hidden="1" outlineLevel="2">
      <c r="E675" s="59" t="s">
        <v>604</v>
      </c>
      <c r="H675" s="177"/>
      <c r="I675" s="177"/>
      <c r="J675" s="177"/>
      <c r="K675" s="177"/>
      <c r="L675" s="177"/>
      <c r="M675" s="177"/>
      <c r="N675" s="177"/>
      <c r="O675" s="177"/>
      <c r="P675" s="177"/>
      <c r="Q675" s="177"/>
      <c r="R675" s="177"/>
      <c r="S675" s="177"/>
      <c r="T675" s="177"/>
      <c r="U675" s="177"/>
      <c r="V675" s="177"/>
      <c r="W675" s="177">
        <v>697</v>
      </c>
      <c r="X675" s="177">
        <v>872</v>
      </c>
      <c r="Y675" s="177">
        <v>2275</v>
      </c>
      <c r="Z675" s="177">
        <v>3849</v>
      </c>
      <c r="AA675" s="177">
        <v>6038</v>
      </c>
      <c r="AB675" s="177">
        <v>8456</v>
      </c>
      <c r="AC675" s="141">
        <v>10537</v>
      </c>
      <c r="AD675" s="141">
        <v>12986</v>
      </c>
      <c r="AE675" s="141">
        <v>15793</v>
      </c>
      <c r="AF675" s="141">
        <v>19157</v>
      </c>
      <c r="AG675" s="141">
        <v>23050</v>
      </c>
      <c r="AP675" s="54">
        <f t="shared" si="389"/>
        <v>0.64735212038691126</v>
      </c>
      <c r="AQ675" s="54">
        <f t="shared" si="390"/>
        <v>0.22208437397871128</v>
      </c>
      <c r="AR675" s="54">
        <f t="shared" si="391"/>
        <v>0.41887394956900281</v>
      </c>
    </row>
    <row r="676" spans="1:44" hidden="1" outlineLevel="2">
      <c r="E676" s="59" t="s">
        <v>605</v>
      </c>
      <c r="H676" s="177"/>
      <c r="I676" s="177"/>
      <c r="J676" s="177"/>
      <c r="K676" s="177"/>
      <c r="L676" s="177"/>
      <c r="M676" s="177"/>
      <c r="N676" s="177"/>
      <c r="O676" s="177"/>
      <c r="P676" s="177"/>
      <c r="Q676" s="177"/>
      <c r="R676" s="177"/>
      <c r="S676" s="177"/>
      <c r="T676" s="177"/>
      <c r="U676" s="177"/>
      <c r="V676" s="177"/>
      <c r="W676" s="177">
        <v>1380</v>
      </c>
      <c r="X676" s="177">
        <v>2156</v>
      </c>
      <c r="Y676" s="177">
        <v>5798</v>
      </c>
      <c r="Z676" s="177">
        <v>11779</v>
      </c>
      <c r="AA676" s="177">
        <v>17361</v>
      </c>
      <c r="AB676" s="177">
        <v>26270</v>
      </c>
      <c r="AC676" s="141">
        <v>36159</v>
      </c>
      <c r="AD676" s="141">
        <v>48220</v>
      </c>
      <c r="AE676" s="141">
        <v>62642</v>
      </c>
      <c r="AF676" s="141">
        <v>79087</v>
      </c>
      <c r="AG676" s="141">
        <v>97576</v>
      </c>
      <c r="AP676" s="54">
        <f t="shared" si="389"/>
        <v>0.80266985889131948</v>
      </c>
      <c r="AQ676" s="54">
        <f t="shared" si="390"/>
        <v>0.30009948903832395</v>
      </c>
      <c r="AR676" s="54">
        <f t="shared" si="391"/>
        <v>0.53089848208475021</v>
      </c>
    </row>
    <row r="677" spans="1:44" s="3" customFormat="1" hidden="1" outlineLevel="2">
      <c r="A677" s="96"/>
      <c r="B677" s="96"/>
      <c r="C677" s="122"/>
      <c r="E677" s="2" t="s">
        <v>611</v>
      </c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8">
        <f t="shared" ref="W677:AF677" si="393">SUM(W673:W676)</f>
        <v>5922</v>
      </c>
      <c r="X677" s="8">
        <f t="shared" si="393"/>
        <v>8282</v>
      </c>
      <c r="Y677" s="8">
        <f t="shared" si="393"/>
        <v>18342</v>
      </c>
      <c r="Z677" s="8">
        <f t="shared" si="393"/>
        <v>28575</v>
      </c>
      <c r="AA677" s="8">
        <f t="shared" si="393"/>
        <v>42082</v>
      </c>
      <c r="AB677" s="8">
        <f t="shared" si="393"/>
        <v>57936</v>
      </c>
      <c r="AC677" s="8">
        <f t="shared" si="393"/>
        <v>75757</v>
      </c>
      <c r="AD677" s="8">
        <f t="shared" si="393"/>
        <v>96339</v>
      </c>
      <c r="AE677" s="8">
        <f t="shared" si="393"/>
        <v>120116</v>
      </c>
      <c r="AF677" s="8">
        <f t="shared" si="393"/>
        <v>145310</v>
      </c>
      <c r="AG677" s="8">
        <f>SUM(AG673:AG676)</f>
        <v>173621</v>
      </c>
      <c r="AH677" s="2"/>
      <c r="AI677" s="2"/>
      <c r="AJ677" s="2"/>
      <c r="AK677" s="2"/>
      <c r="AL677" s="2"/>
      <c r="AM677" s="2"/>
      <c r="AN677" s="2"/>
      <c r="AP677" s="22">
        <f t="shared" si="389"/>
        <v>0.57796011220689847</v>
      </c>
      <c r="AQ677" s="22">
        <f t="shared" si="390"/>
        <v>0.2454627678356831</v>
      </c>
      <c r="AR677" s="22">
        <f t="shared" si="391"/>
        <v>0.40188821554484466</v>
      </c>
    </row>
    <row r="678" spans="1:44" hidden="1" outlineLevel="2">
      <c r="W678" s="141"/>
      <c r="X678" s="141"/>
      <c r="Y678" s="141"/>
      <c r="Z678" s="141"/>
      <c r="AA678" s="141"/>
      <c r="AB678" s="141"/>
      <c r="AC678" s="141"/>
      <c r="AD678" s="141"/>
      <c r="AE678" s="141"/>
      <c r="AF678" s="141"/>
      <c r="AG678" s="141"/>
      <c r="AP678" s="54"/>
      <c r="AQ678" s="54"/>
      <c r="AR678" s="54"/>
    </row>
    <row r="679" spans="1:44" hidden="1" outlineLevel="2">
      <c r="E679" s="59" t="s">
        <v>606</v>
      </c>
      <c r="H679" s="177"/>
      <c r="I679" s="177"/>
      <c r="J679" s="177"/>
      <c r="K679" s="177"/>
      <c r="L679" s="177"/>
      <c r="M679" s="177"/>
      <c r="N679" s="177"/>
      <c r="O679" s="177"/>
      <c r="P679" s="177"/>
      <c r="Q679" s="177"/>
      <c r="R679" s="177"/>
      <c r="S679" s="177"/>
      <c r="T679" s="177"/>
      <c r="U679" s="177"/>
      <c r="V679" s="177"/>
      <c r="W679" s="177">
        <v>1710</v>
      </c>
      <c r="X679" s="177">
        <v>2113</v>
      </c>
      <c r="Y679" s="177">
        <v>2590</v>
      </c>
      <c r="Z679" s="177">
        <v>1148</v>
      </c>
      <c r="AA679" s="177">
        <v>4053</v>
      </c>
      <c r="AB679" s="177">
        <v>442</v>
      </c>
      <c r="AC679" s="141">
        <v>641</v>
      </c>
      <c r="AD679" s="141">
        <v>904</v>
      </c>
      <c r="AE679" s="141">
        <v>1185</v>
      </c>
      <c r="AF679" s="141">
        <v>1489</v>
      </c>
      <c r="AG679" s="141">
        <v>1830</v>
      </c>
      <c r="AP679" s="54">
        <f t="shared" si="389"/>
        <v>-0.23706905278992496</v>
      </c>
      <c r="AQ679" s="54">
        <f t="shared" si="390"/>
        <v>0.32863523029237784</v>
      </c>
      <c r="AR679" s="54">
        <f t="shared" si="391"/>
        <v>6.805311241274703E-3</v>
      </c>
    </row>
    <row r="680" spans="1:44" hidden="1" outlineLevel="2">
      <c r="E680" s="59" t="s">
        <v>607</v>
      </c>
      <c r="H680" s="177"/>
      <c r="I680" s="177"/>
      <c r="J680" s="177"/>
      <c r="K680" s="177"/>
      <c r="L680" s="177"/>
      <c r="M680" s="177"/>
      <c r="N680" s="177"/>
      <c r="O680" s="177"/>
      <c r="P680" s="177"/>
      <c r="Q680" s="177"/>
      <c r="R680" s="177"/>
      <c r="S680" s="177"/>
      <c r="T680" s="177"/>
      <c r="U680" s="177"/>
      <c r="V680" s="177"/>
      <c r="W680" s="177">
        <v>2796</v>
      </c>
      <c r="X680" s="177">
        <v>3560</v>
      </c>
      <c r="Y680" s="177">
        <v>4309</v>
      </c>
      <c r="Z680" s="177">
        <v>7303</v>
      </c>
      <c r="AA680" s="177">
        <v>7622</v>
      </c>
      <c r="AB680" s="177">
        <v>9297</v>
      </c>
      <c r="AC680" s="141">
        <v>10918</v>
      </c>
      <c r="AD680" s="141">
        <v>13194</v>
      </c>
      <c r="AE680" s="141">
        <v>15643</v>
      </c>
      <c r="AF680" s="141">
        <v>17817</v>
      </c>
      <c r="AG680" s="141">
        <v>20036</v>
      </c>
      <c r="AP680" s="54">
        <f t="shared" si="389"/>
        <v>0.2716310764601555</v>
      </c>
      <c r="AQ680" s="54">
        <f t="shared" si="390"/>
        <v>0.16598681223682932</v>
      </c>
      <c r="AR680" s="54">
        <f t="shared" si="391"/>
        <v>0.21766377345434074</v>
      </c>
    </row>
    <row r="681" spans="1:44" s="3" customFormat="1" hidden="1" outlineLevel="2">
      <c r="A681" s="96"/>
      <c r="B681" s="96"/>
      <c r="C681" s="122"/>
      <c r="E681" s="2" t="s">
        <v>612</v>
      </c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8">
        <f>SUM(W679:W680)</f>
        <v>4506</v>
      </c>
      <c r="X681" s="8">
        <f t="shared" ref="X681:AG681" si="394">SUM(X679:X680)</f>
        <v>5673</v>
      </c>
      <c r="Y681" s="8">
        <f t="shared" si="394"/>
        <v>6899</v>
      </c>
      <c r="Z681" s="8">
        <f t="shared" si="394"/>
        <v>8451</v>
      </c>
      <c r="AA681" s="8">
        <f t="shared" si="394"/>
        <v>11675</v>
      </c>
      <c r="AB681" s="8">
        <f t="shared" si="394"/>
        <v>9739</v>
      </c>
      <c r="AC681" s="8">
        <f t="shared" si="394"/>
        <v>11559</v>
      </c>
      <c r="AD681" s="8">
        <f t="shared" si="394"/>
        <v>14098</v>
      </c>
      <c r="AE681" s="8">
        <f t="shared" si="394"/>
        <v>16828</v>
      </c>
      <c r="AF681" s="8">
        <f t="shared" si="394"/>
        <v>19306</v>
      </c>
      <c r="AG681" s="8">
        <f t="shared" si="394"/>
        <v>21866</v>
      </c>
      <c r="AH681" s="2"/>
      <c r="AI681" s="2"/>
      <c r="AJ681" s="2"/>
      <c r="AK681" s="2"/>
      <c r="AL681" s="2"/>
      <c r="AM681" s="2"/>
      <c r="AN681" s="2"/>
      <c r="AP681" s="22">
        <f t="shared" si="389"/>
        <v>0.16666088044198291</v>
      </c>
      <c r="AQ681" s="22">
        <f t="shared" si="390"/>
        <v>0.1755767699550288</v>
      </c>
      <c r="AR681" s="22">
        <f t="shared" si="391"/>
        <v>0.17111034043034401</v>
      </c>
    </row>
    <row r="682" spans="1:44" hidden="1" outlineLevel="1" collapsed="1">
      <c r="E682" s="142"/>
      <c r="F682" s="52"/>
      <c r="G682" s="52"/>
      <c r="H682" s="152"/>
      <c r="I682" s="152"/>
      <c r="J682" s="152"/>
      <c r="K682" s="152"/>
      <c r="L682" s="152"/>
      <c r="M682" s="151"/>
      <c r="N682" s="151"/>
      <c r="O682" s="151"/>
      <c r="P682" s="151"/>
      <c r="Q682" s="151"/>
      <c r="R682" s="68"/>
      <c r="S682" s="68"/>
      <c r="T682" s="68"/>
      <c r="U682" s="68"/>
      <c r="V682" s="68"/>
      <c r="W682" s="68"/>
      <c r="X682" s="160"/>
      <c r="Y682" s="160"/>
      <c r="Z682" s="160"/>
      <c r="AA682" s="160"/>
      <c r="AB682" s="160"/>
      <c r="AC682" s="160"/>
      <c r="AD682" s="151"/>
      <c r="AE682" s="151"/>
      <c r="AF682" s="151"/>
      <c r="AG682" s="151"/>
      <c r="AH682" s="151"/>
      <c r="AI682" s="151"/>
      <c r="AJ682" s="151"/>
      <c r="AK682" s="151"/>
      <c r="AL682" s="151"/>
      <c r="AM682" s="151"/>
      <c r="AN682" s="151"/>
      <c r="AO682" s="7"/>
    </row>
    <row r="683" spans="1:44" hidden="1" outlineLevel="1">
      <c r="E683" s="293" t="str">
        <f>E671</f>
        <v>SaaS Spending</v>
      </c>
      <c r="F683" s="52"/>
      <c r="G683" s="52"/>
      <c r="H683" s="177"/>
      <c r="I683" s="177"/>
      <c r="J683" s="177"/>
      <c r="K683" s="177"/>
      <c r="L683" s="177"/>
      <c r="M683" s="177"/>
      <c r="N683" s="177"/>
      <c r="O683" s="177"/>
      <c r="P683" s="177"/>
      <c r="Q683" s="177"/>
      <c r="R683" s="177"/>
      <c r="S683" s="177"/>
      <c r="T683" s="177"/>
      <c r="U683" s="177"/>
      <c r="V683" s="177"/>
      <c r="W683" s="177">
        <f t="shared" ref="W683:AF683" si="395">W671</f>
        <v>34573</v>
      </c>
      <c r="X683" s="177">
        <f t="shared" si="395"/>
        <v>43102</v>
      </c>
      <c r="Y683" s="177">
        <f t="shared" si="395"/>
        <v>54337</v>
      </c>
      <c r="Z683" s="177">
        <f t="shared" si="395"/>
        <v>93533</v>
      </c>
      <c r="AA683" s="177">
        <f t="shared" si="395"/>
        <v>105632</v>
      </c>
      <c r="AB683" s="177">
        <f t="shared" si="395"/>
        <v>123149</v>
      </c>
      <c r="AC683" s="141">
        <f t="shared" si="395"/>
        <v>144165</v>
      </c>
      <c r="AD683" s="141">
        <f t="shared" si="395"/>
        <v>169665</v>
      </c>
      <c r="AE683" s="141">
        <f t="shared" si="395"/>
        <v>199381</v>
      </c>
      <c r="AF683" s="141">
        <f t="shared" si="395"/>
        <v>232116</v>
      </c>
      <c r="AG683" s="141">
        <f>AG671</f>
        <v>267823</v>
      </c>
      <c r="AH683" s="151"/>
      <c r="AI683" s="151"/>
      <c r="AJ683" s="151"/>
      <c r="AK683" s="151"/>
      <c r="AL683" s="151"/>
      <c r="AM683" s="151"/>
      <c r="AN683" s="151"/>
      <c r="AO683" s="7"/>
      <c r="AP683" s="54">
        <f t="shared" ref="AP683:AP690" si="396">(AB683/W683)^(1/5)-1</f>
        <v>0.2892548228345122</v>
      </c>
      <c r="AQ683" s="54">
        <f t="shared" ref="AQ683:AQ690" si="397">(AG683/AB683)^(1/5)-1</f>
        <v>0.16810907016945675</v>
      </c>
      <c r="AR683" s="54">
        <f t="shared" ref="AR683:AR690" si="398">(AG683/W683)^(1/10)-1</f>
        <v>0.22718794498345263</v>
      </c>
    </row>
    <row r="684" spans="1:44" hidden="1" outlineLevel="1">
      <c r="E684" s="293" t="str">
        <f>E677</f>
        <v>PaaS Spending</v>
      </c>
      <c r="H684" s="177"/>
      <c r="I684" s="177"/>
      <c r="J684" s="177"/>
      <c r="K684" s="177"/>
      <c r="L684" s="177"/>
      <c r="M684" s="177"/>
      <c r="N684" s="177"/>
      <c r="O684" s="177"/>
      <c r="P684" s="177"/>
      <c r="Q684" s="177"/>
      <c r="R684" s="177"/>
      <c r="S684" s="177"/>
      <c r="T684" s="177"/>
      <c r="U684" s="177"/>
      <c r="V684" s="177"/>
      <c r="W684" s="177">
        <f t="shared" ref="W684:AF684" si="399">W677</f>
        <v>5922</v>
      </c>
      <c r="X684" s="177">
        <f t="shared" si="399"/>
        <v>8282</v>
      </c>
      <c r="Y684" s="177">
        <f t="shared" si="399"/>
        <v>18342</v>
      </c>
      <c r="Z684" s="177">
        <f t="shared" si="399"/>
        <v>28575</v>
      </c>
      <c r="AA684" s="177">
        <f t="shared" si="399"/>
        <v>42082</v>
      </c>
      <c r="AB684" s="177">
        <f t="shared" si="399"/>
        <v>57936</v>
      </c>
      <c r="AC684" s="141">
        <f t="shared" si="399"/>
        <v>75757</v>
      </c>
      <c r="AD684" s="141">
        <f t="shared" si="399"/>
        <v>96339</v>
      </c>
      <c r="AE684" s="141">
        <f t="shared" si="399"/>
        <v>120116</v>
      </c>
      <c r="AF684" s="141">
        <f t="shared" si="399"/>
        <v>145310</v>
      </c>
      <c r="AG684" s="141">
        <f>AG677</f>
        <v>173621</v>
      </c>
      <c r="AP684" s="54">
        <f t="shared" si="396"/>
        <v>0.57796011220689847</v>
      </c>
      <c r="AQ684" s="54">
        <f t="shared" si="397"/>
        <v>0.2454627678356831</v>
      </c>
      <c r="AR684" s="54">
        <f t="shared" si="398"/>
        <v>0.40188821554484466</v>
      </c>
    </row>
    <row r="685" spans="1:44" hidden="1" outlineLevel="1">
      <c r="E685" s="293" t="str">
        <f>E681</f>
        <v>Management and Security-aaS Spending</v>
      </c>
      <c r="H685" s="177"/>
      <c r="I685" s="177"/>
      <c r="J685" s="177"/>
      <c r="K685" s="177"/>
      <c r="L685" s="177"/>
      <c r="M685" s="177"/>
      <c r="N685" s="177"/>
      <c r="O685" s="177"/>
      <c r="P685" s="177"/>
      <c r="Q685" s="177"/>
      <c r="R685" s="177"/>
      <c r="S685" s="177"/>
      <c r="T685" s="177"/>
      <c r="U685" s="177"/>
      <c r="V685" s="177"/>
      <c r="W685" s="177">
        <f t="shared" ref="W685:AF685" si="400">W681</f>
        <v>4506</v>
      </c>
      <c r="X685" s="177">
        <f t="shared" si="400"/>
        <v>5673</v>
      </c>
      <c r="Y685" s="177">
        <f t="shared" si="400"/>
        <v>6899</v>
      </c>
      <c r="Z685" s="177">
        <f t="shared" si="400"/>
        <v>8451</v>
      </c>
      <c r="AA685" s="177">
        <f t="shared" si="400"/>
        <v>11675</v>
      </c>
      <c r="AB685" s="177">
        <f t="shared" si="400"/>
        <v>9739</v>
      </c>
      <c r="AC685" s="141">
        <f t="shared" si="400"/>
        <v>11559</v>
      </c>
      <c r="AD685" s="141">
        <f t="shared" si="400"/>
        <v>14098</v>
      </c>
      <c r="AE685" s="141">
        <f t="shared" si="400"/>
        <v>16828</v>
      </c>
      <c r="AF685" s="141">
        <f t="shared" si="400"/>
        <v>19306</v>
      </c>
      <c r="AG685" s="141">
        <f>AG681</f>
        <v>21866</v>
      </c>
      <c r="AP685" s="54">
        <f t="shared" si="396"/>
        <v>0.16666088044198291</v>
      </c>
      <c r="AQ685" s="54">
        <f t="shared" si="397"/>
        <v>0.1755767699550288</v>
      </c>
      <c r="AR685" s="54">
        <f t="shared" si="398"/>
        <v>0.17111034043034401</v>
      </c>
    </row>
    <row r="686" spans="1:44" s="3" customFormat="1" hidden="1" outlineLevel="1">
      <c r="A686" s="96"/>
      <c r="B686" s="96"/>
      <c r="C686" s="122"/>
      <c r="E686" s="309" t="s">
        <v>613</v>
      </c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8">
        <f t="shared" ref="W686:AF686" si="401">SUM(W683:W685)</f>
        <v>45001</v>
      </c>
      <c r="X686" s="8">
        <f t="shared" si="401"/>
        <v>57057</v>
      </c>
      <c r="Y686" s="8">
        <f t="shared" si="401"/>
        <v>79578</v>
      </c>
      <c r="Z686" s="8">
        <f t="shared" si="401"/>
        <v>130559</v>
      </c>
      <c r="AA686" s="8">
        <f t="shared" si="401"/>
        <v>159389</v>
      </c>
      <c r="AB686" s="8">
        <f t="shared" si="401"/>
        <v>190824</v>
      </c>
      <c r="AC686" s="8">
        <f t="shared" si="401"/>
        <v>231481</v>
      </c>
      <c r="AD686" s="8">
        <f t="shared" si="401"/>
        <v>280102</v>
      </c>
      <c r="AE686" s="8">
        <f t="shared" si="401"/>
        <v>336325</v>
      </c>
      <c r="AF686" s="8">
        <f t="shared" si="401"/>
        <v>396732</v>
      </c>
      <c r="AG686" s="8">
        <f>SUM(AG683:AG685)</f>
        <v>463310</v>
      </c>
      <c r="AH686" s="2"/>
      <c r="AI686" s="2"/>
      <c r="AJ686" s="2"/>
      <c r="AK686" s="2"/>
      <c r="AL686" s="2"/>
      <c r="AM686" s="2"/>
      <c r="AN686" s="2"/>
      <c r="AP686" s="54">
        <f t="shared" si="396"/>
        <v>0.33500276779444826</v>
      </c>
      <c r="AQ686" s="54">
        <f t="shared" si="397"/>
        <v>0.19411934969301514</v>
      </c>
      <c r="AR686" s="54">
        <f t="shared" si="398"/>
        <v>0.26259757520640048</v>
      </c>
    </row>
    <row r="687" spans="1:44" hidden="1" outlineLevel="1">
      <c r="E687" s="306" t="s">
        <v>615</v>
      </c>
      <c r="F687" s="52"/>
      <c r="G687" s="52"/>
      <c r="H687" s="177"/>
      <c r="I687" s="177"/>
      <c r="J687" s="177"/>
      <c r="K687" s="177"/>
      <c r="L687" s="177"/>
      <c r="M687" s="177"/>
      <c r="N687" s="177"/>
      <c r="O687" s="177"/>
      <c r="P687" s="177"/>
      <c r="Q687" s="177"/>
      <c r="R687" s="177"/>
      <c r="S687" s="177"/>
      <c r="T687" s="177"/>
      <c r="U687" s="177"/>
      <c r="V687" s="177"/>
      <c r="W687" s="177">
        <v>15407</v>
      </c>
      <c r="X687" s="177">
        <v>20332</v>
      </c>
      <c r="Y687" s="177">
        <v>24699</v>
      </c>
      <c r="Z687" s="177">
        <v>32382</v>
      </c>
      <c r="AA687" s="177">
        <v>45684</v>
      </c>
      <c r="AB687" s="177">
        <v>64286</v>
      </c>
      <c r="AC687" s="141">
        <v>92046</v>
      </c>
      <c r="AD687" s="141">
        <v>121896</v>
      </c>
      <c r="AE687" s="141">
        <v>159249</v>
      </c>
      <c r="AF687" s="141">
        <v>204270</v>
      </c>
      <c r="AG687" s="141">
        <v>256223</v>
      </c>
      <c r="AH687" s="151"/>
      <c r="AI687" s="151"/>
      <c r="AJ687" s="151"/>
      <c r="AK687" s="151"/>
      <c r="AL687" s="151"/>
      <c r="AM687" s="151"/>
      <c r="AN687" s="151"/>
      <c r="AO687" s="7"/>
      <c r="AP687" s="54">
        <f t="shared" si="396"/>
        <v>0.33069849064271972</v>
      </c>
      <c r="AQ687" s="54">
        <f t="shared" si="397"/>
        <v>0.31856135040109002</v>
      </c>
      <c r="AR687" s="54">
        <f t="shared" si="398"/>
        <v>0.32461601938016615</v>
      </c>
    </row>
    <row r="688" spans="1:44" hidden="1" outlineLevel="1">
      <c r="E688" s="292" t="s">
        <v>616</v>
      </c>
      <c r="F688" s="310"/>
      <c r="G688" s="310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>
        <f t="shared" ref="W688:AF688" si="402">SUM(W686:W687)</f>
        <v>60408</v>
      </c>
      <c r="X688" s="8">
        <f t="shared" si="402"/>
        <v>77389</v>
      </c>
      <c r="Y688" s="8">
        <f t="shared" si="402"/>
        <v>104277</v>
      </c>
      <c r="Z688" s="8">
        <f t="shared" si="402"/>
        <v>162941</v>
      </c>
      <c r="AA688" s="8">
        <f t="shared" si="402"/>
        <v>205073</v>
      </c>
      <c r="AB688" s="8">
        <f t="shared" si="402"/>
        <v>255110</v>
      </c>
      <c r="AC688" s="8">
        <f t="shared" si="402"/>
        <v>323527</v>
      </c>
      <c r="AD688" s="8">
        <f t="shared" si="402"/>
        <v>401998</v>
      </c>
      <c r="AE688" s="8">
        <f t="shared" si="402"/>
        <v>495574</v>
      </c>
      <c r="AF688" s="8">
        <f t="shared" si="402"/>
        <v>601002</v>
      </c>
      <c r="AG688" s="8">
        <f>SUM(AG686:AG687)</f>
        <v>719533</v>
      </c>
      <c r="AH688" s="311"/>
      <c r="AI688" s="311"/>
      <c r="AJ688" s="311"/>
      <c r="AK688" s="311"/>
      <c r="AL688" s="311"/>
      <c r="AM688" s="311"/>
      <c r="AN688" s="311"/>
      <c r="AO688" s="7"/>
      <c r="AP688" s="54">
        <f t="shared" si="396"/>
        <v>0.33391023568560652</v>
      </c>
      <c r="AQ688" s="54">
        <f t="shared" si="397"/>
        <v>0.23045191583504976</v>
      </c>
      <c r="AR688" s="54">
        <f t="shared" si="398"/>
        <v>0.28113715309928367</v>
      </c>
    </row>
    <row r="689" spans="1:44" hidden="1" outlineLevel="1">
      <c r="E689" s="249" t="s">
        <v>617</v>
      </c>
      <c r="F689" s="52"/>
      <c r="G689" s="52"/>
      <c r="H689" s="177"/>
      <c r="I689" s="177"/>
      <c r="J689" s="177"/>
      <c r="K689" s="177"/>
      <c r="L689" s="177"/>
      <c r="M689" s="177"/>
      <c r="N689" s="177"/>
      <c r="O689" s="177"/>
      <c r="P689" s="177"/>
      <c r="Q689" s="177"/>
      <c r="R689" s="177"/>
      <c r="S689" s="177"/>
      <c r="T689" s="177"/>
      <c r="U689" s="177"/>
      <c r="V689" s="177"/>
      <c r="W689" s="177">
        <v>419941</v>
      </c>
      <c r="X689" s="177">
        <v>418511</v>
      </c>
      <c r="Y689" s="177">
        <v>432826</v>
      </c>
      <c r="Z689" s="177">
        <v>483899</v>
      </c>
      <c r="AA689" s="177">
        <v>506635</v>
      </c>
      <c r="AB689" s="177">
        <v>529365</v>
      </c>
      <c r="AC689" s="141">
        <v>596639</v>
      </c>
      <c r="AD689" s="141">
        <v>600132</v>
      </c>
      <c r="AE689" s="141">
        <v>594546</v>
      </c>
      <c r="AF689" s="141">
        <v>612324</v>
      </c>
      <c r="AG689" s="141">
        <v>630146</v>
      </c>
      <c r="AH689" s="151"/>
      <c r="AI689" s="151"/>
      <c r="AJ689" s="151"/>
      <c r="AK689" s="151"/>
      <c r="AL689" s="151"/>
      <c r="AM689" s="151"/>
      <c r="AN689" s="151"/>
      <c r="AO689" s="7"/>
      <c r="AP689" s="54">
        <f t="shared" si="396"/>
        <v>4.7401976548667069E-2</v>
      </c>
      <c r="AQ689" s="54">
        <f t="shared" si="397"/>
        <v>3.5469215927669939E-2</v>
      </c>
      <c r="AR689" s="54">
        <f t="shared" si="398"/>
        <v>4.141850541362091E-2</v>
      </c>
    </row>
    <row r="690" spans="1:44" s="3" customFormat="1" hidden="1" outlineLevel="1">
      <c r="A690" s="96"/>
      <c r="B690" s="96"/>
      <c r="C690" s="122"/>
      <c r="E690" s="307" t="s">
        <v>648</v>
      </c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8">
        <f t="shared" ref="W690:AF690" si="403">SUM(W688:W689)</f>
        <v>480349</v>
      </c>
      <c r="X690" s="8">
        <f t="shared" si="403"/>
        <v>495900</v>
      </c>
      <c r="Y690" s="8">
        <f t="shared" si="403"/>
        <v>537103</v>
      </c>
      <c r="Z690" s="8">
        <f t="shared" si="403"/>
        <v>646840</v>
      </c>
      <c r="AA690" s="8">
        <f t="shared" si="403"/>
        <v>711708</v>
      </c>
      <c r="AB690" s="8">
        <f t="shared" si="403"/>
        <v>784475</v>
      </c>
      <c r="AC690" s="8">
        <f t="shared" si="403"/>
        <v>920166</v>
      </c>
      <c r="AD690" s="8">
        <f t="shared" si="403"/>
        <v>1002130</v>
      </c>
      <c r="AE690" s="8">
        <f t="shared" si="403"/>
        <v>1090120</v>
      </c>
      <c r="AF690" s="8">
        <f t="shared" si="403"/>
        <v>1213326</v>
      </c>
      <c r="AG690" s="8">
        <f>SUM(AG688:AG689)</f>
        <v>1349679</v>
      </c>
      <c r="AH690" s="2"/>
      <c r="AI690" s="2"/>
      <c r="AJ690" s="2"/>
      <c r="AK690" s="2"/>
      <c r="AL690" s="2"/>
      <c r="AM690" s="2"/>
      <c r="AN690" s="2"/>
      <c r="AP690" s="22">
        <f t="shared" si="396"/>
        <v>0.10307347985986937</v>
      </c>
      <c r="AQ690" s="22">
        <f t="shared" si="397"/>
        <v>0.11462884184763444</v>
      </c>
      <c r="AR690" s="22">
        <f t="shared" si="398"/>
        <v>0.10883610841685964</v>
      </c>
    </row>
    <row r="691" spans="1:44" s="52" customFormat="1" hidden="1" outlineLevel="1">
      <c r="A691" s="161"/>
      <c r="B691" s="161"/>
      <c r="C691" s="121"/>
      <c r="E691" s="218" t="str">
        <f t="shared" ref="E691:E697" si="404">"% "&amp;E683</f>
        <v>% SaaS Spending</v>
      </c>
      <c r="W691" s="308">
        <f t="shared" ref="W691:AF691" si="405">W683/W$690</f>
        <v>7.197475169095803E-2</v>
      </c>
      <c r="X691" s="308">
        <f t="shared" si="405"/>
        <v>8.6916717080056466E-2</v>
      </c>
      <c r="Y691" s="308">
        <f t="shared" si="405"/>
        <v>0.10116681530358236</v>
      </c>
      <c r="Z691" s="308">
        <f t="shared" si="405"/>
        <v>0.14459990105744852</v>
      </c>
      <c r="AA691" s="308">
        <f t="shared" si="405"/>
        <v>0.14842041961028962</v>
      </c>
      <c r="AB691" s="308">
        <f t="shared" si="405"/>
        <v>0.15698269543325155</v>
      </c>
      <c r="AC691" s="308">
        <f t="shared" si="405"/>
        <v>0.15667281773071381</v>
      </c>
      <c r="AD691" s="308">
        <f t="shared" si="405"/>
        <v>0.1693043816670492</v>
      </c>
      <c r="AE691" s="308">
        <f t="shared" si="405"/>
        <v>0.18289821304076614</v>
      </c>
      <c r="AF691" s="308">
        <f t="shared" si="405"/>
        <v>0.19130555184674194</v>
      </c>
      <c r="AG691" s="308">
        <f>AG683/AG$690</f>
        <v>0.19843459074342862</v>
      </c>
    </row>
    <row r="692" spans="1:44" s="52" customFormat="1" hidden="1" outlineLevel="1">
      <c r="A692" s="161"/>
      <c r="B692" s="161"/>
      <c r="C692" s="121"/>
      <c r="E692" s="218" t="str">
        <f t="shared" si="404"/>
        <v>% PaaS Spending</v>
      </c>
      <c r="W692" s="308">
        <f t="shared" ref="W692:AG692" si="406">W684/W$690</f>
        <v>1.2328536126857763E-2</v>
      </c>
      <c r="X692" s="308">
        <f t="shared" si="406"/>
        <v>1.6700947771728172E-2</v>
      </c>
      <c r="Y692" s="308">
        <f t="shared" si="406"/>
        <v>3.41498744188731E-2</v>
      </c>
      <c r="Z692" s="308">
        <f t="shared" si="406"/>
        <v>4.4176303258920288E-2</v>
      </c>
      <c r="AA692" s="308">
        <f t="shared" si="406"/>
        <v>5.9128181782416384E-2</v>
      </c>
      <c r="AB692" s="308">
        <f t="shared" si="406"/>
        <v>7.3853213932885048E-2</v>
      </c>
      <c r="AC692" s="308">
        <f t="shared" si="406"/>
        <v>8.2329710074051862E-2</v>
      </c>
      <c r="AD692" s="308">
        <f t="shared" si="406"/>
        <v>9.6134234081406603E-2</v>
      </c>
      <c r="AE692" s="308">
        <f t="shared" si="406"/>
        <v>0.11018603456500202</v>
      </c>
      <c r="AF692" s="308">
        <f t="shared" si="406"/>
        <v>0.1197617128455172</v>
      </c>
      <c r="AG692" s="308">
        <f t="shared" si="406"/>
        <v>0.12863873558083069</v>
      </c>
    </row>
    <row r="693" spans="1:44" s="52" customFormat="1" hidden="1" outlineLevel="1">
      <c r="A693" s="161"/>
      <c r="B693" s="161"/>
      <c r="C693" s="121"/>
      <c r="E693" s="218" t="str">
        <f t="shared" si="404"/>
        <v>% Management and Security-aaS Spending</v>
      </c>
      <c r="W693" s="308">
        <f t="shared" ref="W693:AG693" si="407">W685/W$690</f>
        <v>9.3806794643061606E-3</v>
      </c>
      <c r="X693" s="308">
        <f t="shared" si="407"/>
        <v>1.1439806412583181E-2</v>
      </c>
      <c r="Y693" s="308">
        <f t="shared" si="407"/>
        <v>1.2844836092890935E-2</v>
      </c>
      <c r="Z693" s="308">
        <f t="shared" si="407"/>
        <v>1.3065054727598788E-2</v>
      </c>
      <c r="AA693" s="308">
        <f t="shared" si="407"/>
        <v>1.6404199475065617E-2</v>
      </c>
      <c r="AB693" s="308">
        <f t="shared" si="407"/>
        <v>1.2414672233022084E-2</v>
      </c>
      <c r="AC693" s="308">
        <f t="shared" si="407"/>
        <v>1.256186383761191E-2</v>
      </c>
      <c r="AD693" s="308">
        <f t="shared" si="407"/>
        <v>1.4068035085268379E-2</v>
      </c>
      <c r="AE693" s="308">
        <f t="shared" si="407"/>
        <v>1.5436832642277914E-2</v>
      </c>
      <c r="AF693" s="308">
        <f t="shared" si="407"/>
        <v>1.5911634630758759E-2</v>
      </c>
      <c r="AG693" s="308">
        <f t="shared" si="407"/>
        <v>1.6200889248480566E-2</v>
      </c>
    </row>
    <row r="694" spans="1:44" s="52" customFormat="1" hidden="1" outlineLevel="1">
      <c r="A694" s="161"/>
      <c r="B694" s="161"/>
      <c r="C694" s="121"/>
      <c r="E694" s="69" t="str">
        <f t="shared" si="404"/>
        <v>% SaaS, PaaS, and Management and Security -aaS Spending</v>
      </c>
      <c r="W694" s="308">
        <f t="shared" ref="W694:AG694" si="408">W686/W$690</f>
        <v>9.3683967282121958E-2</v>
      </c>
      <c r="X694" s="308">
        <f t="shared" si="408"/>
        <v>0.11505747126436781</v>
      </c>
      <c r="Y694" s="308">
        <f t="shared" si="408"/>
        <v>0.14816152581534642</v>
      </c>
      <c r="Z694" s="308">
        <f t="shared" si="408"/>
        <v>0.2018412590439676</v>
      </c>
      <c r="AA694" s="308">
        <f t="shared" si="408"/>
        <v>0.22395280086777161</v>
      </c>
      <c r="AB694" s="308">
        <f t="shared" si="408"/>
        <v>0.24325058159915866</v>
      </c>
      <c r="AC694" s="308">
        <f t="shared" si="408"/>
        <v>0.25156439164237759</v>
      </c>
      <c r="AD694" s="308">
        <f t="shared" si="408"/>
        <v>0.27950665083372417</v>
      </c>
      <c r="AE694" s="308">
        <f t="shared" si="408"/>
        <v>0.30852108024804609</v>
      </c>
      <c r="AF694" s="308">
        <f t="shared" si="408"/>
        <v>0.32697889932301788</v>
      </c>
      <c r="AG694" s="308">
        <f t="shared" si="408"/>
        <v>0.3432742155727399</v>
      </c>
    </row>
    <row r="695" spans="1:44" s="52" customFormat="1" hidden="1" outlineLevel="1">
      <c r="A695" s="161"/>
      <c r="B695" s="161"/>
      <c r="C695" s="121"/>
      <c r="E695" s="69" t="str">
        <f t="shared" si="404"/>
        <v>% IaaS Spending</v>
      </c>
      <c r="W695" s="308">
        <f t="shared" ref="W695:AG695" si="409">W687/W$690</f>
        <v>3.2074595762664228E-2</v>
      </c>
      <c r="X695" s="308">
        <f t="shared" si="409"/>
        <v>4.1000201653559186E-2</v>
      </c>
      <c r="Y695" s="308">
        <f t="shared" si="409"/>
        <v>4.5985593079912047E-2</v>
      </c>
      <c r="Z695" s="308">
        <f t="shared" si="409"/>
        <v>5.0061839094675653E-2</v>
      </c>
      <c r="AA695" s="308">
        <f t="shared" si="409"/>
        <v>6.4189246151511573E-2</v>
      </c>
      <c r="AB695" s="308">
        <f t="shared" si="409"/>
        <v>8.1947799483731154E-2</v>
      </c>
      <c r="AC695" s="308">
        <f t="shared" si="409"/>
        <v>0.10003195075671129</v>
      </c>
      <c r="AD695" s="308">
        <f t="shared" si="409"/>
        <v>0.1216369133745123</v>
      </c>
      <c r="AE695" s="308">
        <f t="shared" si="409"/>
        <v>0.14608391736689538</v>
      </c>
      <c r="AF695" s="308">
        <f t="shared" si="409"/>
        <v>0.16835541313711236</v>
      </c>
      <c r="AG695" s="308">
        <f t="shared" si="409"/>
        <v>0.18983995453733812</v>
      </c>
    </row>
    <row r="696" spans="1:44" s="52" customFormat="1" hidden="1" outlineLevel="1">
      <c r="A696" s="161"/>
      <c r="B696" s="161"/>
      <c r="C696" s="121"/>
      <c r="E696" s="73" t="str">
        <f t="shared" si="404"/>
        <v>% Public Cloud Spending</v>
      </c>
      <c r="W696" s="308">
        <f t="shared" ref="W696:AG696" si="410">W688/W$690</f>
        <v>0.12575856304478619</v>
      </c>
      <c r="X696" s="308">
        <f t="shared" si="410"/>
        <v>0.15605767291792699</v>
      </c>
      <c r="Y696" s="308">
        <f t="shared" si="410"/>
        <v>0.19414711889525846</v>
      </c>
      <c r="Z696" s="308">
        <f t="shared" si="410"/>
        <v>0.25190309813864326</v>
      </c>
      <c r="AA696" s="308">
        <f t="shared" si="410"/>
        <v>0.2881420470192832</v>
      </c>
      <c r="AB696" s="308">
        <f t="shared" si="410"/>
        <v>0.32519838108288984</v>
      </c>
      <c r="AC696" s="308">
        <f t="shared" si="410"/>
        <v>0.35159634239908888</v>
      </c>
      <c r="AD696" s="308">
        <f t="shared" si="410"/>
        <v>0.40114356420823644</v>
      </c>
      <c r="AE696" s="308">
        <f t="shared" si="410"/>
        <v>0.4546049976149415</v>
      </c>
      <c r="AF696" s="308">
        <f t="shared" si="410"/>
        <v>0.49533431246013027</v>
      </c>
      <c r="AG696" s="308">
        <f t="shared" si="410"/>
        <v>0.533114170110078</v>
      </c>
    </row>
    <row r="697" spans="1:44" s="52" customFormat="1" hidden="1" outlineLevel="1">
      <c r="A697" s="161"/>
      <c r="B697" s="161"/>
      <c r="C697" s="121"/>
      <c r="E697" s="73" t="str">
        <f t="shared" si="404"/>
        <v>% On-Premise (ex. IT Services, PCs, Tablets, Printers)</v>
      </c>
      <c r="W697" s="308">
        <f t="shared" ref="W697:AG697" si="411">W689/W$690</f>
        <v>0.87424143695521384</v>
      </c>
      <c r="X697" s="308">
        <f t="shared" si="411"/>
        <v>0.84394232708207295</v>
      </c>
      <c r="Y697" s="308">
        <f t="shared" si="411"/>
        <v>0.80585288110474151</v>
      </c>
      <c r="Z697" s="308">
        <f t="shared" si="411"/>
        <v>0.7480969018613568</v>
      </c>
      <c r="AA697" s="308">
        <f t="shared" si="411"/>
        <v>0.71185795298071686</v>
      </c>
      <c r="AB697" s="308">
        <f t="shared" si="411"/>
        <v>0.67480161891711021</v>
      </c>
      <c r="AC697" s="308">
        <f t="shared" si="411"/>
        <v>0.64840365760091112</v>
      </c>
      <c r="AD697" s="308">
        <f t="shared" si="411"/>
        <v>0.59885643579176351</v>
      </c>
      <c r="AE697" s="308">
        <f t="shared" si="411"/>
        <v>0.54539500238505856</v>
      </c>
      <c r="AF697" s="308">
        <f t="shared" si="411"/>
        <v>0.50466568753986973</v>
      </c>
      <c r="AG697" s="308">
        <f t="shared" si="411"/>
        <v>0.466885829889922</v>
      </c>
    </row>
    <row r="698" spans="1:44" hidden="1" outlineLevel="1"/>
    <row r="699" spans="1:44" collapsed="1"/>
  </sheetData>
  <dataConsolidate link="1"/>
  <conditionalFormatting sqref="Y201:AB201 AD201:AE201 AG201:AL201">
    <cfRule type="cellIs" dxfId="14" priority="40" operator="equal">
      <formula>FALSE</formula>
    </cfRule>
  </conditionalFormatting>
  <conditionalFormatting sqref="AM201">
    <cfRule type="cellIs" dxfId="13" priority="20" operator="equal">
      <formula>FALSE</formula>
    </cfRule>
  </conditionalFormatting>
  <conditionalFormatting sqref="AN201">
    <cfRule type="cellIs" dxfId="12" priority="17" operator="equal">
      <formula>FALSE</formula>
    </cfRule>
  </conditionalFormatting>
  <conditionalFormatting sqref="AC201">
    <cfRule type="cellIs" dxfId="11" priority="2" operator="equal">
      <formula>FALSE</formula>
    </cfRule>
  </conditionalFormatting>
  <conditionalFormatting sqref="AF201">
    <cfRule type="cellIs" dxfId="10" priority="1" operator="equal">
      <formula>FALSE</formula>
    </cfRule>
  </conditionalFormatting>
  <pageMargins left="0.7" right="0.7" top="0.75" bottom="0.75" header="0.3" footer="0.3"/>
  <pageSetup scale="1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FB69EB-44F2-498C-8C9F-780469B07621}">
  <sheetPr>
    <tabColor theme="6" tint="-0.499984740745262"/>
    <pageSetUpPr fitToPage="1"/>
  </sheetPr>
  <dimension ref="A1:AM348"/>
  <sheetViews>
    <sheetView showGridLines="0" zoomScale="85" zoomScaleNormal="85" workbookViewId="0">
      <pane xSplit="6" ySplit="3" topLeftCell="K4" activePane="bottomRight" state="frozen"/>
      <selection activeCell="L64" sqref="L64"/>
      <selection pane="topRight" activeCell="L64" sqref="L64"/>
      <selection pane="bottomLeft" activeCell="L64" sqref="L64"/>
      <selection pane="bottomRight" sqref="A1:XFD1048576"/>
    </sheetView>
  </sheetViews>
  <sheetFormatPr defaultRowHeight="15" outlineLevelRow="1" outlineLevelCol="1"/>
  <cols>
    <col min="1" max="1" width="23.42578125" style="95" hidden="1" customWidth="1" outlineLevel="1"/>
    <col min="2" max="2" width="1.7109375" customWidth="1" collapsed="1"/>
    <col min="3" max="3" width="1.7109375" customWidth="1"/>
    <col min="4" max="4" width="15.7109375" customWidth="1"/>
    <col min="5" max="5" width="17.28515625" customWidth="1"/>
    <col min="7" max="13" width="9.140625" customWidth="1"/>
    <col min="14" max="20" width="8.7109375" customWidth="1"/>
    <col min="21" max="21" width="9.140625" customWidth="1"/>
    <col min="26" max="26" width="9.5703125" bestFit="1" customWidth="1"/>
    <col min="27" max="28" width="9.5703125" customWidth="1"/>
    <col min="33" max="33" width="9.140625" customWidth="1"/>
  </cols>
  <sheetData>
    <row r="1" spans="1:39" ht="23.25">
      <c r="B1" s="44"/>
      <c r="C1" s="44"/>
      <c r="D1" s="150"/>
      <c r="L1" s="45"/>
      <c r="M1" s="45"/>
      <c r="U1" s="7"/>
      <c r="V1" s="7"/>
      <c r="W1" s="7"/>
      <c r="X1" s="7"/>
      <c r="Y1" s="7"/>
      <c r="Z1" s="7"/>
      <c r="AA1" s="45"/>
      <c r="AB1" s="45"/>
      <c r="AC1" s="45"/>
      <c r="AD1" s="45"/>
      <c r="AE1" s="45"/>
      <c r="AF1" s="45"/>
      <c r="AG1" s="45"/>
      <c r="AH1" s="45"/>
      <c r="AI1" s="45"/>
      <c r="AJ1" s="45"/>
      <c r="AK1" s="45"/>
      <c r="AL1" s="45"/>
    </row>
    <row r="2" spans="1:39" ht="15.75">
      <c r="D2" s="47"/>
      <c r="E2" s="48"/>
      <c r="O2" s="7"/>
      <c r="P2" s="7"/>
      <c r="Q2" s="7"/>
      <c r="R2" s="7"/>
      <c r="S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49"/>
      <c r="AJ2" s="49"/>
      <c r="AK2" s="49"/>
      <c r="AL2" s="49"/>
    </row>
    <row r="3" spans="1:39">
      <c r="B3" s="206"/>
      <c r="C3" s="41"/>
      <c r="D3" s="41"/>
      <c r="E3" s="41"/>
      <c r="F3" s="41"/>
      <c r="G3" s="94" t="s">
        <v>328</v>
      </c>
      <c r="H3" s="41" t="str">
        <f t="shared" ref="H3:AL3" si="0">"Q"&amp;IF(MID(G3,2,1)*1=4,1,MID(G3,2,1)+1)&amp;"/"&amp;IF(MID(G3,2,1)*1=4,MID(G3,4,2)*1+1,MID(G3,4,2))</f>
        <v>Q2/17</v>
      </c>
      <c r="I3" s="41" t="str">
        <f t="shared" si="0"/>
        <v>Q3/17</v>
      </c>
      <c r="J3" s="41" t="str">
        <f t="shared" si="0"/>
        <v>Q4/17</v>
      </c>
      <c r="K3" s="41" t="str">
        <f t="shared" si="0"/>
        <v>Q1/18</v>
      </c>
      <c r="L3" s="41" t="str">
        <f t="shared" si="0"/>
        <v>Q2/18</v>
      </c>
      <c r="M3" s="41" t="str">
        <f t="shared" si="0"/>
        <v>Q3/18</v>
      </c>
      <c r="N3" s="41" t="str">
        <f t="shared" si="0"/>
        <v>Q4/18</v>
      </c>
      <c r="O3" s="41" t="str">
        <f t="shared" si="0"/>
        <v>Q1/19</v>
      </c>
      <c r="P3" s="41" t="str">
        <f t="shared" si="0"/>
        <v>Q2/19</v>
      </c>
      <c r="Q3" s="41" t="str">
        <f t="shared" si="0"/>
        <v>Q3/19</v>
      </c>
      <c r="R3" s="41" t="str">
        <f t="shared" si="0"/>
        <v>Q4/19</v>
      </c>
      <c r="S3" s="41" t="str">
        <f t="shared" si="0"/>
        <v>Q1/20</v>
      </c>
      <c r="T3" s="41" t="str">
        <f t="shared" si="0"/>
        <v>Q2/20</v>
      </c>
      <c r="U3" s="41" t="str">
        <f t="shared" si="0"/>
        <v>Q3/20</v>
      </c>
      <c r="V3" s="41" t="str">
        <f t="shared" si="0"/>
        <v>Q4/20</v>
      </c>
      <c r="W3" s="41" t="str">
        <f t="shared" si="0"/>
        <v>Q1/21</v>
      </c>
      <c r="X3" s="41" t="str">
        <f t="shared" si="0"/>
        <v>Q2/21</v>
      </c>
      <c r="Y3" s="41" t="str">
        <f t="shared" si="0"/>
        <v>Q3/21</v>
      </c>
      <c r="Z3" s="41" t="str">
        <f t="shared" si="0"/>
        <v>Q4/21</v>
      </c>
      <c r="AA3" s="41" t="str">
        <f t="shared" si="0"/>
        <v>Q1/22</v>
      </c>
      <c r="AB3" s="41" t="str">
        <f t="shared" si="0"/>
        <v>Q2/22</v>
      </c>
      <c r="AC3" s="41" t="str">
        <f t="shared" si="0"/>
        <v>Q3/22</v>
      </c>
      <c r="AD3" s="41" t="str">
        <f t="shared" si="0"/>
        <v>Q4/22</v>
      </c>
      <c r="AE3" s="41" t="str">
        <f t="shared" si="0"/>
        <v>Q1/23</v>
      </c>
      <c r="AF3" s="41" t="str">
        <f t="shared" si="0"/>
        <v>Q2/23</v>
      </c>
      <c r="AG3" s="41" t="str">
        <f t="shared" si="0"/>
        <v>Q3/23</v>
      </c>
      <c r="AH3" s="41" t="str">
        <f t="shared" si="0"/>
        <v>Q4/23</v>
      </c>
      <c r="AI3" s="41" t="str">
        <f t="shared" si="0"/>
        <v>Q1/24</v>
      </c>
      <c r="AJ3" s="41" t="str">
        <f t="shared" si="0"/>
        <v>Q2/24</v>
      </c>
      <c r="AK3" s="41" t="str">
        <f t="shared" si="0"/>
        <v>Q3/24</v>
      </c>
      <c r="AL3" s="41" t="str">
        <f t="shared" si="0"/>
        <v>Q4/24</v>
      </c>
    </row>
    <row r="4" spans="1:39">
      <c r="B4" s="206"/>
      <c r="C4" s="41"/>
      <c r="D4" s="41"/>
      <c r="E4" s="41"/>
      <c r="F4" s="41"/>
      <c r="G4" s="94">
        <f t="shared" ref="G4:AL4" si="1">RIGHT(G3,2)*1+2000</f>
        <v>2017</v>
      </c>
      <c r="H4" s="41">
        <f t="shared" si="1"/>
        <v>2017</v>
      </c>
      <c r="I4" s="41">
        <f t="shared" si="1"/>
        <v>2017</v>
      </c>
      <c r="J4" s="41">
        <f t="shared" si="1"/>
        <v>2017</v>
      </c>
      <c r="K4" s="41">
        <f t="shared" si="1"/>
        <v>2018</v>
      </c>
      <c r="L4" s="41">
        <f t="shared" si="1"/>
        <v>2018</v>
      </c>
      <c r="M4" s="41">
        <f t="shared" si="1"/>
        <v>2018</v>
      </c>
      <c r="N4" s="41">
        <f t="shared" si="1"/>
        <v>2018</v>
      </c>
      <c r="O4" s="41">
        <f t="shared" si="1"/>
        <v>2019</v>
      </c>
      <c r="P4" s="41">
        <f t="shared" si="1"/>
        <v>2019</v>
      </c>
      <c r="Q4" s="41">
        <f t="shared" si="1"/>
        <v>2019</v>
      </c>
      <c r="R4" s="41">
        <f t="shared" si="1"/>
        <v>2019</v>
      </c>
      <c r="S4" s="41">
        <f t="shared" si="1"/>
        <v>2020</v>
      </c>
      <c r="T4" s="41">
        <f t="shared" si="1"/>
        <v>2020</v>
      </c>
      <c r="U4" s="41">
        <f t="shared" si="1"/>
        <v>2020</v>
      </c>
      <c r="V4" s="41">
        <f t="shared" si="1"/>
        <v>2020</v>
      </c>
      <c r="W4" s="41">
        <f t="shared" si="1"/>
        <v>2021</v>
      </c>
      <c r="X4" s="41">
        <f t="shared" si="1"/>
        <v>2021</v>
      </c>
      <c r="Y4" s="41">
        <f t="shared" si="1"/>
        <v>2021</v>
      </c>
      <c r="Z4" s="41">
        <f t="shared" si="1"/>
        <v>2021</v>
      </c>
      <c r="AA4" s="41">
        <f t="shared" si="1"/>
        <v>2022</v>
      </c>
      <c r="AB4" s="41">
        <f t="shared" si="1"/>
        <v>2022</v>
      </c>
      <c r="AC4" s="41">
        <f t="shared" si="1"/>
        <v>2022</v>
      </c>
      <c r="AD4" s="41">
        <f t="shared" si="1"/>
        <v>2022</v>
      </c>
      <c r="AE4" s="41">
        <f t="shared" si="1"/>
        <v>2023</v>
      </c>
      <c r="AF4" s="41">
        <f t="shared" si="1"/>
        <v>2023</v>
      </c>
      <c r="AG4" s="41">
        <f t="shared" si="1"/>
        <v>2023</v>
      </c>
      <c r="AH4" s="41">
        <f t="shared" si="1"/>
        <v>2023</v>
      </c>
      <c r="AI4" s="41">
        <f t="shared" si="1"/>
        <v>2024</v>
      </c>
      <c r="AJ4" s="41">
        <f t="shared" si="1"/>
        <v>2024</v>
      </c>
      <c r="AK4" s="41">
        <f t="shared" si="1"/>
        <v>2024</v>
      </c>
      <c r="AL4" s="41">
        <f t="shared" si="1"/>
        <v>2024</v>
      </c>
    </row>
    <row r="5" spans="1:39">
      <c r="B5" s="206"/>
      <c r="C5" s="41"/>
      <c r="D5" s="41"/>
      <c r="E5" s="41"/>
      <c r="F5" s="41"/>
      <c r="G5" s="175">
        <v>43101</v>
      </c>
      <c r="H5" s="176">
        <f t="shared" ref="H5:AL5" si="2">EOMONTH(G5,2)+1</f>
        <v>43191</v>
      </c>
      <c r="I5" s="176">
        <f t="shared" si="2"/>
        <v>43282</v>
      </c>
      <c r="J5" s="176">
        <f t="shared" si="2"/>
        <v>43374</v>
      </c>
      <c r="K5" s="176">
        <f t="shared" si="2"/>
        <v>43466</v>
      </c>
      <c r="L5" s="176">
        <f t="shared" si="2"/>
        <v>43556</v>
      </c>
      <c r="M5" s="176">
        <f t="shared" si="2"/>
        <v>43647</v>
      </c>
      <c r="N5" s="176">
        <f t="shared" si="2"/>
        <v>43739</v>
      </c>
      <c r="O5" s="176">
        <f t="shared" si="2"/>
        <v>43831</v>
      </c>
      <c r="P5" s="176">
        <f t="shared" si="2"/>
        <v>43922</v>
      </c>
      <c r="Q5" s="176">
        <f t="shared" si="2"/>
        <v>44013</v>
      </c>
      <c r="R5" s="176">
        <f t="shared" si="2"/>
        <v>44105</v>
      </c>
      <c r="S5" s="176">
        <f t="shared" si="2"/>
        <v>44197</v>
      </c>
      <c r="T5" s="176">
        <f t="shared" si="2"/>
        <v>44287</v>
      </c>
      <c r="U5" s="176">
        <f t="shared" si="2"/>
        <v>44378</v>
      </c>
      <c r="V5" s="176">
        <f t="shared" si="2"/>
        <v>44470</v>
      </c>
      <c r="W5" s="176">
        <f t="shared" si="2"/>
        <v>44562</v>
      </c>
      <c r="X5" s="176">
        <f t="shared" si="2"/>
        <v>44652</v>
      </c>
      <c r="Y5" s="176">
        <f t="shared" si="2"/>
        <v>44743</v>
      </c>
      <c r="Z5" s="176">
        <f t="shared" si="2"/>
        <v>44835</v>
      </c>
      <c r="AA5" s="176">
        <f t="shared" si="2"/>
        <v>44927</v>
      </c>
      <c r="AB5" s="176">
        <f t="shared" si="2"/>
        <v>45017</v>
      </c>
      <c r="AC5" s="176">
        <f t="shared" si="2"/>
        <v>45108</v>
      </c>
      <c r="AD5" s="176">
        <f t="shared" si="2"/>
        <v>45200</v>
      </c>
      <c r="AE5" s="176">
        <f t="shared" si="2"/>
        <v>45292</v>
      </c>
      <c r="AF5" s="176">
        <f t="shared" si="2"/>
        <v>45383</v>
      </c>
      <c r="AG5" s="176">
        <f t="shared" si="2"/>
        <v>45474</v>
      </c>
      <c r="AH5" s="176">
        <f t="shared" si="2"/>
        <v>45566</v>
      </c>
      <c r="AI5" s="176">
        <f t="shared" si="2"/>
        <v>45658</v>
      </c>
      <c r="AJ5" s="176">
        <f t="shared" si="2"/>
        <v>45748</v>
      </c>
      <c r="AK5" s="176">
        <f t="shared" si="2"/>
        <v>45839</v>
      </c>
      <c r="AL5" s="176">
        <f t="shared" si="2"/>
        <v>45931</v>
      </c>
    </row>
    <row r="6" spans="1:39">
      <c r="B6" s="206"/>
      <c r="C6" s="41"/>
      <c r="D6" s="41"/>
      <c r="E6" s="41"/>
      <c r="F6" s="41"/>
      <c r="G6" s="173">
        <f t="shared" ref="G6:AL6" si="3">EOMONTH(G5,2)+1-G5</f>
        <v>90</v>
      </c>
      <c r="H6" s="174">
        <f t="shared" si="3"/>
        <v>91</v>
      </c>
      <c r="I6" s="174">
        <f t="shared" si="3"/>
        <v>92</v>
      </c>
      <c r="J6" s="174">
        <f t="shared" si="3"/>
        <v>92</v>
      </c>
      <c r="K6" s="174">
        <f t="shared" si="3"/>
        <v>90</v>
      </c>
      <c r="L6" s="174">
        <f t="shared" si="3"/>
        <v>91</v>
      </c>
      <c r="M6" s="174">
        <f t="shared" si="3"/>
        <v>92</v>
      </c>
      <c r="N6" s="174">
        <f t="shared" si="3"/>
        <v>92</v>
      </c>
      <c r="O6" s="174">
        <f t="shared" si="3"/>
        <v>91</v>
      </c>
      <c r="P6" s="174">
        <f t="shared" si="3"/>
        <v>91</v>
      </c>
      <c r="Q6" s="174">
        <f t="shared" si="3"/>
        <v>92</v>
      </c>
      <c r="R6" s="174">
        <f t="shared" si="3"/>
        <v>92</v>
      </c>
      <c r="S6" s="174">
        <f t="shared" si="3"/>
        <v>90</v>
      </c>
      <c r="T6" s="174">
        <f t="shared" si="3"/>
        <v>91</v>
      </c>
      <c r="U6" s="174">
        <f t="shared" si="3"/>
        <v>92</v>
      </c>
      <c r="V6" s="174">
        <f t="shared" si="3"/>
        <v>92</v>
      </c>
      <c r="W6" s="174">
        <f t="shared" si="3"/>
        <v>90</v>
      </c>
      <c r="X6" s="174">
        <f t="shared" si="3"/>
        <v>91</v>
      </c>
      <c r="Y6" s="174">
        <f t="shared" si="3"/>
        <v>92</v>
      </c>
      <c r="Z6" s="174">
        <f t="shared" si="3"/>
        <v>92</v>
      </c>
      <c r="AA6" s="174">
        <f t="shared" si="3"/>
        <v>90</v>
      </c>
      <c r="AB6" s="174">
        <f t="shared" si="3"/>
        <v>91</v>
      </c>
      <c r="AC6" s="174">
        <f t="shared" si="3"/>
        <v>92</v>
      </c>
      <c r="AD6" s="174">
        <f t="shared" si="3"/>
        <v>92</v>
      </c>
      <c r="AE6" s="174">
        <f t="shared" si="3"/>
        <v>91</v>
      </c>
      <c r="AF6" s="174">
        <f t="shared" si="3"/>
        <v>91</v>
      </c>
      <c r="AG6" s="174">
        <f t="shared" si="3"/>
        <v>92</v>
      </c>
      <c r="AH6" s="174">
        <f t="shared" si="3"/>
        <v>92</v>
      </c>
      <c r="AI6" s="174">
        <f t="shared" si="3"/>
        <v>90</v>
      </c>
      <c r="AJ6" s="174">
        <f t="shared" si="3"/>
        <v>91</v>
      </c>
      <c r="AK6" s="174">
        <f t="shared" si="3"/>
        <v>92</v>
      </c>
      <c r="AL6" s="174">
        <f t="shared" si="3"/>
        <v>92</v>
      </c>
    </row>
    <row r="7" spans="1:39" ht="5.0999999999999996" customHeight="1">
      <c r="B7" s="52"/>
      <c r="C7" s="52"/>
      <c r="D7" s="52"/>
      <c r="E7" s="52"/>
      <c r="F7" s="52"/>
      <c r="G7" s="52"/>
      <c r="H7" s="52"/>
      <c r="I7" s="52"/>
      <c r="J7" s="52"/>
      <c r="K7" s="52"/>
      <c r="L7" s="52"/>
      <c r="M7" s="52"/>
      <c r="N7" s="52"/>
      <c r="O7" s="52"/>
      <c r="P7" s="52"/>
      <c r="Q7" s="52"/>
      <c r="R7" s="52"/>
      <c r="S7" s="52"/>
      <c r="T7" s="52"/>
      <c r="U7" s="52"/>
      <c r="V7" s="52"/>
      <c r="W7" s="52"/>
      <c r="X7" s="52"/>
      <c r="Y7" s="52"/>
      <c r="Z7" s="52"/>
      <c r="AA7" s="52"/>
      <c r="AB7" s="52"/>
      <c r="AC7" s="52"/>
      <c r="AD7" s="52"/>
      <c r="AE7" s="52"/>
      <c r="AF7" s="52"/>
      <c r="AG7" s="52"/>
      <c r="AH7" s="52"/>
      <c r="AI7" s="52"/>
      <c r="AJ7" s="52"/>
      <c r="AK7" s="52"/>
      <c r="AL7" s="52"/>
      <c r="AM7" s="7"/>
    </row>
    <row r="8" spans="1:39">
      <c r="B8" s="206" t="s">
        <v>182</v>
      </c>
      <c r="C8" s="41" t="s">
        <v>182</v>
      </c>
      <c r="D8" s="42"/>
      <c r="E8" s="42"/>
      <c r="F8" s="42"/>
      <c r="G8" s="42"/>
      <c r="H8" s="42"/>
      <c r="I8" s="42"/>
      <c r="J8" s="42"/>
      <c r="K8" s="42"/>
      <c r="L8" s="42"/>
      <c r="M8" s="42"/>
      <c r="N8" s="42"/>
      <c r="O8" s="42"/>
      <c r="P8" s="42"/>
      <c r="Q8" s="42"/>
      <c r="R8" s="42"/>
      <c r="S8" s="42"/>
      <c r="T8" s="42"/>
      <c r="U8" s="93"/>
      <c r="V8" s="93"/>
      <c r="W8" s="93"/>
      <c r="X8" s="93"/>
      <c r="Y8" s="93"/>
      <c r="Z8" s="93"/>
      <c r="AA8" s="93"/>
      <c r="AB8" s="93"/>
      <c r="AC8" s="93"/>
      <c r="AD8" s="93"/>
      <c r="AE8" s="93"/>
      <c r="AF8" s="93"/>
      <c r="AG8" s="93"/>
      <c r="AH8" s="93"/>
      <c r="AI8" s="93"/>
      <c r="AJ8" s="93"/>
      <c r="AK8" s="93"/>
      <c r="AL8" s="93"/>
    </row>
    <row r="9" spans="1:39">
      <c r="C9" s="90"/>
      <c r="D9" s="91" t="s">
        <v>202</v>
      </c>
      <c r="E9" s="90"/>
      <c r="F9" s="90"/>
      <c r="G9" s="90"/>
      <c r="H9" s="90"/>
      <c r="I9" s="90"/>
      <c r="J9" s="90"/>
      <c r="K9" s="90"/>
      <c r="L9" s="90"/>
      <c r="M9" s="90"/>
      <c r="N9" s="90"/>
      <c r="O9" s="90"/>
      <c r="P9" s="90"/>
      <c r="Q9" s="90"/>
      <c r="R9" s="90"/>
      <c r="S9" s="90"/>
      <c r="T9" s="90"/>
      <c r="U9" s="90"/>
      <c r="V9" s="90"/>
      <c r="W9" s="90"/>
      <c r="X9" s="90"/>
      <c r="Y9" s="153"/>
      <c r="Z9" s="153"/>
      <c r="AA9" s="90"/>
      <c r="AB9" s="90"/>
      <c r="AC9" s="90"/>
      <c r="AD9" s="90"/>
      <c r="AE9" s="90"/>
      <c r="AF9" s="90"/>
      <c r="AG9" s="90"/>
      <c r="AH9" s="90"/>
      <c r="AI9" s="90"/>
      <c r="AJ9" s="90"/>
      <c r="AK9" s="90"/>
      <c r="AL9" s="90"/>
    </row>
    <row r="10" spans="1:39" ht="5.0999999999999996" customHeight="1">
      <c r="D10" s="3"/>
      <c r="E10" s="3"/>
      <c r="F10" s="3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214"/>
      <c r="W10" s="214"/>
      <c r="X10" s="214"/>
      <c r="Y10" s="214"/>
      <c r="Z10" s="214"/>
      <c r="AA10" s="214"/>
      <c r="AB10" s="214"/>
      <c r="AC10" s="214"/>
      <c r="AD10" s="214"/>
      <c r="AE10" s="214"/>
      <c r="AF10" s="214"/>
      <c r="AG10" s="214"/>
      <c r="AH10" s="214"/>
      <c r="AI10" s="214"/>
      <c r="AJ10" s="214"/>
      <c r="AK10" s="214"/>
      <c r="AL10" s="214"/>
      <c r="AM10" s="7"/>
    </row>
    <row r="11" spans="1:39" s="3" customFormat="1" outlineLevel="1">
      <c r="A11" s="96" t="s">
        <v>383</v>
      </c>
      <c r="D11" s="3" t="s">
        <v>207</v>
      </c>
      <c r="G11" s="177">
        <v>25.036000000000001</v>
      </c>
      <c r="H11" s="177">
        <v>28.803999999999998</v>
      </c>
      <c r="I11" s="177">
        <v>42.405000000000001</v>
      </c>
      <c r="J11" s="177">
        <v>38.67</v>
      </c>
      <c r="K11" s="177">
        <v>41.823999999999998</v>
      </c>
      <c r="L11" s="177">
        <v>45.280999999999999</v>
      </c>
      <c r="M11" s="177">
        <v>50.07</v>
      </c>
      <c r="N11" s="177">
        <v>55.499000000000002</v>
      </c>
      <c r="O11" s="177">
        <v>61.726999999999997</v>
      </c>
      <c r="P11" s="177">
        <v>67.424000000000007</v>
      </c>
      <c r="Q11" s="177">
        <v>73.941000000000003</v>
      </c>
      <c r="R11" s="177">
        <v>83.93</v>
      </c>
      <c r="S11" s="177">
        <v>91.25</v>
      </c>
      <c r="T11" s="177">
        <v>99.721000000000004</v>
      </c>
      <c r="U11" s="177">
        <v>114.16200000000001</v>
      </c>
      <c r="V11" s="177">
        <v>125.926</v>
      </c>
      <c r="W11" s="177">
        <v>138.05500000000001</v>
      </c>
      <c r="X11" s="177">
        <v>152.428</v>
      </c>
      <c r="Y11" s="177">
        <v>172.34700000000001</v>
      </c>
      <c r="Z11" s="177">
        <v>193.596</v>
      </c>
      <c r="AA11" s="177">
        <v>212.167</v>
      </c>
      <c r="AB11" s="177">
        <v>234.517</v>
      </c>
      <c r="AC11" s="214">
        <f>AC55*AC67/1000/4</f>
        <v>254.62503274829692</v>
      </c>
      <c r="AD11" s="214">
        <f t="shared" ref="AD11:AL11" si="4">AD55*AD67/1000/4</f>
        <v>271.70429402883815</v>
      </c>
      <c r="AE11" s="214">
        <f t="shared" si="4"/>
        <v>290.82287574674984</v>
      </c>
      <c r="AF11" s="214">
        <f t="shared" si="4"/>
        <v>316.43405103999567</v>
      </c>
      <c r="AG11" s="214">
        <f t="shared" si="4"/>
        <v>336.74828045100418</v>
      </c>
      <c r="AH11" s="214">
        <f t="shared" si="4"/>
        <v>363.62883891089587</v>
      </c>
      <c r="AI11" s="214">
        <f t="shared" si="4"/>
        <v>384.29574478330034</v>
      </c>
      <c r="AJ11" s="214">
        <f t="shared" si="4"/>
        <v>416.52210571645509</v>
      </c>
      <c r="AK11" s="214">
        <f t="shared" si="4"/>
        <v>440.92605314216496</v>
      </c>
      <c r="AL11" s="214">
        <f t="shared" si="4"/>
        <v>474.38210070615656</v>
      </c>
      <c r="AM11" s="53"/>
    </row>
    <row r="12" spans="1:39" outlineLevel="1">
      <c r="A12" s="96" t="s">
        <v>384</v>
      </c>
      <c r="D12" s="59" t="s">
        <v>353</v>
      </c>
      <c r="E12" s="3"/>
      <c r="F12" s="3"/>
      <c r="G12" s="177">
        <f>6.301-G320-G322-(G321+G323)*G325</f>
        <v>4.6558642950956237</v>
      </c>
      <c r="H12" s="177">
        <f>6.788-H320-H322-(H321+H323)*H325</f>
        <v>4.9013500781248753</v>
      </c>
      <c r="I12" s="177">
        <f>7.252-I320-I322-(I321+I323)*I325</f>
        <v>4.4935786171325267</v>
      </c>
      <c r="J12" s="177">
        <f>8.447-J320-J322-(J321+J323)*J325</f>
        <v>5.9279776618208881</v>
      </c>
      <c r="K12" s="177">
        <f>9.007-K320-K322-(K321+K323)*K325</f>
        <v>6.2624898886401468</v>
      </c>
      <c r="L12" s="177">
        <f>10.365-L320-L322-(L321+L323)*L325</f>
        <v>7.252110111359853</v>
      </c>
      <c r="M12" s="177">
        <f>11.209-M320-M322-(M321+M323)*M325</f>
        <v>7.4802</v>
      </c>
      <c r="N12" s="177">
        <f>12.956-N320-N322-(N321+N323)*N325</f>
        <v>8.9179999999999993</v>
      </c>
      <c r="O12" s="177">
        <f>14.36-O320-O322-(O321+O323)*O325</f>
        <v>9.8702644667869386</v>
      </c>
      <c r="P12" s="177">
        <f>14.832-P320-P322-(P321+P323)*P325</f>
        <v>9.7656855332130608</v>
      </c>
      <c r="Q12" s="177">
        <f>16.033-Q320-Q322-(Q321+Q323)*Q325</f>
        <v>10.346200000000001</v>
      </c>
      <c r="R12" s="177">
        <f>18.198-R320-R322-(R321+R323)*R325</f>
        <v>11.890750000000004</v>
      </c>
      <c r="S12" s="177">
        <f>20.821-S320-S322-(S321+S323)*S325</f>
        <v>12.824199999999999</v>
      </c>
      <c r="T12" s="177">
        <f>24.164-T320-T322-(T321+T323)*T325</f>
        <v>15.4315</v>
      </c>
      <c r="U12" s="177">
        <f>27.005-U320-U322-(U321+U323)*U325</f>
        <v>17.174600000000002</v>
      </c>
      <c r="V12" s="177">
        <f>29.065-V320-V322-(V321+V323)*V325</f>
        <v>18.034800000000001</v>
      </c>
      <c r="W12" s="177">
        <f>32.084-W320-W322-(W321+W323)*W325</f>
        <v>20.477300000000003</v>
      </c>
      <c r="X12" s="177">
        <f>35.029-X320-X322-(X321+X323)*X325</f>
        <v>22.756450000000001</v>
      </c>
      <c r="Y12" s="177">
        <f>37.525-Y320-Y322-(Y321+Y323)*Y325</f>
        <v>24.635499999999997</v>
      </c>
      <c r="Z12" s="177">
        <f>42.496-Z320-Z322-(Z321+Z323)*Z325</f>
        <v>28.674099999999999</v>
      </c>
      <c r="AA12" s="177">
        <f>47.051-AA320-AA322-(AA321+AA323)*AA325</f>
        <v>32.184450000000005</v>
      </c>
      <c r="AB12" s="177">
        <f>55.804-AB320-AB322-(AB321+AB323)*AB325</f>
        <v>35.943850000000005</v>
      </c>
      <c r="AC12" s="63">
        <f t="shared" ref="AC12:AL12" si="5">AC11-AC13</f>
        <v>38.879701671603158</v>
      </c>
      <c r="AD12" s="63">
        <f t="shared" si="5"/>
        <v>41.623453663308879</v>
      </c>
      <c r="AE12" s="63">
        <f t="shared" si="5"/>
        <v>44.697716126846245</v>
      </c>
      <c r="AF12" s="63">
        <f t="shared" si="5"/>
        <v>48.792215812363224</v>
      </c>
      <c r="AG12" s="63">
        <f t="shared" si="5"/>
        <v>52.092921198945362</v>
      </c>
      <c r="AH12" s="63">
        <f t="shared" si="5"/>
        <v>56.432995348070051</v>
      </c>
      <c r="AI12" s="63">
        <f t="shared" si="5"/>
        <v>59.832521948863871</v>
      </c>
      <c r="AJ12" s="63">
        <f t="shared" si="5"/>
        <v>65.058232385535234</v>
      </c>
      <c r="AK12" s="63">
        <f t="shared" si="5"/>
        <v>69.090444322804046</v>
      </c>
      <c r="AL12" s="63">
        <f t="shared" si="5"/>
        <v>74.569995571672678</v>
      </c>
      <c r="AM12" s="7"/>
    </row>
    <row r="13" spans="1:39" s="3" customFormat="1" outlineLevel="1">
      <c r="A13" s="96"/>
      <c r="D13" s="193" t="s">
        <v>212</v>
      </c>
      <c r="E13" s="193"/>
      <c r="F13" s="193"/>
      <c r="G13" s="211">
        <f t="shared" ref="G13:AB13" si="6">G11-G12</f>
        <v>20.380135704904376</v>
      </c>
      <c r="H13" s="211">
        <f t="shared" si="6"/>
        <v>23.902649921875124</v>
      </c>
      <c r="I13" s="211">
        <f t="shared" si="6"/>
        <v>37.911421382867474</v>
      </c>
      <c r="J13" s="211">
        <f t="shared" si="6"/>
        <v>32.742022338179112</v>
      </c>
      <c r="K13" s="211">
        <f t="shared" si="6"/>
        <v>35.561510111359851</v>
      </c>
      <c r="L13" s="211">
        <f t="shared" si="6"/>
        <v>38.028889888640144</v>
      </c>
      <c r="M13" s="211">
        <f t="shared" si="6"/>
        <v>42.589799999999997</v>
      </c>
      <c r="N13" s="211">
        <f t="shared" si="6"/>
        <v>46.581000000000003</v>
      </c>
      <c r="O13" s="211">
        <f t="shared" si="6"/>
        <v>51.856735533213055</v>
      </c>
      <c r="P13" s="211">
        <f t="shared" si="6"/>
        <v>57.658314466786948</v>
      </c>
      <c r="Q13" s="211">
        <f t="shared" si="6"/>
        <v>63.594799999999999</v>
      </c>
      <c r="R13" s="211">
        <f t="shared" si="6"/>
        <v>72.03925000000001</v>
      </c>
      <c r="S13" s="211">
        <f t="shared" si="6"/>
        <v>78.425799999999995</v>
      </c>
      <c r="T13" s="211">
        <f t="shared" si="6"/>
        <v>84.289500000000004</v>
      </c>
      <c r="U13" s="211">
        <f t="shared" si="6"/>
        <v>96.987400000000008</v>
      </c>
      <c r="V13" s="211">
        <f t="shared" si="6"/>
        <v>107.8912</v>
      </c>
      <c r="W13" s="211">
        <f t="shared" si="6"/>
        <v>117.57770000000001</v>
      </c>
      <c r="X13" s="211">
        <f t="shared" si="6"/>
        <v>129.67155</v>
      </c>
      <c r="Y13" s="211">
        <f t="shared" si="6"/>
        <v>147.7115</v>
      </c>
      <c r="Z13" s="211">
        <f t="shared" si="6"/>
        <v>164.92189999999999</v>
      </c>
      <c r="AA13" s="211">
        <f t="shared" si="6"/>
        <v>179.98255</v>
      </c>
      <c r="AB13" s="211">
        <f t="shared" si="6"/>
        <v>198.57315</v>
      </c>
      <c r="AC13" s="210">
        <f t="shared" ref="AC13:AL13" si="7">AC11*AC29</f>
        <v>215.74533107669376</v>
      </c>
      <c r="AD13" s="210">
        <f t="shared" si="7"/>
        <v>230.08084036552927</v>
      </c>
      <c r="AE13" s="210">
        <f t="shared" si="7"/>
        <v>246.1251596199036</v>
      </c>
      <c r="AF13" s="210">
        <f t="shared" si="7"/>
        <v>267.64183522763244</v>
      </c>
      <c r="AG13" s="210">
        <f t="shared" si="7"/>
        <v>284.65535925205882</v>
      </c>
      <c r="AH13" s="210">
        <f t="shared" si="7"/>
        <v>307.19584356282581</v>
      </c>
      <c r="AI13" s="210">
        <f t="shared" si="7"/>
        <v>324.46322283443646</v>
      </c>
      <c r="AJ13" s="210">
        <f t="shared" si="7"/>
        <v>351.46387333091985</v>
      </c>
      <c r="AK13" s="210">
        <f t="shared" si="7"/>
        <v>371.83560881936091</v>
      </c>
      <c r="AL13" s="210">
        <f t="shared" si="7"/>
        <v>399.81210513448389</v>
      </c>
      <c r="AM13" s="53"/>
    </row>
    <row r="14" spans="1:39" s="3" customFormat="1" outlineLevel="1">
      <c r="A14" s="96" t="s">
        <v>385</v>
      </c>
      <c r="D14" s="59" t="s">
        <v>330</v>
      </c>
      <c r="G14" s="177">
        <f>12.958-(G321+G323)*G326+G302</f>
        <v>12.870288922260231</v>
      </c>
      <c r="H14" s="177">
        <f>14.866-(H321+H323)*H326+H302</f>
        <v>14.76421896136698</v>
      </c>
      <c r="I14" s="177">
        <f>16.62-(I321+I323)*I326+I302</f>
        <v>16.467431928960103</v>
      </c>
      <c r="J14" s="177">
        <f>17.455-(J321+J323)*J326+J302</f>
        <v>17.316378665673554</v>
      </c>
      <c r="K14" s="177">
        <f>18.895-(K321+K323)*K326+K302</f>
        <v>17.18835858733712</v>
      </c>
      <c r="L14" s="177">
        <f>22.849-(L321+L323)*L326+L302</f>
        <v>21.071841412662877</v>
      </c>
      <c r="M14" s="177">
        <f>24.462-(M321+M323)*M326+M302</f>
        <v>22.4114</v>
      </c>
      <c r="N14" s="177">
        <f>28.188-(N321+N323)*N326+N302</f>
        <v>25.907999999999998</v>
      </c>
      <c r="O14" s="177">
        <f>30.817-(O321+O323)*O326+O302</f>
        <v>28.257962219030439</v>
      </c>
      <c r="P14" s="177">
        <f>35.836-(P321+P323)*P326+P302</f>
        <v>32.97618778096956</v>
      </c>
      <c r="Q14" s="177">
        <f>45.538-(Q321+Q323)*Q326+Q302</f>
        <v>42.423400000000001</v>
      </c>
      <c r="R14" s="177">
        <f>47.107-(R321+R323)*R326+R302</f>
        <v>43.686750000000004</v>
      </c>
      <c r="S14" s="177">
        <f>46.965-(S321+S323)*S326+S302</f>
        <v>43.099400000000003</v>
      </c>
      <c r="T14" s="177">
        <f>51.376-(T321+T323)*T326+T302</f>
        <v>47.010499999999993</v>
      </c>
      <c r="U14" s="177">
        <f>55.982-(U321+U323)*U326+U302</f>
        <v>50.918199999999999</v>
      </c>
      <c r="V14" s="177">
        <f>63.552-(V321+V323)*V326+V302</f>
        <v>57.837600000000002</v>
      </c>
      <c r="W14" s="177">
        <f>69.974-(W321+W323)*W326+W302</f>
        <v>63.398099999999999</v>
      </c>
      <c r="X14" s="177">
        <f>75.995-(X321+X323)*X326+X302</f>
        <v>68.603650000000002</v>
      </c>
      <c r="Y14" s="177">
        <f>85.877-(Y321+Y323)*Y326+Y302</f>
        <v>77.512500000000003</v>
      </c>
      <c r="Z14" s="177">
        <f>96.219-(Z321+Z323)*Z326+Z302</f>
        <v>86.995699999999999</v>
      </c>
      <c r="AA14" s="177">
        <f>100.057-(AA321+AA323)*AA326+AA302</f>
        <v>89.659649999999999</v>
      </c>
      <c r="AB14" s="177">
        <f>117.622-(AB321+AB323)*AB326+AB302</f>
        <v>106.28345</v>
      </c>
      <c r="AC14" s="7">
        <f t="shared" ref="AC14:AL14" si="8">AC$11*AC33</f>
        <v>108.21563891802619</v>
      </c>
      <c r="AD14" s="7">
        <f t="shared" si="8"/>
        <v>114.6592120801697</v>
      </c>
      <c r="AE14" s="7">
        <f t="shared" si="8"/>
        <v>121.85478493788818</v>
      </c>
      <c r="AF14" s="7">
        <f t="shared" si="8"/>
        <v>131.63656523263819</v>
      </c>
      <c r="AG14" s="7">
        <f t="shared" si="8"/>
        <v>139.07703982626472</v>
      </c>
      <c r="AH14" s="7">
        <f t="shared" si="8"/>
        <v>149.08782395346731</v>
      </c>
      <c r="AI14" s="7">
        <f t="shared" si="8"/>
        <v>156.21622025441158</v>
      </c>
      <c r="AJ14" s="7">
        <f t="shared" si="8"/>
        <v>167.85840860373139</v>
      </c>
      <c r="AK14" s="7">
        <f t="shared" si="8"/>
        <v>176.14995823029489</v>
      </c>
      <c r="AL14" s="7">
        <f t="shared" si="8"/>
        <v>187.85531187963798</v>
      </c>
      <c r="AM14" s="53"/>
    </row>
    <row r="15" spans="1:39" s="3" customFormat="1" outlineLevel="1">
      <c r="A15" s="96" t="s">
        <v>386</v>
      </c>
      <c r="D15" s="59" t="s">
        <v>329</v>
      </c>
      <c r="G15" s="177">
        <f>7.472-(G321+G323)*G327</f>
        <v>7.3842889222602324</v>
      </c>
      <c r="H15" s="177">
        <f>8.326-(H321+H323)*H327</f>
        <v>8.2242189613669812</v>
      </c>
      <c r="I15" s="177">
        <f>8.38-(I321+I323)*I327</f>
        <v>8.2274319289601028</v>
      </c>
      <c r="J15" s="177">
        <f>9.472-(J321+J323)*J327</f>
        <v>9.3333786656735551</v>
      </c>
      <c r="K15" s="177">
        <f>11.263-(K321+K323)*K327</f>
        <v>11.101358587337122</v>
      </c>
      <c r="L15" s="177">
        <f>13.023-(L321+L323)*L327</f>
        <v>12.838841412662878</v>
      </c>
      <c r="M15" s="177">
        <f>14.827-(M321+M323)*M327</f>
        <v>14.628399999999999</v>
      </c>
      <c r="N15" s="177">
        <f>15.35-(N321+N323)*N327</f>
        <v>15.14</v>
      </c>
      <c r="O15" s="177">
        <f>17.649-(O321+O323)*O327</f>
        <v>17.408962219030439</v>
      </c>
      <c r="P15" s="177">
        <f>18.868-(P321+P323)*P327</f>
        <v>18.593187780969561</v>
      </c>
      <c r="Q15" s="177">
        <f>27.863-(Q321+Q323)*Q327</f>
        <v>27.566399999999998</v>
      </c>
      <c r="R15" s="177">
        <f>26.289-(R321+R323)*R327</f>
        <v>25.967750000000002</v>
      </c>
      <c r="S15" s="177">
        <f>33.354-5.776-(S321+S323)*S327</f>
        <v>27.211399999999998</v>
      </c>
      <c r="T15" s="177">
        <f>28.131+0.051-(T321+T323)*T327</f>
        <v>27.779499999999999</v>
      </c>
      <c r="U15" s="177">
        <f>30.902-(U321+U323)*U327</f>
        <v>30.461200000000002</v>
      </c>
      <c r="V15" s="177">
        <f>34.757-(V321+V323)*V327</f>
        <v>34.281599999999997</v>
      </c>
      <c r="W15" s="177">
        <f>39.527-(W321+W323)*W327</f>
        <v>39.011099999999999</v>
      </c>
      <c r="X15" s="177">
        <f>41.349-(X321+X323)*X327</f>
        <v>40.812649999999998</v>
      </c>
      <c r="Y15" s="177">
        <f>46.77-(Y321+Y323)*Y327</f>
        <v>46.1785</v>
      </c>
      <c r="Z15" s="177">
        <f>61.762-(Z321+Z323)*Z327</f>
        <v>61.117699999999999</v>
      </c>
      <c r="AA15" s="177">
        <f>67.054-(AA321+AA323)*AA327-2.639</f>
        <v>63.679650000000002</v>
      </c>
      <c r="AB15" s="177">
        <f>75.114-(AB321+AB323)*AB327-1.043</f>
        <v>73.288449999999997</v>
      </c>
      <c r="AC15" s="7">
        <f t="shared" ref="AC15:AL15" si="9">AC$11*AC34</f>
        <v>77.660634988230555</v>
      </c>
      <c r="AD15" s="7">
        <f t="shared" si="9"/>
        <v>80.152766738507253</v>
      </c>
      <c r="AE15" s="7">
        <f t="shared" si="9"/>
        <v>84.338633966557452</v>
      </c>
      <c r="AF15" s="7">
        <f t="shared" si="9"/>
        <v>90.183704546398758</v>
      </c>
      <c r="AG15" s="7">
        <f t="shared" si="9"/>
        <v>94.289518526281157</v>
      </c>
      <c r="AH15" s="7">
        <f t="shared" si="9"/>
        <v>99.997930700496354</v>
      </c>
      <c r="AI15" s="7">
        <f t="shared" si="9"/>
        <v>104.52844258105767</v>
      </c>
      <c r="AJ15" s="7">
        <f t="shared" si="9"/>
        <v>112.04444643772641</v>
      </c>
      <c r="AK15" s="7">
        <f t="shared" si="9"/>
        <v>117.28633013581586</v>
      </c>
      <c r="AL15" s="7">
        <f t="shared" si="9"/>
        <v>124.76249248571915</v>
      </c>
      <c r="AM15" s="53"/>
    </row>
    <row r="16" spans="1:39" s="3" customFormat="1" outlineLevel="1">
      <c r="A16" s="96" t="s">
        <v>387</v>
      </c>
      <c r="D16" s="59" t="s">
        <v>239</v>
      </c>
      <c r="G16" s="177">
        <f>3.679-(G321+G323)*G328</f>
        <v>3.2404446113011574</v>
      </c>
      <c r="H16" s="177">
        <f>4.233-(H321+H323)*H328</f>
        <v>3.7240948068348994</v>
      </c>
      <c r="I16" s="177">
        <f>5.184-(I321+I323)*I328</f>
        <v>4.421159644800511</v>
      </c>
      <c r="J16" s="177">
        <f>7.212-(J321+J323)*J328</f>
        <v>6.5188933283677812</v>
      </c>
      <c r="K16" s="177">
        <f>13.512-(K321+K323)*K328</f>
        <v>12.703792936685611</v>
      </c>
      <c r="L16" s="177">
        <f>19.529-(L321+L323)*L328</f>
        <v>18.608207063314392</v>
      </c>
      <c r="M16" s="177">
        <f>36.04-(M321+M323)*M328-23.3</f>
        <v>11.746999999999996</v>
      </c>
      <c r="N16" s="177">
        <f>16.098-(N321+N323)*N328</f>
        <v>15.048</v>
      </c>
      <c r="O16" s="177">
        <f>16.048-(O321+O323)*O328</f>
        <v>14.847811095152185</v>
      </c>
      <c r="P16" s="177">
        <f>17.659-(P321+P323)*P328</f>
        <v>16.284938904847813</v>
      </c>
      <c r="Q16" s="177">
        <f>25.593-(Q321+Q323)*Q328</f>
        <v>24.11</v>
      </c>
      <c r="R16" s="177">
        <f>22.278-(R321+R323)*R328</f>
        <v>20.671749999999999</v>
      </c>
      <c r="S16" s="177">
        <f>26.181-0.554-(S321+S323)*S328</f>
        <v>23.794000000000004</v>
      </c>
      <c r="T16" s="177">
        <f>20.754-(T321+T323)*T328</f>
        <v>18.741500000000002</v>
      </c>
      <c r="U16" s="177">
        <f>21.525-(U321+U323)*U328</f>
        <v>19.320999999999998</v>
      </c>
      <c r="V16" s="177">
        <f>23.293-(V321+V323)*V328</f>
        <v>20.916</v>
      </c>
      <c r="W16" s="177">
        <f>27.724-(W321+W323)*W328</f>
        <v>25.144500000000001</v>
      </c>
      <c r="X16" s="177">
        <f>28.927-(X321+X323)*X328</f>
        <v>26.245250000000002</v>
      </c>
      <c r="Y16" s="177">
        <f>28.669-(Y321+Y323)*Y328</f>
        <v>25.711500000000001</v>
      </c>
      <c r="Z16" s="177">
        <f>34.183-(Z321+Z323)*Z328</f>
        <v>30.961500000000001</v>
      </c>
      <c r="AA16" s="177">
        <f>38.029-(AA321+AA323)*AA328</f>
        <v>34.352250000000005</v>
      </c>
      <c r="AB16" s="177">
        <f>50.518-(AB321+AB323)*AB328</f>
        <v>46.605250000000005</v>
      </c>
      <c r="AC16" s="7">
        <f t="shared" ref="AC16:AL16" si="10">AC$11*AC36</f>
        <v>40.740005239727509</v>
      </c>
      <c r="AD16" s="7">
        <f t="shared" si="10"/>
        <v>43.06513060357085</v>
      </c>
      <c r="AE16" s="7">
        <f t="shared" si="10"/>
        <v>45.659191492239728</v>
      </c>
      <c r="AF16" s="7">
        <f t="shared" si="10"/>
        <v>49.205494936719326</v>
      </c>
      <c r="AG16" s="7">
        <f t="shared" si="10"/>
        <v>51.859235189454644</v>
      </c>
      <c r="AH16" s="7">
        <f t="shared" si="10"/>
        <v>55.453397933911617</v>
      </c>
      <c r="AI16" s="7">
        <f t="shared" si="10"/>
        <v>58.028657462278346</v>
      </c>
      <c r="AJ16" s="7">
        <f t="shared" si="10"/>
        <v>62.270054804610034</v>
      </c>
      <c r="AK16" s="7">
        <f t="shared" si="10"/>
        <v>65.257055865040414</v>
      </c>
      <c r="AL16" s="7">
        <f t="shared" si="10"/>
        <v>69.49697775345193</v>
      </c>
      <c r="AM16" s="53"/>
    </row>
    <row r="17" spans="1:39" s="3" customFormat="1" outlineLevel="1">
      <c r="A17" s="96" t="s">
        <v>217</v>
      </c>
      <c r="D17" s="59" t="s">
        <v>217</v>
      </c>
      <c r="G17" s="7">
        <f t="shared" ref="G17:AL17" si="11">G324-G302</f>
        <v>2.2591132490827555</v>
      </c>
      <c r="H17" s="7">
        <f t="shared" si="11"/>
        <v>2.5991171923062661</v>
      </c>
      <c r="I17" s="7">
        <f t="shared" si="11"/>
        <v>3.8263978801467582</v>
      </c>
      <c r="J17" s="7">
        <f t="shared" si="11"/>
        <v>3.4893716784642175</v>
      </c>
      <c r="K17" s="7">
        <f t="shared" si="11"/>
        <v>5.4209999999999994</v>
      </c>
      <c r="L17" s="7">
        <f t="shared" si="11"/>
        <v>5.9950000000000001</v>
      </c>
      <c r="M17" s="7">
        <f t="shared" si="11"/>
        <v>6.9710000000000001</v>
      </c>
      <c r="N17" s="7">
        <f t="shared" si="11"/>
        <v>7.5779999999999994</v>
      </c>
      <c r="O17" s="7">
        <f t="shared" si="11"/>
        <v>8.4890000000000008</v>
      </c>
      <c r="P17" s="7">
        <f t="shared" si="11"/>
        <v>9.5749999999999993</v>
      </c>
      <c r="Q17" s="7">
        <f t="shared" si="11"/>
        <v>10.581</v>
      </c>
      <c r="R17" s="7">
        <f t="shared" si="11"/>
        <v>11.654999999999994</v>
      </c>
      <c r="S17" s="7">
        <f t="shared" si="11"/>
        <v>14.062000000000001</v>
      </c>
      <c r="T17" s="7">
        <f t="shared" si="11"/>
        <v>15.513000000000002</v>
      </c>
      <c r="U17" s="7">
        <f t="shared" si="11"/>
        <v>17.538999999999998</v>
      </c>
      <c r="V17" s="7">
        <f t="shared" si="11"/>
        <v>19.597000000000001</v>
      </c>
      <c r="W17" s="7">
        <f t="shared" si="11"/>
        <v>21.277999999999999</v>
      </c>
      <c r="X17" s="7">
        <f t="shared" si="11"/>
        <v>22.882000000000001</v>
      </c>
      <c r="Y17" s="7">
        <f t="shared" si="11"/>
        <v>24.802999999999997</v>
      </c>
      <c r="Z17" s="7">
        <f t="shared" si="11"/>
        <v>26.910999999999994</v>
      </c>
      <c r="AA17" s="7">
        <f t="shared" si="11"/>
        <v>29.676000000000002</v>
      </c>
      <c r="AB17" s="7">
        <f>AB324-AB302</f>
        <v>35.893999999999998</v>
      </c>
      <c r="AC17" s="7">
        <f t="shared" si="11"/>
        <v>39.988180851063831</v>
      </c>
      <c r="AD17" s="7">
        <f t="shared" si="11"/>
        <v>42.23566201255597</v>
      </c>
      <c r="AE17" s="7">
        <f t="shared" si="11"/>
        <v>44.399298174905532</v>
      </c>
      <c r="AF17" s="7">
        <f t="shared" si="11"/>
        <v>46.705209824360978</v>
      </c>
      <c r="AG17" s="7">
        <f t="shared" si="11"/>
        <v>49.346143536997758</v>
      </c>
      <c r="AH17" s="7">
        <f t="shared" si="11"/>
        <v>51.805489557271919</v>
      </c>
      <c r="AI17" s="7">
        <f t="shared" si="11"/>
        <v>54.598158474408592</v>
      </c>
      <c r="AJ17" s="7">
        <f t="shared" si="11"/>
        <v>57.178203440081191</v>
      </c>
      <c r="AK17" s="7">
        <f t="shared" si="11"/>
        <v>59.352412864531374</v>
      </c>
      <c r="AL17" s="7">
        <f t="shared" si="11"/>
        <v>58.335893466016856</v>
      </c>
      <c r="AM17" s="53"/>
    </row>
    <row r="18" spans="1:39" s="3" customFormat="1" outlineLevel="1">
      <c r="A18" s="96"/>
      <c r="D18" s="193" t="s">
        <v>206</v>
      </c>
      <c r="E18" s="193"/>
      <c r="F18" s="193"/>
      <c r="G18" s="211">
        <f t="shared" ref="G18:AL18" si="12">G13-SUM(G14:G17)</f>
        <v>-5.3739999999999988</v>
      </c>
      <c r="H18" s="211">
        <f t="shared" si="12"/>
        <v>-5.4090000000000025</v>
      </c>
      <c r="I18" s="211">
        <f t="shared" si="12"/>
        <v>4.9690000000000012</v>
      </c>
      <c r="J18" s="211">
        <f t="shared" si="12"/>
        <v>-3.9159999999999968</v>
      </c>
      <c r="K18" s="211">
        <f t="shared" si="12"/>
        <v>-10.853000000000002</v>
      </c>
      <c r="L18" s="211">
        <f t="shared" si="12"/>
        <v>-20.484999999999999</v>
      </c>
      <c r="M18" s="211">
        <f t="shared" si="12"/>
        <v>-13.168000000000006</v>
      </c>
      <c r="N18" s="211">
        <f t="shared" si="12"/>
        <v>-17.093000000000004</v>
      </c>
      <c r="O18" s="211">
        <f t="shared" si="12"/>
        <v>-17.147000000000006</v>
      </c>
      <c r="P18" s="211">
        <f t="shared" si="12"/>
        <v>-19.771000000000001</v>
      </c>
      <c r="Q18" s="211">
        <f t="shared" si="12"/>
        <v>-41.086000000000006</v>
      </c>
      <c r="R18" s="211">
        <f t="shared" si="12"/>
        <v>-29.942000000000007</v>
      </c>
      <c r="S18" s="211">
        <f t="shared" si="12"/>
        <v>-29.741000000000014</v>
      </c>
      <c r="T18" s="211">
        <f t="shared" si="12"/>
        <v>-24.754999999999995</v>
      </c>
      <c r="U18" s="211">
        <f t="shared" si="12"/>
        <v>-21.251999999999995</v>
      </c>
      <c r="V18" s="211">
        <f t="shared" si="12"/>
        <v>-24.741000000000014</v>
      </c>
      <c r="W18" s="211">
        <f t="shared" si="12"/>
        <v>-31.253999999999976</v>
      </c>
      <c r="X18" s="211">
        <f t="shared" si="12"/>
        <v>-28.872000000000014</v>
      </c>
      <c r="Y18" s="211">
        <f t="shared" si="12"/>
        <v>-26.494</v>
      </c>
      <c r="Z18" s="211">
        <f t="shared" si="12"/>
        <v>-41.064000000000021</v>
      </c>
      <c r="AA18" s="211">
        <f t="shared" si="12"/>
        <v>-37.384999999999991</v>
      </c>
      <c r="AB18" s="211">
        <f t="shared" si="12"/>
        <v>-63.49799999999999</v>
      </c>
      <c r="AC18" s="211">
        <f t="shared" si="12"/>
        <v>-50.859128920354323</v>
      </c>
      <c r="AD18" s="211">
        <f t="shared" si="12"/>
        <v>-50.03193106927452</v>
      </c>
      <c r="AE18" s="211">
        <f t="shared" si="12"/>
        <v>-50.12674895168729</v>
      </c>
      <c r="AF18" s="211">
        <f t="shared" si="12"/>
        <v>-50.089139312484804</v>
      </c>
      <c r="AG18" s="211">
        <f t="shared" si="12"/>
        <v>-49.916577826939488</v>
      </c>
      <c r="AH18" s="211">
        <f t="shared" si="12"/>
        <v>-49.148798582321376</v>
      </c>
      <c r="AI18" s="211">
        <f t="shared" si="12"/>
        <v>-48.908255937719787</v>
      </c>
      <c r="AJ18" s="211">
        <f t="shared" si="12"/>
        <v>-47.88723995522912</v>
      </c>
      <c r="AK18" s="211">
        <f t="shared" si="12"/>
        <v>-46.210148276321547</v>
      </c>
      <c r="AL18" s="211">
        <f t="shared" si="12"/>
        <v>-40.638570450342002</v>
      </c>
      <c r="AM18" s="53"/>
    </row>
    <row r="19" spans="1:39" s="3" customFormat="1" outlineLevel="1">
      <c r="A19" s="96" t="s">
        <v>388</v>
      </c>
      <c r="D19" s="59" t="s">
        <v>331</v>
      </c>
      <c r="G19" s="177">
        <v>4.8000000000000001E-2</v>
      </c>
      <c r="H19" s="177">
        <v>4.4999999999999998E-2</v>
      </c>
      <c r="I19" s="177">
        <v>-2.1999999999999999E-2</v>
      </c>
      <c r="J19" s="177">
        <v>4.3999999999999997E-2</v>
      </c>
      <c r="K19" s="177">
        <v>-0.44600000000000001</v>
      </c>
      <c r="L19" s="177">
        <v>-0.217</v>
      </c>
      <c r="M19" s="177">
        <f>-1.24-23.3</f>
        <v>-24.54</v>
      </c>
      <c r="N19" s="177">
        <v>-0.188</v>
      </c>
      <c r="O19" s="177">
        <v>-0.29299999999999998</v>
      </c>
      <c r="P19" s="177">
        <v>-8.5999999999999993E-2</v>
      </c>
      <c r="Q19" s="177">
        <v>-0.65100000000000002</v>
      </c>
      <c r="R19" s="177">
        <v>-0.41199999999999998</v>
      </c>
      <c r="S19" s="177">
        <f>0.485-5.776-0.554</f>
        <v>-5.8449999999999998</v>
      </c>
      <c r="T19" s="177">
        <f>-0.219+0.051</f>
        <v>-0.16800000000000001</v>
      </c>
      <c r="U19" s="177">
        <v>-0.20799999999999999</v>
      </c>
      <c r="V19" s="177">
        <v>0.113</v>
      </c>
      <c r="W19" s="177">
        <v>0.14799999999999999</v>
      </c>
      <c r="X19" s="177">
        <v>-0.877</v>
      </c>
      <c r="Y19" s="177">
        <f>0.361-72.234</f>
        <v>-71.87299999999999</v>
      </c>
      <c r="Z19" s="177">
        <v>-0.42599999999999999</v>
      </c>
      <c r="AA19" s="177">
        <f>-0.487-2.639</f>
        <v>-3.1259999999999999</v>
      </c>
      <c r="AB19" s="177">
        <f>0.233-1.043</f>
        <v>-0.80999999999999994</v>
      </c>
      <c r="AC19" s="245">
        <v>0</v>
      </c>
      <c r="AD19" s="245">
        <v>0</v>
      </c>
      <c r="AE19" s="245">
        <v>0</v>
      </c>
      <c r="AF19" s="245">
        <v>0</v>
      </c>
      <c r="AG19" s="245">
        <v>0</v>
      </c>
      <c r="AH19" s="245">
        <v>0</v>
      </c>
      <c r="AI19" s="245">
        <v>0</v>
      </c>
      <c r="AJ19" s="245">
        <v>0</v>
      </c>
      <c r="AK19" s="245">
        <v>0</v>
      </c>
      <c r="AL19" s="245">
        <v>0</v>
      </c>
      <c r="AM19" s="53"/>
    </row>
    <row r="20" spans="1:39" s="3" customFormat="1" outlineLevel="1">
      <c r="A20" s="96"/>
      <c r="D20" s="193" t="s">
        <v>4</v>
      </c>
      <c r="E20" s="193"/>
      <c r="F20" s="193"/>
      <c r="G20" s="211">
        <f t="shared" ref="G20:AL20" si="13">G18+G19</f>
        <v>-5.3259999999999987</v>
      </c>
      <c r="H20" s="211">
        <f t="shared" si="13"/>
        <v>-5.3640000000000025</v>
      </c>
      <c r="I20" s="211">
        <f t="shared" si="13"/>
        <v>4.947000000000001</v>
      </c>
      <c r="J20" s="211">
        <f t="shared" si="13"/>
        <v>-3.8719999999999968</v>
      </c>
      <c r="K20" s="211">
        <f t="shared" si="13"/>
        <v>-11.299000000000001</v>
      </c>
      <c r="L20" s="211">
        <f t="shared" si="13"/>
        <v>-20.701999999999998</v>
      </c>
      <c r="M20" s="211">
        <f t="shared" si="13"/>
        <v>-37.708000000000006</v>
      </c>
      <c r="N20" s="211">
        <f t="shared" si="13"/>
        <v>-17.281000000000002</v>
      </c>
      <c r="O20" s="211">
        <f t="shared" si="13"/>
        <v>-17.440000000000005</v>
      </c>
      <c r="P20" s="211">
        <f t="shared" si="13"/>
        <v>-19.856999999999999</v>
      </c>
      <c r="Q20" s="211">
        <f t="shared" si="13"/>
        <v>-41.737000000000009</v>
      </c>
      <c r="R20" s="211">
        <f t="shared" si="13"/>
        <v>-30.354000000000006</v>
      </c>
      <c r="S20" s="211">
        <f t="shared" si="13"/>
        <v>-35.586000000000013</v>
      </c>
      <c r="T20" s="211">
        <f t="shared" si="13"/>
        <v>-24.922999999999995</v>
      </c>
      <c r="U20" s="211">
        <f t="shared" si="13"/>
        <v>-21.459999999999994</v>
      </c>
      <c r="V20" s="211">
        <f t="shared" si="13"/>
        <v>-24.628000000000014</v>
      </c>
      <c r="W20" s="211">
        <f t="shared" si="13"/>
        <v>-31.105999999999977</v>
      </c>
      <c r="X20" s="211">
        <f t="shared" si="13"/>
        <v>-29.749000000000013</v>
      </c>
      <c r="Y20" s="211">
        <f t="shared" si="13"/>
        <v>-98.36699999999999</v>
      </c>
      <c r="Z20" s="211">
        <f t="shared" si="13"/>
        <v>-41.490000000000023</v>
      </c>
      <c r="AA20" s="211">
        <f t="shared" si="13"/>
        <v>-40.510999999999989</v>
      </c>
      <c r="AB20" s="211">
        <f t="shared" si="13"/>
        <v>-64.307999999999993</v>
      </c>
      <c r="AC20" s="211">
        <f t="shared" si="13"/>
        <v>-50.859128920354323</v>
      </c>
      <c r="AD20" s="211">
        <f t="shared" si="13"/>
        <v>-50.03193106927452</v>
      </c>
      <c r="AE20" s="211">
        <f t="shared" si="13"/>
        <v>-50.12674895168729</v>
      </c>
      <c r="AF20" s="211">
        <f t="shared" si="13"/>
        <v>-50.089139312484804</v>
      </c>
      <c r="AG20" s="211">
        <f t="shared" si="13"/>
        <v>-49.916577826939488</v>
      </c>
      <c r="AH20" s="211">
        <f t="shared" si="13"/>
        <v>-49.148798582321376</v>
      </c>
      <c r="AI20" s="211">
        <f t="shared" si="13"/>
        <v>-48.908255937719787</v>
      </c>
      <c r="AJ20" s="211">
        <f t="shared" si="13"/>
        <v>-47.88723995522912</v>
      </c>
      <c r="AK20" s="211">
        <f t="shared" si="13"/>
        <v>-46.210148276321547</v>
      </c>
      <c r="AL20" s="211">
        <f t="shared" si="13"/>
        <v>-40.638570450342002</v>
      </c>
      <c r="AM20" s="53"/>
    </row>
    <row r="21" spans="1:39" s="3" customFormat="1" outlineLevel="1">
      <c r="A21" s="96"/>
      <c r="D21" s="59" t="s">
        <v>369</v>
      </c>
      <c r="G21" s="7">
        <f t="shared" ref="G21:AL21" si="14">-G248</f>
        <v>1.4999999999999986E-2</v>
      </c>
      <c r="H21" s="7">
        <f t="shared" si="14"/>
        <v>5.0000000000000017E-2</v>
      </c>
      <c r="I21" s="7">
        <f t="shared" si="14"/>
        <v>1.2000000000000011E-2</v>
      </c>
      <c r="J21" s="7">
        <f t="shared" si="14"/>
        <v>2.300000000000002E-2</v>
      </c>
      <c r="K21" s="7">
        <f t="shared" si="14"/>
        <v>-2.0000000000000018E-3</v>
      </c>
      <c r="L21" s="7">
        <f t="shared" si="14"/>
        <v>1.6999999999999987E-2</v>
      </c>
      <c r="M21" s="7">
        <f t="shared" si="14"/>
        <v>-0.13600000000000001</v>
      </c>
      <c r="N21" s="7">
        <f t="shared" si="14"/>
        <v>-0.78200000000000003</v>
      </c>
      <c r="O21" s="7">
        <f t="shared" si="14"/>
        <v>-0.64</v>
      </c>
      <c r="P21" s="7">
        <f t="shared" si="14"/>
        <v>-0.54</v>
      </c>
      <c r="Q21" s="7">
        <f t="shared" si="14"/>
        <v>-0.67199999999999993</v>
      </c>
      <c r="R21" s="7">
        <f t="shared" si="14"/>
        <v>-2.823</v>
      </c>
      <c r="S21" s="7">
        <f t="shared" si="14"/>
        <v>-2.5019999999999998</v>
      </c>
      <c r="T21" s="7">
        <f t="shared" si="14"/>
        <v>3.1499999999999995</v>
      </c>
      <c r="U21" s="7">
        <f t="shared" si="14"/>
        <v>8.5119999999999987</v>
      </c>
      <c r="V21" s="7">
        <f t="shared" si="14"/>
        <v>9.2159999999999993</v>
      </c>
      <c r="W21" s="7">
        <f t="shared" si="14"/>
        <v>9.69</v>
      </c>
      <c r="X21" s="7">
        <f t="shared" si="14"/>
        <v>10.071000000000002</v>
      </c>
      <c r="Y21" s="7">
        <f t="shared" si="14"/>
        <v>12.063000000000001</v>
      </c>
      <c r="Z21" s="7">
        <f t="shared" si="14"/>
        <v>15.440000000000001</v>
      </c>
      <c r="AA21" s="7">
        <f t="shared" si="14"/>
        <v>0.496</v>
      </c>
      <c r="AB21" s="7">
        <f t="shared" si="14"/>
        <v>-0.60099999999999998</v>
      </c>
      <c r="AC21" s="7">
        <f t="shared" si="14"/>
        <v>14.074772321198612</v>
      </c>
      <c r="AD21" s="7">
        <f t="shared" si="14"/>
        <v>14.424700083003932</v>
      </c>
      <c r="AE21" s="7">
        <f t="shared" ca="1" si="14"/>
        <v>14.498744616745363</v>
      </c>
      <c r="AF21" s="7">
        <f t="shared" ca="1" si="14"/>
        <v>14.877069982979791</v>
      </c>
      <c r="AG21" s="7">
        <f t="shared" ca="1" si="14"/>
        <v>15.010072557953471</v>
      </c>
      <c r="AH21" s="7">
        <f t="shared" ca="1" si="14"/>
        <v>15.32453961338642</v>
      </c>
      <c r="AI21" s="7">
        <f t="shared" ca="1" si="14"/>
        <v>15.515228745556508</v>
      </c>
      <c r="AJ21" s="7">
        <f t="shared" ca="1" si="14"/>
        <v>15.75883362796816</v>
      </c>
      <c r="AK21" s="7">
        <f t="shared" ca="1" si="14"/>
        <v>16.050104308574241</v>
      </c>
      <c r="AL21" s="7">
        <f t="shared" ca="1" si="14"/>
        <v>16.206897138944708</v>
      </c>
      <c r="AM21" s="53"/>
    </row>
    <row r="22" spans="1:39" s="3" customFormat="1" outlineLevel="1">
      <c r="A22" s="96"/>
      <c r="D22" s="193" t="s">
        <v>108</v>
      </c>
      <c r="E22" s="193"/>
      <c r="F22" s="193"/>
      <c r="G22" s="211">
        <f t="shared" ref="G22:AL22" si="15">G20-SUM(G21:G21)</f>
        <v>-5.3409999999999984</v>
      </c>
      <c r="H22" s="211">
        <f t="shared" si="15"/>
        <v>-5.4140000000000024</v>
      </c>
      <c r="I22" s="211">
        <f t="shared" si="15"/>
        <v>4.9350000000000005</v>
      </c>
      <c r="J22" s="211">
        <f t="shared" si="15"/>
        <v>-3.8949999999999969</v>
      </c>
      <c r="K22" s="211">
        <f t="shared" si="15"/>
        <v>-11.297000000000001</v>
      </c>
      <c r="L22" s="211">
        <f t="shared" si="15"/>
        <v>-20.718999999999998</v>
      </c>
      <c r="M22" s="211">
        <f t="shared" si="15"/>
        <v>-37.572000000000003</v>
      </c>
      <c r="N22" s="211">
        <f t="shared" si="15"/>
        <v>-16.499000000000002</v>
      </c>
      <c r="O22" s="211">
        <f t="shared" si="15"/>
        <v>-16.800000000000004</v>
      </c>
      <c r="P22" s="211">
        <f t="shared" si="15"/>
        <v>-19.317</v>
      </c>
      <c r="Q22" s="211">
        <f t="shared" si="15"/>
        <v>-41.065000000000012</v>
      </c>
      <c r="R22" s="211">
        <f t="shared" si="15"/>
        <v>-27.531000000000006</v>
      </c>
      <c r="S22" s="211">
        <f t="shared" si="15"/>
        <v>-33.08400000000001</v>
      </c>
      <c r="T22" s="211">
        <f t="shared" si="15"/>
        <v>-28.072999999999993</v>
      </c>
      <c r="U22" s="211">
        <f t="shared" si="15"/>
        <v>-29.971999999999994</v>
      </c>
      <c r="V22" s="211">
        <f t="shared" si="15"/>
        <v>-33.844000000000015</v>
      </c>
      <c r="W22" s="211">
        <f t="shared" si="15"/>
        <v>-40.795999999999978</v>
      </c>
      <c r="X22" s="211">
        <f t="shared" si="15"/>
        <v>-39.820000000000014</v>
      </c>
      <c r="Y22" s="211">
        <f t="shared" si="15"/>
        <v>-110.42999999999999</v>
      </c>
      <c r="Z22" s="211">
        <f t="shared" si="15"/>
        <v>-56.930000000000021</v>
      </c>
      <c r="AA22" s="211">
        <f t="shared" si="15"/>
        <v>-41.006999999999991</v>
      </c>
      <c r="AB22" s="211">
        <f t="shared" si="15"/>
        <v>-63.706999999999994</v>
      </c>
      <c r="AC22" s="211">
        <f t="shared" si="15"/>
        <v>-64.933901241552931</v>
      </c>
      <c r="AD22" s="211">
        <f t="shared" si="15"/>
        <v>-64.456631152278447</v>
      </c>
      <c r="AE22" s="211">
        <f t="shared" ca="1" si="15"/>
        <v>-64.62549356843266</v>
      </c>
      <c r="AF22" s="211">
        <f t="shared" ca="1" si="15"/>
        <v>-64.966209295464594</v>
      </c>
      <c r="AG22" s="211">
        <f t="shared" ca="1" si="15"/>
        <v>-64.926650384892952</v>
      </c>
      <c r="AH22" s="211">
        <f t="shared" ca="1" si="15"/>
        <v>-64.473338195707797</v>
      </c>
      <c r="AI22" s="211">
        <f t="shared" ca="1" si="15"/>
        <v>-64.4234846832763</v>
      </c>
      <c r="AJ22" s="211">
        <f t="shared" ca="1" si="15"/>
        <v>-63.646073583197278</v>
      </c>
      <c r="AK22" s="211">
        <f t="shared" ca="1" si="15"/>
        <v>-62.260252584895788</v>
      </c>
      <c r="AL22" s="211">
        <f t="shared" ca="1" si="15"/>
        <v>-56.845467589286713</v>
      </c>
      <c r="AM22" s="53"/>
    </row>
    <row r="23" spans="1:39" s="3" customFormat="1" outlineLevel="1">
      <c r="A23" s="96" t="s">
        <v>218</v>
      </c>
      <c r="D23" s="59" t="s">
        <v>218</v>
      </c>
      <c r="G23" s="177">
        <f>0.569-G24</f>
        <v>0.6027499999999999</v>
      </c>
      <c r="H23" s="177">
        <f>0.577-H24</f>
        <v>0.6107499999999999</v>
      </c>
      <c r="I23" s="177">
        <f>-0.537-I24</f>
        <v>-0.50324999999999998</v>
      </c>
      <c r="J23" s="177">
        <f>0.424-J24</f>
        <v>0.45774999999999999</v>
      </c>
      <c r="K23" s="177">
        <f>0.171-K24</f>
        <v>0.17900000000000002</v>
      </c>
      <c r="L23" s="177">
        <f>0.301-L24</f>
        <v>0.28799999999999998</v>
      </c>
      <c r="M23" s="177">
        <f>0.417-M24</f>
        <v>0.41499999999999998</v>
      </c>
      <c r="N23" s="177">
        <f>0.188-N24</f>
        <v>-0.19</v>
      </c>
      <c r="O23" s="177">
        <f>0.314-O24</f>
        <v>0.314</v>
      </c>
      <c r="P23" s="177">
        <f>0.389-P24</f>
        <v>0.38900000000000001</v>
      </c>
      <c r="Q23" s="177">
        <f>-0.212-Q24</f>
        <v>-0.21199999999999999</v>
      </c>
      <c r="R23" s="177">
        <f>0.624-R24</f>
        <v>0.254</v>
      </c>
      <c r="S23" s="177">
        <f>-0.338-S24</f>
        <v>-0.22100000000000003</v>
      </c>
      <c r="T23" s="177">
        <f>-1.938-T24</f>
        <v>0.56600000000000006</v>
      </c>
      <c r="U23" s="177">
        <f>-3.504-U24</f>
        <v>0.68300000000000027</v>
      </c>
      <c r="V23" s="177">
        <f>0.177-V24</f>
        <v>-0.48600000000000004</v>
      </c>
      <c r="W23" s="177">
        <f>-0.833-W24</f>
        <v>0.67999999999999994</v>
      </c>
      <c r="X23" s="177">
        <f>-4.31-X24</f>
        <v>0.79300000000000015</v>
      </c>
      <c r="Y23" s="177">
        <f>-3.095-Y24</f>
        <v>0.96700000000000008</v>
      </c>
      <c r="Z23" s="177">
        <f>20.571-Z24</f>
        <v>1.1550000000000011</v>
      </c>
      <c r="AA23" s="177">
        <f>0.374-AA24</f>
        <v>0.36799999999999999</v>
      </c>
      <c r="AB23" s="177">
        <f>-0.17-AB24</f>
        <v>1.669</v>
      </c>
      <c r="AC23" s="7">
        <f t="shared" ref="AC23:AL23" si="16">-AC118</f>
        <v>0</v>
      </c>
      <c r="AD23" s="7">
        <f t="shared" si="16"/>
        <v>0</v>
      </c>
      <c r="AE23" s="7">
        <f t="shared" ca="1" si="16"/>
        <v>0</v>
      </c>
      <c r="AF23" s="7">
        <f t="shared" ca="1" si="16"/>
        <v>0</v>
      </c>
      <c r="AG23" s="7">
        <f t="shared" ca="1" si="16"/>
        <v>0</v>
      </c>
      <c r="AH23" s="7">
        <f t="shared" ca="1" si="16"/>
        <v>0</v>
      </c>
      <c r="AI23" s="7">
        <f t="shared" ca="1" si="16"/>
        <v>0</v>
      </c>
      <c r="AJ23" s="7">
        <f t="shared" ca="1" si="16"/>
        <v>0</v>
      </c>
      <c r="AK23" s="7">
        <f t="shared" ca="1" si="16"/>
        <v>0</v>
      </c>
      <c r="AL23" s="7">
        <f t="shared" ca="1" si="16"/>
        <v>0</v>
      </c>
      <c r="AM23" s="53"/>
    </row>
    <row r="24" spans="1:39" s="3" customFormat="1" outlineLevel="1">
      <c r="A24" s="96" t="s">
        <v>111</v>
      </c>
      <c r="D24" s="59" t="s">
        <v>111</v>
      </c>
      <c r="G24" s="177">
        <f>-0.135/4</f>
        <v>-3.3750000000000002E-2</v>
      </c>
      <c r="H24" s="177">
        <f>-0.135/4</f>
        <v>-3.3750000000000002E-2</v>
      </c>
      <c r="I24" s="177">
        <f>-0.135/4</f>
        <v>-3.3750000000000002E-2</v>
      </c>
      <c r="J24" s="177">
        <f>-0.135/4</f>
        <v>-3.3750000000000002E-2</v>
      </c>
      <c r="K24" s="177">
        <v>-8.0000000000000002E-3</v>
      </c>
      <c r="L24" s="177">
        <v>1.2999999999999999E-2</v>
      </c>
      <c r="M24" s="177">
        <v>2E-3</v>
      </c>
      <c r="N24" s="177">
        <v>0.378</v>
      </c>
      <c r="O24" s="177">
        <v>0</v>
      </c>
      <c r="P24" s="177">
        <v>0</v>
      </c>
      <c r="Q24" s="177">
        <v>0</v>
      </c>
      <c r="R24" s="177">
        <v>0.37</v>
      </c>
      <c r="S24" s="177">
        <v>-0.11700000000000001</v>
      </c>
      <c r="T24" s="177">
        <v>-2.504</v>
      </c>
      <c r="U24" s="177">
        <v>-4.1870000000000003</v>
      </c>
      <c r="V24" s="177">
        <v>0.66300000000000003</v>
      </c>
      <c r="W24" s="177">
        <v>-1.5129999999999999</v>
      </c>
      <c r="X24" s="177">
        <v>-5.1029999999999998</v>
      </c>
      <c r="Y24" s="177">
        <v>-4.0620000000000003</v>
      </c>
      <c r="Z24" s="177">
        <v>19.416</v>
      </c>
      <c r="AA24" s="177">
        <v>6.0000000000000001E-3</v>
      </c>
      <c r="AB24" s="177">
        <f>-1.833-AA24</f>
        <v>-1.839</v>
      </c>
      <c r="AC24" s="7">
        <f t="shared" ref="AC24:AL24" si="17">-AC119</f>
        <v>-7.6740065103653565</v>
      </c>
      <c r="AD24" s="7">
        <f t="shared" ca="1" si="17"/>
        <v>-8.2035712375627234</v>
      </c>
      <c r="AE24" s="7">
        <f t="shared" ca="1" si="17"/>
        <v>-8.8125673047862865</v>
      </c>
      <c r="AF24" s="7">
        <f t="shared" ca="1" si="17"/>
        <v>-9.4496304429766873</v>
      </c>
      <c r="AG24" s="7">
        <f t="shared" ca="1" si="17"/>
        <v>-10.034118695847107</v>
      </c>
      <c r="AH24" s="7">
        <f t="shared" ca="1" si="17"/>
        <v>-10.550182613843109</v>
      </c>
      <c r="AI24" s="7">
        <f t="shared" ca="1" si="17"/>
        <v>-11.127692808929547</v>
      </c>
      <c r="AJ24" s="7">
        <f t="shared" ca="1" si="17"/>
        <v>-11.572013378763163</v>
      </c>
      <c r="AK24" s="7">
        <f t="shared" ca="1" si="17"/>
        <v>-11.886048220752853</v>
      </c>
      <c r="AL24" s="7">
        <f t="shared" ca="1" si="17"/>
        <v>-11.369093517857349</v>
      </c>
      <c r="AM24" s="53"/>
    </row>
    <row r="25" spans="1:39" s="3" customFormat="1" outlineLevel="1">
      <c r="A25" s="96"/>
      <c r="D25" s="193" t="s">
        <v>113</v>
      </c>
      <c r="E25" s="193"/>
      <c r="F25" s="193"/>
      <c r="G25" s="211">
        <f t="shared" ref="G25:AL25" si="18">G22-SUM(G23:G24)</f>
        <v>-5.9099999999999984</v>
      </c>
      <c r="H25" s="211">
        <f t="shared" si="18"/>
        <v>-5.9910000000000023</v>
      </c>
      <c r="I25" s="211">
        <f t="shared" si="18"/>
        <v>5.4720000000000004</v>
      </c>
      <c r="J25" s="211">
        <f t="shared" si="18"/>
        <v>-4.3189999999999973</v>
      </c>
      <c r="K25" s="211">
        <f t="shared" si="18"/>
        <v>-11.468</v>
      </c>
      <c r="L25" s="211">
        <f t="shared" si="18"/>
        <v>-21.019999999999996</v>
      </c>
      <c r="M25" s="211">
        <f t="shared" si="18"/>
        <v>-37.989000000000004</v>
      </c>
      <c r="N25" s="211">
        <f t="shared" si="18"/>
        <v>-16.687000000000001</v>
      </c>
      <c r="O25" s="211">
        <f t="shared" si="18"/>
        <v>-17.114000000000004</v>
      </c>
      <c r="P25" s="211">
        <f t="shared" si="18"/>
        <v>-19.706</v>
      </c>
      <c r="Q25" s="211">
        <f t="shared" si="18"/>
        <v>-40.853000000000009</v>
      </c>
      <c r="R25" s="211">
        <f t="shared" si="18"/>
        <v>-28.155000000000005</v>
      </c>
      <c r="S25" s="211">
        <f t="shared" si="18"/>
        <v>-32.746000000000009</v>
      </c>
      <c r="T25" s="211">
        <f t="shared" si="18"/>
        <v>-26.134999999999994</v>
      </c>
      <c r="U25" s="211">
        <f t="shared" si="18"/>
        <v>-26.467999999999993</v>
      </c>
      <c r="V25" s="211">
        <f t="shared" si="18"/>
        <v>-34.021000000000015</v>
      </c>
      <c r="W25" s="211">
        <f t="shared" si="18"/>
        <v>-39.96299999999998</v>
      </c>
      <c r="X25" s="211">
        <f t="shared" si="18"/>
        <v>-35.510000000000012</v>
      </c>
      <c r="Y25" s="211">
        <f t="shared" si="18"/>
        <v>-107.33499999999999</v>
      </c>
      <c r="Z25" s="211">
        <f t="shared" si="18"/>
        <v>-77.501000000000019</v>
      </c>
      <c r="AA25" s="211">
        <f t="shared" si="18"/>
        <v>-41.380999999999993</v>
      </c>
      <c r="AB25" s="211">
        <f t="shared" si="18"/>
        <v>-63.536999999999992</v>
      </c>
      <c r="AC25" s="211">
        <f t="shared" si="18"/>
        <v>-57.259894731187572</v>
      </c>
      <c r="AD25" s="211">
        <f t="shared" ca="1" si="18"/>
        <v>-56.25305991471572</v>
      </c>
      <c r="AE25" s="211">
        <f t="shared" ca="1" si="18"/>
        <v>-55.812926263646375</v>
      </c>
      <c r="AF25" s="211">
        <f t="shared" ca="1" si="18"/>
        <v>-55.51657885248791</v>
      </c>
      <c r="AG25" s="211">
        <f t="shared" ca="1" si="18"/>
        <v>-54.892531689045846</v>
      </c>
      <c r="AH25" s="211">
        <f t="shared" ca="1" si="18"/>
        <v>-53.923155581864691</v>
      </c>
      <c r="AI25" s="211">
        <f t="shared" ca="1" si="18"/>
        <v>-53.295791874346754</v>
      </c>
      <c r="AJ25" s="211">
        <f t="shared" ca="1" si="18"/>
        <v>-52.074060204434119</v>
      </c>
      <c r="AK25" s="211">
        <f t="shared" ca="1" si="18"/>
        <v>-50.374204364142933</v>
      </c>
      <c r="AL25" s="211">
        <f t="shared" ca="1" si="18"/>
        <v>-45.476374071429362</v>
      </c>
      <c r="AM25" s="53"/>
    </row>
    <row r="26" spans="1:39" s="3" customFormat="1" outlineLevel="1">
      <c r="A26" s="96"/>
      <c r="G26" s="160">
        <v>-5.91</v>
      </c>
      <c r="H26" s="160">
        <v>-5.9909999999999997</v>
      </c>
      <c r="I26" s="160">
        <v>5.4720000000000004</v>
      </c>
      <c r="J26" s="160">
        <v>-4.319</v>
      </c>
      <c r="K26" s="160">
        <v>-11.468</v>
      </c>
      <c r="L26" s="160">
        <v>-21.02</v>
      </c>
      <c r="M26" s="160">
        <v>-37.988999999999997</v>
      </c>
      <c r="N26" s="160">
        <v>-16.687000000000001</v>
      </c>
      <c r="O26" s="160">
        <v>-17.114000000000001</v>
      </c>
      <c r="P26" s="160">
        <v>-19.706</v>
      </c>
      <c r="Q26" s="160">
        <v>-40.853000000000002</v>
      </c>
      <c r="R26" s="160">
        <v>-28.155000000000001</v>
      </c>
      <c r="S26" s="160">
        <v>-32.746000000000002</v>
      </c>
      <c r="T26" s="160">
        <v>-26.135000000000002</v>
      </c>
      <c r="U26" s="160">
        <v>-26.468</v>
      </c>
      <c r="V26" s="160">
        <v>-34.021000000000001</v>
      </c>
      <c r="W26" s="160">
        <v>-39.963000000000001</v>
      </c>
      <c r="X26" s="160">
        <v>-35.51</v>
      </c>
      <c r="Y26" s="160">
        <v>-107.33499999999999</v>
      </c>
      <c r="Z26" s="160">
        <v>-77.501000000000005</v>
      </c>
      <c r="AA26" s="160">
        <v>-41.381</v>
      </c>
      <c r="AB26" s="160">
        <v>-63.536999999999999</v>
      </c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53"/>
    </row>
    <row r="27" spans="1:39" s="3" customFormat="1" outlineLevel="1">
      <c r="A27" s="96"/>
      <c r="D27" s="3" t="s">
        <v>116</v>
      </c>
      <c r="G27" s="160">
        <f t="shared" ref="G27:AA27" si="19">G26-G25</f>
        <v>0</v>
      </c>
      <c r="H27" s="160">
        <f t="shared" si="19"/>
        <v>0</v>
      </c>
      <c r="I27" s="160">
        <f t="shared" si="19"/>
        <v>0</v>
      </c>
      <c r="J27" s="160">
        <f t="shared" si="19"/>
        <v>0</v>
      </c>
      <c r="K27" s="160">
        <f t="shared" si="19"/>
        <v>0</v>
      </c>
      <c r="L27" s="160">
        <f t="shared" si="19"/>
        <v>0</v>
      </c>
      <c r="M27" s="160">
        <f t="shared" si="19"/>
        <v>0</v>
      </c>
      <c r="N27" s="160">
        <f t="shared" si="19"/>
        <v>0</v>
      </c>
      <c r="O27" s="160">
        <f t="shared" si="19"/>
        <v>0</v>
      </c>
      <c r="P27" s="160">
        <f t="shared" si="19"/>
        <v>0</v>
      </c>
      <c r="Q27" s="160">
        <f t="shared" si="19"/>
        <v>0</v>
      </c>
      <c r="R27" s="160">
        <f t="shared" si="19"/>
        <v>0</v>
      </c>
      <c r="S27" s="160">
        <f t="shared" si="19"/>
        <v>0</v>
      </c>
      <c r="T27" s="160">
        <f t="shared" si="19"/>
        <v>0</v>
      </c>
      <c r="U27" s="160">
        <f t="shared" si="19"/>
        <v>0</v>
      </c>
      <c r="V27" s="160">
        <f t="shared" si="19"/>
        <v>0</v>
      </c>
      <c r="W27" s="160">
        <f t="shared" si="19"/>
        <v>0</v>
      </c>
      <c r="X27" s="160">
        <f t="shared" si="19"/>
        <v>0</v>
      </c>
      <c r="Y27" s="160">
        <f t="shared" si="19"/>
        <v>0</v>
      </c>
      <c r="Z27" s="160">
        <f t="shared" si="19"/>
        <v>0</v>
      </c>
      <c r="AA27" s="160">
        <f t="shared" si="19"/>
        <v>0</v>
      </c>
      <c r="AB27" s="160">
        <f>AB26-AB25</f>
        <v>0</v>
      </c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53"/>
    </row>
    <row r="28" spans="1:39" s="73" customFormat="1" outlineLevel="1">
      <c r="A28" s="96"/>
      <c r="D28" s="73" t="s">
        <v>528</v>
      </c>
      <c r="G28" s="167" t="str">
        <f t="shared" ref="G28:AA28" si="20">IFERROR(G11/C11-1,"na")</f>
        <v>na</v>
      </c>
      <c r="H28" s="167" t="str">
        <f t="shared" si="20"/>
        <v>na</v>
      </c>
      <c r="I28" s="167" t="str">
        <f t="shared" si="20"/>
        <v>na</v>
      </c>
      <c r="J28" s="167" t="str">
        <f t="shared" si="20"/>
        <v>na</v>
      </c>
      <c r="K28" s="167">
        <f t="shared" si="20"/>
        <v>0.67055440166160718</v>
      </c>
      <c r="L28" s="167">
        <f t="shared" si="20"/>
        <v>0.57203860574920151</v>
      </c>
      <c r="M28" s="167">
        <f t="shared" si="20"/>
        <v>0.1807569862044569</v>
      </c>
      <c r="N28" s="167">
        <f t="shared" si="20"/>
        <v>0.43519524178950086</v>
      </c>
      <c r="O28" s="167">
        <f t="shared" si="20"/>
        <v>0.47587509563886754</v>
      </c>
      <c r="P28" s="167">
        <f t="shared" si="20"/>
        <v>0.48901305183189425</v>
      </c>
      <c r="Q28" s="167">
        <f t="shared" si="20"/>
        <v>0.4767525464349911</v>
      </c>
      <c r="R28" s="167">
        <f t="shared" si="20"/>
        <v>0.51227950053154125</v>
      </c>
      <c r="S28" s="167">
        <f t="shared" si="20"/>
        <v>0.47828340920504808</v>
      </c>
      <c r="T28" s="167">
        <f t="shared" si="20"/>
        <v>0.47901340768865674</v>
      </c>
      <c r="U28" s="167">
        <f t="shared" si="20"/>
        <v>0.5439607254432588</v>
      </c>
      <c r="V28" s="167">
        <f t="shared" si="20"/>
        <v>0.50036935541522687</v>
      </c>
      <c r="W28" s="167">
        <f t="shared" si="20"/>
        <v>0.51293150684931521</v>
      </c>
      <c r="X28" s="167">
        <f t="shared" si="20"/>
        <v>0.52854463954432851</v>
      </c>
      <c r="Y28" s="167">
        <f t="shared" si="20"/>
        <v>0.50967046828191509</v>
      </c>
      <c r="Z28" s="167">
        <f t="shared" si="20"/>
        <v>0.5373790956593556</v>
      </c>
      <c r="AA28" s="167">
        <f t="shared" si="20"/>
        <v>0.53682952446488708</v>
      </c>
      <c r="AB28" s="167">
        <f>IFERROR(AB11/X11-1,"na")</f>
        <v>0.53854278741438577</v>
      </c>
      <c r="AC28" s="167">
        <f t="shared" ref="AC28:AL28" si="21">IFERROR(AC11/Y11-1,"na")</f>
        <v>0.47739753374469474</v>
      </c>
      <c r="AD28" s="167">
        <f t="shared" si="21"/>
        <v>0.40346026792308809</v>
      </c>
      <c r="AE28" s="167">
        <f t="shared" si="21"/>
        <v>0.37072624746897409</v>
      </c>
      <c r="AF28" s="167">
        <f t="shared" si="21"/>
        <v>0.34930112119801837</v>
      </c>
      <c r="AG28" s="167">
        <f t="shared" si="21"/>
        <v>0.32252621361030154</v>
      </c>
      <c r="AH28" s="167">
        <f t="shared" si="21"/>
        <v>0.33832569783494493</v>
      </c>
      <c r="AI28" s="167">
        <f t="shared" si="21"/>
        <v>0.32140824134462931</v>
      </c>
      <c r="AJ28" s="167">
        <f t="shared" si="21"/>
        <v>0.31629988728301806</v>
      </c>
      <c r="AK28" s="167">
        <f t="shared" si="21"/>
        <v>0.30936393365286485</v>
      </c>
      <c r="AL28" s="167">
        <f t="shared" si="21"/>
        <v>0.30457777256330276</v>
      </c>
    </row>
    <row r="29" spans="1:39" s="73" customFormat="1" outlineLevel="1">
      <c r="A29" s="96"/>
      <c r="D29" s="73" t="s">
        <v>148</v>
      </c>
      <c r="G29" s="167">
        <f t="shared" ref="G29:AB29" si="22">IFERROR(G13/G$11,"na")</f>
        <v>0.81403322035885828</v>
      </c>
      <c r="H29" s="167">
        <f t="shared" si="22"/>
        <v>0.82983786702802131</v>
      </c>
      <c r="I29" s="167">
        <f t="shared" si="22"/>
        <v>0.894031868479365</v>
      </c>
      <c r="J29" s="167">
        <f t="shared" si="22"/>
        <v>0.8467034481039335</v>
      </c>
      <c r="K29" s="167">
        <f t="shared" si="22"/>
        <v>0.85026563961744106</v>
      </c>
      <c r="L29" s="167">
        <f t="shared" si="22"/>
        <v>0.8398420946675238</v>
      </c>
      <c r="M29" s="167">
        <f t="shared" si="22"/>
        <v>0.85060515278609938</v>
      </c>
      <c r="N29" s="167">
        <f t="shared" si="22"/>
        <v>0.8393124200436044</v>
      </c>
      <c r="O29" s="167">
        <f t="shared" si="22"/>
        <v>0.84009810185515343</v>
      </c>
      <c r="P29" s="167">
        <f t="shared" si="22"/>
        <v>0.85516009828528328</v>
      </c>
      <c r="Q29" s="167">
        <f t="shared" si="22"/>
        <v>0.86007492460204749</v>
      </c>
      <c r="R29" s="167">
        <f t="shared" si="22"/>
        <v>0.85832539020612419</v>
      </c>
      <c r="S29" s="167">
        <f t="shared" si="22"/>
        <v>0.85946082191780815</v>
      </c>
      <c r="T29" s="167">
        <f t="shared" si="22"/>
        <v>0.84525325658587458</v>
      </c>
      <c r="U29" s="167">
        <f t="shared" si="22"/>
        <v>0.84955939804838743</v>
      </c>
      <c r="V29" s="167">
        <f t="shared" si="22"/>
        <v>0.85678255483379129</v>
      </c>
      <c r="W29" s="167">
        <f t="shared" si="22"/>
        <v>0.851672883995509</v>
      </c>
      <c r="X29" s="167">
        <f t="shared" si="22"/>
        <v>0.85070689112236597</v>
      </c>
      <c r="Y29" s="167">
        <f t="shared" si="22"/>
        <v>0.85705872454989063</v>
      </c>
      <c r="Z29" s="167">
        <f t="shared" si="22"/>
        <v>0.85188691915122206</v>
      </c>
      <c r="AA29" s="167">
        <f t="shared" si="22"/>
        <v>0.84830605136519821</v>
      </c>
      <c r="AB29" s="167">
        <f t="shared" si="22"/>
        <v>0.84673243304323353</v>
      </c>
      <c r="AC29" s="166">
        <v>0.84730605136519832</v>
      </c>
      <c r="AD29" s="166">
        <f t="shared" ref="AD29:AL29" si="23">AC29-0.0005</f>
        <v>0.84680605136519838</v>
      </c>
      <c r="AE29" s="166">
        <f t="shared" si="23"/>
        <v>0.84630605136519843</v>
      </c>
      <c r="AF29" s="166">
        <f t="shared" si="23"/>
        <v>0.84580605136519849</v>
      </c>
      <c r="AG29" s="166">
        <f t="shared" si="23"/>
        <v>0.84530605136519854</v>
      </c>
      <c r="AH29" s="166">
        <f t="shared" si="23"/>
        <v>0.8448060513651986</v>
      </c>
      <c r="AI29" s="166">
        <f t="shared" si="23"/>
        <v>0.84430605136519865</v>
      </c>
      <c r="AJ29" s="166">
        <f t="shared" si="23"/>
        <v>0.84380605136519871</v>
      </c>
      <c r="AK29" s="166">
        <f t="shared" si="23"/>
        <v>0.84330605136519876</v>
      </c>
      <c r="AL29" s="166">
        <f t="shared" si="23"/>
        <v>0.84280605136519882</v>
      </c>
    </row>
    <row r="30" spans="1:39" s="73" customFormat="1" outlineLevel="1">
      <c r="A30" s="96"/>
      <c r="D30" s="69" t="s">
        <v>621</v>
      </c>
      <c r="G30" s="167">
        <f t="shared" ref="G30:AL30" si="24">G12/G11</f>
        <v>0.18596677964114169</v>
      </c>
      <c r="H30" s="167">
        <f t="shared" si="24"/>
        <v>0.17016213297197874</v>
      </c>
      <c r="I30" s="167">
        <f t="shared" si="24"/>
        <v>0.10596813152063499</v>
      </c>
      <c r="J30" s="167">
        <f t="shared" si="24"/>
        <v>0.15329655189606642</v>
      </c>
      <c r="K30" s="167">
        <f t="shared" si="24"/>
        <v>0.149734360382559</v>
      </c>
      <c r="L30" s="167">
        <f t="shared" si="24"/>
        <v>0.16015790533247617</v>
      </c>
      <c r="M30" s="167">
        <f t="shared" si="24"/>
        <v>0.14939484721390053</v>
      </c>
      <c r="N30" s="167">
        <f t="shared" si="24"/>
        <v>0.1606875799563956</v>
      </c>
      <c r="O30" s="167">
        <f t="shared" si="24"/>
        <v>0.15990189814484648</v>
      </c>
      <c r="P30" s="167">
        <f t="shared" si="24"/>
        <v>0.14483990171471672</v>
      </c>
      <c r="Q30" s="167">
        <f t="shared" si="24"/>
        <v>0.13992507539795243</v>
      </c>
      <c r="R30" s="167">
        <f t="shared" si="24"/>
        <v>0.14167460979387589</v>
      </c>
      <c r="S30" s="167">
        <f t="shared" si="24"/>
        <v>0.14053917808219177</v>
      </c>
      <c r="T30" s="167">
        <f t="shared" si="24"/>
        <v>0.15474674341412539</v>
      </c>
      <c r="U30" s="167">
        <f t="shared" si="24"/>
        <v>0.15044060195161263</v>
      </c>
      <c r="V30" s="167">
        <f t="shared" si="24"/>
        <v>0.14321744516620874</v>
      </c>
      <c r="W30" s="167">
        <f t="shared" si="24"/>
        <v>0.14832711600449097</v>
      </c>
      <c r="X30" s="167">
        <f t="shared" si="24"/>
        <v>0.14929310887763403</v>
      </c>
      <c r="Y30" s="167">
        <f t="shared" si="24"/>
        <v>0.14294127545010935</v>
      </c>
      <c r="Z30" s="167">
        <f t="shared" si="24"/>
        <v>0.14811308084877786</v>
      </c>
      <c r="AA30" s="167">
        <f t="shared" si="24"/>
        <v>0.15169394863480185</v>
      </c>
      <c r="AB30" s="167">
        <f t="shared" si="24"/>
        <v>0.15326756695676649</v>
      </c>
      <c r="AC30" s="167">
        <f t="shared" si="24"/>
        <v>0.15269394863480173</v>
      </c>
      <c r="AD30" s="167">
        <f t="shared" si="24"/>
        <v>0.15319394863480165</v>
      </c>
      <c r="AE30" s="167">
        <f t="shared" si="24"/>
        <v>0.15369394863480154</v>
      </c>
      <c r="AF30" s="167">
        <f t="shared" si="24"/>
        <v>0.15419394863480143</v>
      </c>
      <c r="AG30" s="167">
        <f t="shared" si="24"/>
        <v>0.15469394863480149</v>
      </c>
      <c r="AH30" s="167">
        <f t="shared" si="24"/>
        <v>0.1551939486348014</v>
      </c>
      <c r="AI30" s="167">
        <f t="shared" si="24"/>
        <v>0.15569394863480129</v>
      </c>
      <c r="AJ30" s="167">
        <f t="shared" si="24"/>
        <v>0.15619394863480124</v>
      </c>
      <c r="AK30" s="167">
        <f t="shared" si="24"/>
        <v>0.15669394863480127</v>
      </c>
      <c r="AL30" s="167">
        <f t="shared" si="24"/>
        <v>0.15719394863480124</v>
      </c>
    </row>
    <row r="31" spans="1:39" s="73" customFormat="1" outlineLevel="1">
      <c r="A31" s="96"/>
      <c r="D31" s="73" t="s">
        <v>220</v>
      </c>
      <c r="G31" s="187">
        <f t="shared" ref="G31:AL31" si="25">IFERROR(G18/G$11,"na")</f>
        <v>-0.21465090270011178</v>
      </c>
      <c r="H31" s="187">
        <f t="shared" si="25"/>
        <v>-0.18778641855297884</v>
      </c>
      <c r="I31" s="187">
        <f t="shared" si="25"/>
        <v>0.11717957787996701</v>
      </c>
      <c r="J31" s="187">
        <f t="shared" si="25"/>
        <v>-0.10126713214378062</v>
      </c>
      <c r="K31" s="187">
        <f t="shared" si="25"/>
        <v>-0.25949215761285394</v>
      </c>
      <c r="L31" s="187">
        <f t="shared" si="25"/>
        <v>-0.45239725271085002</v>
      </c>
      <c r="M31" s="187">
        <f t="shared" si="25"/>
        <v>-0.26299181146395062</v>
      </c>
      <c r="N31" s="187">
        <f t="shared" si="25"/>
        <v>-0.30798753130687045</v>
      </c>
      <c r="O31" s="187">
        <f t="shared" si="25"/>
        <v>-0.27778767800152293</v>
      </c>
      <c r="P31" s="187">
        <f t="shared" si="25"/>
        <v>-0.29323386331276696</v>
      </c>
      <c r="Q31" s="187">
        <f t="shared" si="25"/>
        <v>-0.55565924182794391</v>
      </c>
      <c r="R31" s="187">
        <f t="shared" si="25"/>
        <v>-0.35674967234600269</v>
      </c>
      <c r="S31" s="187">
        <f t="shared" si="25"/>
        <v>-0.32592876712328783</v>
      </c>
      <c r="T31" s="187">
        <f t="shared" si="25"/>
        <v>-0.24824259684519806</v>
      </c>
      <c r="U31" s="187">
        <f t="shared" si="25"/>
        <v>-0.18615651442686704</v>
      </c>
      <c r="V31" s="187">
        <f t="shared" si="25"/>
        <v>-0.19647253148674629</v>
      </c>
      <c r="W31" s="187">
        <f t="shared" si="25"/>
        <v>-0.22638803375466282</v>
      </c>
      <c r="X31" s="187">
        <f t="shared" si="25"/>
        <v>-0.18941401842181235</v>
      </c>
      <c r="Y31" s="187">
        <f t="shared" si="25"/>
        <v>-0.1537247529693003</v>
      </c>
      <c r="Z31" s="187">
        <f t="shared" si="25"/>
        <v>-0.21211182049215904</v>
      </c>
      <c r="AA31" s="187">
        <f t="shared" si="25"/>
        <v>-0.17620553620497056</v>
      </c>
      <c r="AB31" s="187">
        <f t="shared" si="25"/>
        <v>-0.27076075508385317</v>
      </c>
      <c r="AC31" s="187">
        <f t="shared" si="25"/>
        <v>-0.19974127591229343</v>
      </c>
      <c r="AD31" s="187">
        <f t="shared" si="25"/>
        <v>-0.18414111285250512</v>
      </c>
      <c r="AE31" s="187">
        <f t="shared" si="25"/>
        <v>-0.17236178145538297</v>
      </c>
      <c r="AF31" s="187">
        <f t="shared" si="25"/>
        <v>-0.15829250723132129</v>
      </c>
      <c r="AG31" s="187">
        <f t="shared" si="25"/>
        <v>-0.14823112907981781</v>
      </c>
      <c r="AH31" s="187">
        <f t="shared" si="25"/>
        <v>-0.13516199300783421</v>
      </c>
      <c r="AI31" s="187">
        <f t="shared" si="25"/>
        <v>-0.12726723259790074</v>
      </c>
      <c r="AJ31" s="187">
        <f t="shared" si="25"/>
        <v>-0.11496926405108512</v>
      </c>
      <c r="AK31" s="187">
        <f t="shared" si="25"/>
        <v>-0.10480249000260891</v>
      </c>
      <c r="AL31" s="187">
        <f t="shared" si="25"/>
        <v>-8.5666323391730345E-2</v>
      </c>
    </row>
    <row r="32" spans="1:39" s="73" customFormat="1" outlineLevel="1">
      <c r="A32" s="96"/>
      <c r="D32" s="73" t="s">
        <v>469</v>
      </c>
      <c r="G32" s="187">
        <f t="shared" ref="G32:AK32" si="26">(G18+G17+G139)/G11</f>
        <v>-0.12441631054949845</v>
      </c>
      <c r="H32" s="187">
        <f t="shared" si="26"/>
        <v>-9.7551826402365524E-2</v>
      </c>
      <c r="I32" s="187">
        <f t="shared" si="26"/>
        <v>0.20741417003058032</v>
      </c>
      <c r="J32" s="187">
        <f t="shared" si="26"/>
        <v>-1.1032539993167296E-2</v>
      </c>
      <c r="K32" s="187">
        <f t="shared" si="26"/>
        <v>-0.12987758224942622</v>
      </c>
      <c r="L32" s="187">
        <f t="shared" si="26"/>
        <v>-0.32000176674543407</v>
      </c>
      <c r="M32" s="187">
        <f t="shared" si="26"/>
        <v>-0.12376672658278423</v>
      </c>
      <c r="N32" s="187">
        <f t="shared" si="26"/>
        <v>-0.17144453053208172</v>
      </c>
      <c r="O32" s="187">
        <f t="shared" si="26"/>
        <v>-0.14026276993860071</v>
      </c>
      <c r="P32" s="187">
        <f t="shared" si="26"/>
        <v>-0.15122211675367822</v>
      </c>
      <c r="Q32" s="187">
        <f t="shared" si="26"/>
        <v>-0.41255866163562849</v>
      </c>
      <c r="R32" s="187">
        <f t="shared" si="26"/>
        <v>-0.217883950911474</v>
      </c>
      <c r="S32" s="187">
        <f t="shared" si="26"/>
        <v>-0.12203835616438372</v>
      </c>
      <c r="T32" s="187">
        <f t="shared" si="26"/>
        <v>-4.4654586295765124E-2</v>
      </c>
      <c r="U32" s="187">
        <f t="shared" si="26"/>
        <v>9.5390760498239528E-3</v>
      </c>
      <c r="V32" s="187">
        <f t="shared" si="26"/>
        <v>3.867350666264216E-3</v>
      </c>
      <c r="W32" s="187">
        <f t="shared" si="26"/>
        <v>-3.3537358299228402E-2</v>
      </c>
      <c r="X32" s="187">
        <f t="shared" si="26"/>
        <v>-2.1780775185662234E-3</v>
      </c>
      <c r="Y32" s="187">
        <f t="shared" si="26"/>
        <v>2.9272340104556489E-2</v>
      </c>
      <c r="Z32" s="187">
        <f t="shared" si="26"/>
        <v>-3.5135023450897883E-2</v>
      </c>
      <c r="AA32" s="187">
        <f t="shared" si="26"/>
        <v>4.2466547578087566E-3</v>
      </c>
      <c r="AB32" s="187">
        <f t="shared" si="26"/>
        <v>-7.7214018599930878E-2</v>
      </c>
      <c r="AC32" s="187">
        <f t="shared" si="26"/>
        <v>-8.5454374078283209E-3</v>
      </c>
      <c r="AD32" s="187">
        <f t="shared" si="26"/>
        <v>8.3565468857195995E-3</v>
      </c>
      <c r="AE32" s="187">
        <f t="shared" si="26"/>
        <v>1.3056332335363687E-2</v>
      </c>
      <c r="AF32" s="187">
        <f t="shared" si="26"/>
        <v>2.402461292440344E-2</v>
      </c>
      <c r="AG32" s="187">
        <f t="shared" si="26"/>
        <v>3.0470016695783201E-2</v>
      </c>
      <c r="AH32" s="187">
        <f t="shared" si="26"/>
        <v>3.9908085802620626E-2</v>
      </c>
      <c r="AI32" s="187">
        <f t="shared" si="26"/>
        <v>4.6208714974030819E-2</v>
      </c>
      <c r="AJ32" s="187">
        <f t="shared" si="26"/>
        <v>5.2575566141687603E-2</v>
      </c>
      <c r="AK32" s="187">
        <f t="shared" si="26"/>
        <v>6.0376971404346155E-2</v>
      </c>
      <c r="AL32" s="187">
        <f>(AL18+AL17+AL139)/AL11</f>
        <v>6.5638024140426493E-2</v>
      </c>
    </row>
    <row r="33" spans="1:38" s="73" customFormat="1" outlineLevel="1">
      <c r="A33" s="96"/>
      <c r="D33" s="69" t="str">
        <f>D14&amp;" as a % of rev"</f>
        <v>S&amp;M as a % of rev</v>
      </c>
      <c r="G33" s="187">
        <f t="shared" ref="G33:AA33" si="27">IFERROR(G14/G$11,"na")</f>
        <v>0.51407129422672271</v>
      </c>
      <c r="H33" s="187">
        <f t="shared" si="27"/>
        <v>0.51257530070014512</v>
      </c>
      <c r="I33" s="187">
        <f t="shared" si="27"/>
        <v>0.38833703405164727</v>
      </c>
      <c r="J33" s="187">
        <f t="shared" si="27"/>
        <v>0.44779877594190726</v>
      </c>
      <c r="K33" s="187">
        <f t="shared" si="27"/>
        <v>0.41096878795278119</v>
      </c>
      <c r="L33" s="187">
        <f t="shared" si="27"/>
        <v>0.46535724504014658</v>
      </c>
      <c r="M33" s="187">
        <f t="shared" si="27"/>
        <v>0.44760135809866186</v>
      </c>
      <c r="N33" s="187">
        <f t="shared" si="27"/>
        <v>0.46681922196796333</v>
      </c>
      <c r="O33" s="187">
        <f t="shared" si="27"/>
        <v>0.45778933398724125</v>
      </c>
      <c r="P33" s="187">
        <f t="shared" si="27"/>
        <v>0.48908679077138045</v>
      </c>
      <c r="Q33" s="187">
        <f t="shared" si="27"/>
        <v>0.57374663583127083</v>
      </c>
      <c r="R33" s="187">
        <f t="shared" si="27"/>
        <v>0.52051411890861432</v>
      </c>
      <c r="S33" s="187">
        <f t="shared" si="27"/>
        <v>0.47232219178082196</v>
      </c>
      <c r="T33" s="187">
        <f t="shared" si="27"/>
        <v>0.47142026253246549</v>
      </c>
      <c r="U33" s="187">
        <f t="shared" si="27"/>
        <v>0.44601706347120756</v>
      </c>
      <c r="V33" s="187">
        <f t="shared" si="27"/>
        <v>0.45929831805981292</v>
      </c>
      <c r="W33" s="187">
        <f t="shared" si="27"/>
        <v>0.4592234978812792</v>
      </c>
      <c r="X33" s="187">
        <f t="shared" si="27"/>
        <v>0.45007249324271131</v>
      </c>
      <c r="Y33" s="187">
        <f t="shared" si="27"/>
        <v>0.44974673188393183</v>
      </c>
      <c r="Z33" s="187">
        <f t="shared" si="27"/>
        <v>0.44936723899254116</v>
      </c>
      <c r="AA33" s="187">
        <f t="shared" si="27"/>
        <v>0.42258998807543113</v>
      </c>
      <c r="AB33" s="187">
        <f>IFERROR(AB14/AB$11,"na")</f>
        <v>0.45320147366715419</v>
      </c>
      <c r="AC33" s="166">
        <v>0.42499999999999999</v>
      </c>
      <c r="AD33" s="166">
        <f>AC33-0.003</f>
        <v>0.42199999999999999</v>
      </c>
      <c r="AE33" s="166">
        <f>AD33-0.003</f>
        <v>0.41899999999999998</v>
      </c>
      <c r="AF33" s="166">
        <f>AE33-0.003</f>
        <v>0.41599999999999998</v>
      </c>
      <c r="AG33" s="166">
        <f>AF33-0.003</f>
        <v>0.41299999999999998</v>
      </c>
      <c r="AH33" s="166">
        <f>AG33-0.003</f>
        <v>0.41</v>
      </c>
      <c r="AI33" s="166">
        <f>AH33-0.0035</f>
        <v>0.40649999999999997</v>
      </c>
      <c r="AJ33" s="166">
        <f>AI33-0.0035</f>
        <v>0.40299999999999997</v>
      </c>
      <c r="AK33" s="166">
        <f>AJ33-0.0035</f>
        <v>0.39949999999999997</v>
      </c>
      <c r="AL33" s="166">
        <f>AK33-0.0035</f>
        <v>0.39599999999999996</v>
      </c>
    </row>
    <row r="34" spans="1:38" s="73" customFormat="1" outlineLevel="1">
      <c r="A34" s="96"/>
      <c r="D34" s="69" t="str">
        <f>D15&amp;" as a % of rev"</f>
        <v>R&amp;D as a % of rev</v>
      </c>
      <c r="G34" s="187">
        <f t="shared" ref="G34:AA34" si="28">IFERROR(G15/G$11,"na")</f>
        <v>0.29494683345024092</v>
      </c>
      <c r="H34" s="187">
        <f t="shared" si="28"/>
        <v>0.28552350233880647</v>
      </c>
      <c r="I34" s="187">
        <f t="shared" si="28"/>
        <v>0.1940203261162623</v>
      </c>
      <c r="J34" s="187">
        <f t="shared" si="28"/>
        <v>0.24135967586432777</v>
      </c>
      <c r="K34" s="187">
        <f t="shared" si="28"/>
        <v>0.26543034112799163</v>
      </c>
      <c r="L34" s="187">
        <f t="shared" si="28"/>
        <v>0.28353705555669884</v>
      </c>
      <c r="M34" s="187">
        <f t="shared" si="28"/>
        <v>0.29215897743159575</v>
      </c>
      <c r="N34" s="187">
        <f t="shared" si="28"/>
        <v>0.27279770806681203</v>
      </c>
      <c r="O34" s="187">
        <f t="shared" si="28"/>
        <v>0.28203156186159117</v>
      </c>
      <c r="P34" s="187">
        <f t="shared" si="28"/>
        <v>0.27576512489572791</v>
      </c>
      <c r="Q34" s="187">
        <f t="shared" si="28"/>
        <v>0.37281616423905545</v>
      </c>
      <c r="R34" s="187">
        <f t="shared" si="28"/>
        <v>0.30939771237936375</v>
      </c>
      <c r="S34" s="187">
        <f t="shared" si="28"/>
        <v>0.29820712328767118</v>
      </c>
      <c r="T34" s="187">
        <f t="shared" si="28"/>
        <v>0.27857221648399033</v>
      </c>
      <c r="U34" s="187">
        <f t="shared" si="28"/>
        <v>0.26682433734517613</v>
      </c>
      <c r="V34" s="187">
        <f t="shared" si="28"/>
        <v>0.27223607515524989</v>
      </c>
      <c r="W34" s="187">
        <f t="shared" si="28"/>
        <v>0.28257650936221068</v>
      </c>
      <c r="X34" s="187">
        <f t="shared" si="28"/>
        <v>0.26775034770514605</v>
      </c>
      <c r="Y34" s="187">
        <f t="shared" si="28"/>
        <v>0.26793909960718781</v>
      </c>
      <c r="Z34" s="187">
        <f t="shared" si="28"/>
        <v>0.31569712184136034</v>
      </c>
      <c r="AA34" s="187">
        <f t="shared" si="28"/>
        <v>0.30013927707890481</v>
      </c>
      <c r="AB34" s="187">
        <f>IFERROR(AB15/AB$11,"na")</f>
        <v>0.3125080484570415</v>
      </c>
      <c r="AC34" s="166">
        <v>0.30499999999999999</v>
      </c>
      <c r="AD34" s="166">
        <v>0.29499999999999998</v>
      </c>
      <c r="AE34" s="166">
        <v>0.28999999999999998</v>
      </c>
      <c r="AF34" s="166">
        <f>AE34-0.005</f>
        <v>0.28499999999999998</v>
      </c>
      <c r="AG34" s="166">
        <f>AF34-0.005</f>
        <v>0.27999999999999997</v>
      </c>
      <c r="AH34" s="166">
        <f>AG34-0.005</f>
        <v>0.27499999999999997</v>
      </c>
      <c r="AI34" s="166">
        <f>AH34-0.003</f>
        <v>0.27199999999999996</v>
      </c>
      <c r="AJ34" s="166">
        <f>AI34-0.003</f>
        <v>0.26899999999999996</v>
      </c>
      <c r="AK34" s="166">
        <f>AJ34-0.003</f>
        <v>0.26599999999999996</v>
      </c>
      <c r="AL34" s="166">
        <f>AK34-0.003</f>
        <v>0.26299999999999996</v>
      </c>
    </row>
    <row r="35" spans="1:38" s="73" customFormat="1" outlineLevel="1">
      <c r="A35" s="96"/>
      <c r="D35" s="218" t="s">
        <v>532</v>
      </c>
      <c r="G35" s="187">
        <f t="shared" ref="G35:AL35" si="29">(G15-G155)/G11</f>
        <v>0.29494683345024092</v>
      </c>
      <c r="H35" s="187">
        <f t="shared" si="29"/>
        <v>0.28552350233880647</v>
      </c>
      <c r="I35" s="187">
        <f t="shared" si="29"/>
        <v>0.1940203261162623</v>
      </c>
      <c r="J35" s="187">
        <f t="shared" si="29"/>
        <v>0.24135967586432777</v>
      </c>
      <c r="K35" s="187">
        <f t="shared" si="29"/>
        <v>0.30987850486173307</v>
      </c>
      <c r="L35" s="187">
        <f t="shared" si="29"/>
        <v>0.32233920215240119</v>
      </c>
      <c r="M35" s="187">
        <f t="shared" si="29"/>
        <v>0.33268224485719988</v>
      </c>
      <c r="N35" s="187">
        <f t="shared" si="29"/>
        <v>0.33997008955116309</v>
      </c>
      <c r="O35" s="187">
        <f t="shared" si="29"/>
        <v>0.33706420559933964</v>
      </c>
      <c r="P35" s="187">
        <f t="shared" si="29"/>
        <v>0.33618871293559505</v>
      </c>
      <c r="Q35" s="187">
        <f t="shared" si="29"/>
        <v>0.42503347263358621</v>
      </c>
      <c r="R35" s="187">
        <f t="shared" si="29"/>
        <v>0.3410669605623734</v>
      </c>
      <c r="S35" s="187">
        <f t="shared" si="29"/>
        <v>0.35214684931506846</v>
      </c>
      <c r="T35" s="187">
        <f t="shared" si="29"/>
        <v>0.32812045607244211</v>
      </c>
      <c r="U35" s="187">
        <f t="shared" si="29"/>
        <v>0.30597922250836534</v>
      </c>
      <c r="V35" s="187">
        <f t="shared" si="29"/>
        <v>0.3060178199895176</v>
      </c>
      <c r="W35" s="187">
        <f t="shared" si="29"/>
        <v>0.30753033211401248</v>
      </c>
      <c r="X35" s="187">
        <f t="shared" si="29"/>
        <v>0.29174856325609466</v>
      </c>
      <c r="Y35" s="187">
        <f t="shared" si="29"/>
        <v>0.29115969526594604</v>
      </c>
      <c r="Z35" s="187">
        <f t="shared" si="29"/>
        <v>0.33453532097770616</v>
      </c>
      <c r="AA35" s="187">
        <f t="shared" si="29"/>
        <v>0.32112746091522243</v>
      </c>
      <c r="AB35" s="187">
        <f t="shared" si="29"/>
        <v>0.33630589680065837</v>
      </c>
      <c r="AC35" s="187">
        <f t="shared" si="29"/>
        <v>0.32651455393396167</v>
      </c>
      <c r="AD35" s="187">
        <f t="shared" si="29"/>
        <v>0.31520811807934557</v>
      </c>
      <c r="AE35" s="187">
        <f t="shared" si="29"/>
        <v>0.30890887591495758</v>
      </c>
      <c r="AF35" s="187">
        <f t="shared" si="29"/>
        <v>0.30239264506385816</v>
      </c>
      <c r="AG35" s="187">
        <f t="shared" si="29"/>
        <v>0.29634482904397724</v>
      </c>
      <c r="AH35" s="187">
        <f t="shared" si="29"/>
        <v>0.29012677740724813</v>
      </c>
      <c r="AI35" s="187">
        <f t="shared" si="29"/>
        <v>0.28629354174565247</v>
      </c>
      <c r="AJ35" s="187">
        <f t="shared" si="29"/>
        <v>0.28215980584878586</v>
      </c>
      <c r="AK35" s="187">
        <f t="shared" si="29"/>
        <v>0.27839609737003812</v>
      </c>
      <c r="AL35" s="187">
        <f t="shared" si="29"/>
        <v>0.27448064860322396</v>
      </c>
    </row>
    <row r="36" spans="1:38" s="73" customFormat="1" outlineLevel="1">
      <c r="A36" s="96"/>
      <c r="D36" s="69" t="str">
        <f>D16&amp;" as a % of rev"</f>
        <v>G&amp;A as a % of rev</v>
      </c>
      <c r="G36" s="187">
        <f t="shared" ref="G36:AB36" si="30">IFERROR(G16/G$11,"na")</f>
        <v>0.12943140323139307</v>
      </c>
      <c r="H36" s="187">
        <f t="shared" si="30"/>
        <v>0.12929089039143521</v>
      </c>
      <c r="I36" s="187">
        <f t="shared" si="30"/>
        <v>0.10426033828087515</v>
      </c>
      <c r="J36" s="187">
        <f t="shared" si="30"/>
        <v>0.1685775362908658</v>
      </c>
      <c r="K36" s="187">
        <f t="shared" si="30"/>
        <v>0.30374409278609438</v>
      </c>
      <c r="L36" s="187">
        <f t="shared" si="30"/>
        <v>0.41094956081611256</v>
      </c>
      <c r="M36" s="187">
        <f t="shared" si="30"/>
        <v>0.23461154383862584</v>
      </c>
      <c r="N36" s="187">
        <f t="shared" si="30"/>
        <v>0.27114002054091063</v>
      </c>
      <c r="O36" s="187">
        <f t="shared" si="30"/>
        <v>0.24053997594492177</v>
      </c>
      <c r="P36" s="187">
        <f t="shared" si="30"/>
        <v>0.24153029937185291</v>
      </c>
      <c r="Q36" s="187">
        <f t="shared" si="30"/>
        <v>0.32607078616734964</v>
      </c>
      <c r="R36" s="187">
        <f t="shared" si="30"/>
        <v>0.2462975098296199</v>
      </c>
      <c r="S36" s="187">
        <f t="shared" si="30"/>
        <v>0.26075616438356169</v>
      </c>
      <c r="T36" s="187">
        <f t="shared" si="30"/>
        <v>0.1879393507887005</v>
      </c>
      <c r="U36" s="187">
        <f t="shared" si="30"/>
        <v>0.16924195441565493</v>
      </c>
      <c r="V36" s="187">
        <f t="shared" si="30"/>
        <v>0.16609754935438273</v>
      </c>
      <c r="W36" s="187">
        <f t="shared" si="30"/>
        <v>0.18213393212849951</v>
      </c>
      <c r="X36" s="187">
        <f t="shared" si="30"/>
        <v>0.17218129215104838</v>
      </c>
      <c r="Y36" s="187">
        <f t="shared" si="30"/>
        <v>0.14918449407300388</v>
      </c>
      <c r="Z36" s="187">
        <f t="shared" si="30"/>
        <v>0.15992840761172752</v>
      </c>
      <c r="AA36" s="187">
        <f t="shared" si="30"/>
        <v>0.16191137170247968</v>
      </c>
      <c r="AB36" s="187">
        <f t="shared" si="30"/>
        <v>0.19872866359368407</v>
      </c>
      <c r="AC36" s="166">
        <v>0.16</v>
      </c>
      <c r="AD36" s="166">
        <f>AC36-0.0015</f>
        <v>0.1585</v>
      </c>
      <c r="AE36" s="166">
        <f t="shared" ref="AE36:AL36" si="31">AD36-0.0015</f>
        <v>0.157</v>
      </c>
      <c r="AF36" s="166">
        <f t="shared" si="31"/>
        <v>0.1555</v>
      </c>
      <c r="AG36" s="166">
        <f t="shared" si="31"/>
        <v>0.154</v>
      </c>
      <c r="AH36" s="166">
        <f t="shared" si="31"/>
        <v>0.1525</v>
      </c>
      <c r="AI36" s="166">
        <f t="shared" si="31"/>
        <v>0.151</v>
      </c>
      <c r="AJ36" s="166">
        <f t="shared" si="31"/>
        <v>0.14949999999999999</v>
      </c>
      <c r="AK36" s="166">
        <f t="shared" si="31"/>
        <v>0.14799999999999999</v>
      </c>
      <c r="AL36" s="166">
        <f t="shared" si="31"/>
        <v>0.14649999999999999</v>
      </c>
    </row>
    <row r="37" spans="1:38" s="73" customFormat="1" outlineLevel="1">
      <c r="A37" s="96"/>
      <c r="D37" s="69" t="str">
        <f>D17&amp;" as a % of rev"</f>
        <v>D&amp;A as a % of rev</v>
      </c>
      <c r="G37" s="187">
        <f t="shared" ref="G37:AA37" si="32">IFERROR(G17/G$11,"na")</f>
        <v>9.023459215061333E-2</v>
      </c>
      <c r="H37" s="187">
        <f t="shared" si="32"/>
        <v>9.023459215061333E-2</v>
      </c>
      <c r="I37" s="187">
        <f t="shared" si="32"/>
        <v>9.023459215061333E-2</v>
      </c>
      <c r="J37" s="187">
        <f t="shared" si="32"/>
        <v>9.023459215061333E-2</v>
      </c>
      <c r="K37" s="187">
        <f t="shared" si="32"/>
        <v>0.12961457536342769</v>
      </c>
      <c r="L37" s="187">
        <f t="shared" si="32"/>
        <v>0.13239548596541598</v>
      </c>
      <c r="M37" s="187">
        <f t="shared" si="32"/>
        <v>0.13922508488116636</v>
      </c>
      <c r="N37" s="187">
        <f t="shared" si="32"/>
        <v>0.13654300077478873</v>
      </c>
      <c r="O37" s="187">
        <f t="shared" si="32"/>
        <v>0.13752490806292225</v>
      </c>
      <c r="P37" s="187">
        <f t="shared" si="32"/>
        <v>0.14201174655908871</v>
      </c>
      <c r="Q37" s="187">
        <f t="shared" si="32"/>
        <v>0.14310058019231547</v>
      </c>
      <c r="R37" s="187">
        <f t="shared" si="32"/>
        <v>0.13886572143452869</v>
      </c>
      <c r="S37" s="187">
        <f t="shared" si="32"/>
        <v>0.15410410958904111</v>
      </c>
      <c r="T37" s="187">
        <f t="shared" si="32"/>
        <v>0.15556402362591631</v>
      </c>
      <c r="U37" s="187">
        <f t="shared" si="32"/>
        <v>0.15363255724321576</v>
      </c>
      <c r="V37" s="187">
        <f t="shared" si="32"/>
        <v>0.15562314375109193</v>
      </c>
      <c r="W37" s="187">
        <f t="shared" si="32"/>
        <v>0.15412697837818259</v>
      </c>
      <c r="X37" s="187">
        <f t="shared" si="32"/>
        <v>0.15011677644527252</v>
      </c>
      <c r="Y37" s="187">
        <f t="shared" si="32"/>
        <v>0.14391315195506738</v>
      </c>
      <c r="Z37" s="187">
        <f t="shared" si="32"/>
        <v>0.13900597119775199</v>
      </c>
      <c r="AA37" s="187">
        <f t="shared" si="32"/>
        <v>0.13987095071335318</v>
      </c>
      <c r="AB37" s="187">
        <f t="shared" ref="AB37:AL37" si="33">IFERROR(AB17/AB$11,"na")</f>
        <v>0.153055002409207</v>
      </c>
      <c r="AC37" s="187">
        <f t="shared" si="33"/>
        <v>0.15704732727749171</v>
      </c>
      <c r="AD37" s="187">
        <f t="shared" si="33"/>
        <v>0.15544716421770338</v>
      </c>
      <c r="AE37" s="187">
        <f t="shared" si="33"/>
        <v>0.15266783282058144</v>
      </c>
      <c r="AF37" s="187">
        <f t="shared" si="33"/>
        <v>0.14759855859651994</v>
      </c>
      <c r="AG37" s="187">
        <f t="shared" si="33"/>
        <v>0.14653718044501632</v>
      </c>
      <c r="AH37" s="187">
        <f t="shared" si="33"/>
        <v>0.14246804437303284</v>
      </c>
      <c r="AI37" s="187">
        <f t="shared" si="33"/>
        <v>0.14207328396309937</v>
      </c>
      <c r="AJ37" s="187">
        <f t="shared" si="33"/>
        <v>0.13727531541628407</v>
      </c>
      <c r="AK37" s="187">
        <f t="shared" si="33"/>
        <v>0.13460854136780789</v>
      </c>
      <c r="AL37" s="187">
        <f t="shared" si="33"/>
        <v>0.12297237475692929</v>
      </c>
    </row>
    <row r="38" spans="1:38" s="73" customFormat="1" outlineLevel="1">
      <c r="A38" s="96"/>
      <c r="D38" s="69" t="s">
        <v>564</v>
      </c>
      <c r="G38" s="187">
        <f t="shared" ref="G38:AB38" si="34">G138/SUM(G14:G16,G12)</f>
        <v>0</v>
      </c>
      <c r="H38" s="187">
        <f t="shared" si="34"/>
        <v>0</v>
      </c>
      <c r="I38" s="187">
        <f t="shared" si="34"/>
        <v>0</v>
      </c>
      <c r="J38" s="187">
        <f t="shared" si="34"/>
        <v>0</v>
      </c>
      <c r="K38" s="187">
        <f t="shared" si="34"/>
        <v>1.669629253428136E-2</v>
      </c>
      <c r="L38" s="187">
        <f t="shared" si="34"/>
        <v>1.7734352779776145E-2</v>
      </c>
      <c r="M38" s="187">
        <f t="shared" si="34"/>
        <v>0.4342865267385857</v>
      </c>
      <c r="N38" s="187">
        <f t="shared" si="34"/>
        <v>1.6334943242993814E-2</v>
      </c>
      <c r="O38" s="187">
        <f t="shared" si="34"/>
        <v>1.5017404276479365E-2</v>
      </c>
      <c r="P38" s="187">
        <f t="shared" si="34"/>
        <v>1.3450141716052563E-2</v>
      </c>
      <c r="Q38" s="187">
        <f t="shared" si="34"/>
        <v>0.21935737127319382</v>
      </c>
      <c r="R38" s="187">
        <f t="shared" si="34"/>
        <v>0.11363080505199721</v>
      </c>
      <c r="S38" s="187">
        <f t="shared" si="34"/>
        <v>0.12061274303509804</v>
      </c>
      <c r="T38" s="187">
        <f t="shared" si="34"/>
        <v>0.11424979121353121</v>
      </c>
      <c r="U38" s="187">
        <f t="shared" si="34"/>
        <v>0.12509013785790032</v>
      </c>
      <c r="V38" s="187">
        <f t="shared" si="34"/>
        <v>0.12392614633401998</v>
      </c>
      <c r="W38" s="187">
        <f t="shared" si="34"/>
        <v>0.12187987651235214</v>
      </c>
      <c r="X38" s="187">
        <f t="shared" si="34"/>
        <v>0.12970117032155437</v>
      </c>
      <c r="Y38" s="187">
        <f t="shared" si="34"/>
        <v>0.13243659430699042</v>
      </c>
      <c r="Z38" s="187">
        <f t="shared" si="34"/>
        <v>0.13717514885751556</v>
      </c>
      <c r="AA38" s="187">
        <f t="shared" si="34"/>
        <v>0.15447343047899725</v>
      </c>
      <c r="AB38" s="187">
        <f t="shared" si="34"/>
        <v>0.2091209784794045</v>
      </c>
      <c r="AC38" s="166">
        <v>0.13600000000000001</v>
      </c>
      <c r="AD38" s="166">
        <f>AC38-0.0035</f>
        <v>0.13250000000000001</v>
      </c>
      <c r="AE38" s="166">
        <f t="shared" ref="AE38:AL38" si="35">AD38-0.0035</f>
        <v>0.129</v>
      </c>
      <c r="AF38" s="166">
        <f t="shared" si="35"/>
        <v>0.1255</v>
      </c>
      <c r="AG38" s="166">
        <f t="shared" si="35"/>
        <v>0.122</v>
      </c>
      <c r="AH38" s="166">
        <f t="shared" si="35"/>
        <v>0.11849999999999999</v>
      </c>
      <c r="AI38" s="166">
        <f t="shared" si="35"/>
        <v>0.11499999999999999</v>
      </c>
      <c r="AJ38" s="166">
        <f t="shared" si="35"/>
        <v>0.11149999999999999</v>
      </c>
      <c r="AK38" s="166">
        <f t="shared" si="35"/>
        <v>0.10799999999999998</v>
      </c>
      <c r="AL38" s="166">
        <f t="shared" si="35"/>
        <v>0.10449999999999998</v>
      </c>
    </row>
    <row r="39" spans="1:38" s="73" customFormat="1" outlineLevel="1">
      <c r="A39" s="96"/>
      <c r="D39" s="69" t="s">
        <v>631</v>
      </c>
      <c r="G39" s="187">
        <f t="shared" ref="G39:Z39" si="36">G29-G32</f>
        <v>0.9384495309083567</v>
      </c>
      <c r="H39" s="187">
        <f t="shared" si="36"/>
        <v>0.9273896934303868</v>
      </c>
      <c r="I39" s="187">
        <f t="shared" si="36"/>
        <v>0.68661769844878462</v>
      </c>
      <c r="J39" s="187">
        <f t="shared" si="36"/>
        <v>0.85773598809710083</v>
      </c>
      <c r="K39" s="187">
        <f t="shared" si="36"/>
        <v>0.98014322186686731</v>
      </c>
      <c r="L39" s="187">
        <f t="shared" si="36"/>
        <v>1.1598438614129578</v>
      </c>
      <c r="M39" s="187">
        <f t="shared" si="36"/>
        <v>0.97437187936888359</v>
      </c>
      <c r="N39" s="187">
        <f t="shared" si="36"/>
        <v>1.0107569505756862</v>
      </c>
      <c r="O39" s="187">
        <f t="shared" si="36"/>
        <v>0.9803608717937542</v>
      </c>
      <c r="P39" s="187">
        <f t="shared" si="36"/>
        <v>1.0063822150389614</v>
      </c>
      <c r="Q39" s="187">
        <f t="shared" si="36"/>
        <v>1.2726335862376761</v>
      </c>
      <c r="R39" s="187">
        <f t="shared" si="36"/>
        <v>1.0762093411175981</v>
      </c>
      <c r="S39" s="187">
        <f t="shared" si="36"/>
        <v>0.98149917808219189</v>
      </c>
      <c r="T39" s="187">
        <f t="shared" si="36"/>
        <v>0.88990784288163971</v>
      </c>
      <c r="U39" s="187">
        <f t="shared" si="36"/>
        <v>0.84002032199856347</v>
      </c>
      <c r="V39" s="187">
        <f t="shared" si="36"/>
        <v>0.85291520416752709</v>
      </c>
      <c r="W39" s="187">
        <f t="shared" si="36"/>
        <v>0.88521024229473744</v>
      </c>
      <c r="X39" s="187">
        <f t="shared" si="36"/>
        <v>0.85288496864093222</v>
      </c>
      <c r="Y39" s="187">
        <f t="shared" si="36"/>
        <v>0.82778638444533414</v>
      </c>
      <c r="Z39" s="187">
        <f t="shared" si="36"/>
        <v>0.88702194260211997</v>
      </c>
      <c r="AA39" s="187">
        <f>AA29-AA32</f>
        <v>0.84405939660738949</v>
      </c>
      <c r="AB39" s="187">
        <f t="shared" ref="AB39:AL39" si="37">AB29-AB32</f>
        <v>0.92394645164316436</v>
      </c>
      <c r="AC39" s="187">
        <f t="shared" si="37"/>
        <v>0.85585148877302664</v>
      </c>
      <c r="AD39" s="187">
        <f t="shared" si="37"/>
        <v>0.83844950447947875</v>
      </c>
      <c r="AE39" s="187">
        <f t="shared" si="37"/>
        <v>0.83324971902983469</v>
      </c>
      <c r="AF39" s="187">
        <f t="shared" si="37"/>
        <v>0.8217814384407951</v>
      </c>
      <c r="AG39" s="187">
        <f t="shared" si="37"/>
        <v>0.81483603466941534</v>
      </c>
      <c r="AH39" s="187">
        <f t="shared" si="37"/>
        <v>0.80489796556257798</v>
      </c>
      <c r="AI39" s="187">
        <f t="shared" si="37"/>
        <v>0.79809733639116787</v>
      </c>
      <c r="AJ39" s="187">
        <f t="shared" si="37"/>
        <v>0.79123048522351114</v>
      </c>
      <c r="AK39" s="187">
        <f t="shared" si="37"/>
        <v>0.78292907996085259</v>
      </c>
      <c r="AL39" s="187">
        <f t="shared" si="37"/>
        <v>0.7771680272247723</v>
      </c>
    </row>
    <row r="40" spans="1:38" s="73" customFormat="1" outlineLevel="1">
      <c r="A40" s="96"/>
      <c r="D40" s="69"/>
      <c r="G40" s="187"/>
      <c r="H40" s="187"/>
      <c r="I40" s="187"/>
      <c r="J40" s="187"/>
      <c r="K40" s="187"/>
      <c r="L40" s="187"/>
      <c r="M40" s="187"/>
      <c r="N40" s="187"/>
      <c r="O40" s="187"/>
      <c r="P40" s="187"/>
      <c r="Q40" s="187"/>
      <c r="R40" s="187"/>
      <c r="S40" s="187"/>
      <c r="T40" s="187"/>
      <c r="U40" s="187"/>
      <c r="V40" s="187"/>
      <c r="W40" s="187"/>
      <c r="X40" s="187"/>
      <c r="Y40" s="187"/>
      <c r="Z40" s="187"/>
      <c r="AA40" s="166"/>
      <c r="AB40" s="166"/>
      <c r="AC40" s="166"/>
      <c r="AD40" s="166"/>
      <c r="AE40" s="166"/>
      <c r="AF40" s="166"/>
      <c r="AG40" s="166"/>
      <c r="AH40" s="166"/>
      <c r="AI40" s="166"/>
      <c r="AJ40" s="166"/>
      <c r="AK40" s="166"/>
      <c r="AL40" s="166"/>
    </row>
    <row r="41" spans="1:38" s="73" customFormat="1" outlineLevel="1">
      <c r="A41" s="96"/>
      <c r="D41" s="218" t="s">
        <v>583</v>
      </c>
      <c r="G41" s="322">
        <f>H41</f>
        <v>9.6062545282614931E-2</v>
      </c>
      <c r="H41" s="322">
        <f>Model!$Y$39</f>
        <v>9.6062545282614931E-2</v>
      </c>
      <c r="I41" s="322">
        <f>Model!$Y$39</f>
        <v>9.6062545282614931E-2</v>
      </c>
      <c r="J41" s="322">
        <f ca="1">IFERROR(AVERAGE(I41,K41),0)</f>
        <v>0.10408192188114126</v>
      </c>
      <c r="K41" s="322">
        <f ca="1">IFERROR(AVERAGE(J41,L41),0)</f>
        <v>0.1121012984796676</v>
      </c>
      <c r="L41" s="322">
        <f>Model!$Z$39</f>
        <v>0.12012067507819395</v>
      </c>
      <c r="M41" s="322">
        <f>Model!$Z$39</f>
        <v>0.12012067507819395</v>
      </c>
      <c r="N41" s="322">
        <f ca="1">IFERROR(AVERAGE(M41,O41),0)</f>
        <v>0.12261122095176144</v>
      </c>
      <c r="O41" s="322">
        <f ca="1">IFERROR(AVERAGE(N41,P41),0)</f>
        <v>0.12510176682532892</v>
      </c>
      <c r="P41" s="322">
        <f>Model!$AA$39</f>
        <v>0.1275923126988964</v>
      </c>
      <c r="Q41" s="322">
        <f>Model!$AA$39</f>
        <v>0.1275923126988964</v>
      </c>
      <c r="R41" s="322">
        <f ca="1">IFERROR(AVERAGE(Q41,S41),0)</f>
        <v>0.12696586885683797</v>
      </c>
      <c r="S41" s="322">
        <f ca="1">IFERROR(AVERAGE(R41,T41),0)</f>
        <v>0.12633942501477952</v>
      </c>
      <c r="T41" s="322">
        <f>Model!$AB$39</f>
        <v>0.12571298117272109</v>
      </c>
      <c r="U41" s="322">
        <f>Model!$AB$39</f>
        <v>0.12571298117272109</v>
      </c>
      <c r="V41" s="322">
        <f ca="1">IFERROR(AVERAGE(U41,W41),0)</f>
        <v>0.12450430924127948</v>
      </c>
      <c r="W41" s="322">
        <f ca="1">IFERROR(AVERAGE(V41,X41),0)</f>
        <v>0.12329563730983786</v>
      </c>
      <c r="X41" s="322">
        <f>Model!$AC$39</f>
        <v>0.12208696537839625</v>
      </c>
      <c r="Y41" s="322">
        <f>Model!$AC$39</f>
        <v>0.12208696537839625</v>
      </c>
      <c r="Z41" s="322">
        <f>Y41-0.001</f>
        <v>0.12108696537839625</v>
      </c>
      <c r="AA41" s="322">
        <f>Z41-0.001</f>
        <v>0.12008696537839625</v>
      </c>
      <c r="AB41" s="322">
        <f>AA41-0.001</f>
        <v>0.11908696537839625</v>
      </c>
      <c r="AC41" s="166"/>
      <c r="AD41" s="166"/>
      <c r="AE41" s="166"/>
      <c r="AF41" s="166"/>
      <c r="AG41" s="166"/>
      <c r="AH41" s="166"/>
      <c r="AI41" s="166"/>
      <c r="AJ41" s="166"/>
      <c r="AK41" s="166"/>
      <c r="AL41" s="166"/>
    </row>
    <row r="42" spans="1:38" s="73" customFormat="1" outlineLevel="1">
      <c r="A42" s="96"/>
      <c r="D42" s="218" t="s">
        <v>632</v>
      </c>
      <c r="G42" s="187">
        <f t="shared" ref="G42:Y42" si="38">G43-G41</f>
        <v>0.41800874894410778</v>
      </c>
      <c r="H42" s="187">
        <f t="shared" si="38"/>
        <v>0.41651275541753019</v>
      </c>
      <c r="I42" s="187">
        <f t="shared" si="38"/>
        <v>0.29227448876903234</v>
      </c>
      <c r="J42" s="187">
        <f t="shared" ca="1" si="38"/>
        <v>0.34371685406076602</v>
      </c>
      <c r="K42" s="187">
        <f t="shared" ca="1" si="38"/>
        <v>0.29886748947311359</v>
      </c>
      <c r="L42" s="187">
        <f t="shared" si="38"/>
        <v>0.34523656996195262</v>
      </c>
      <c r="M42" s="187">
        <f t="shared" si="38"/>
        <v>0.3274806830204679</v>
      </c>
      <c r="N42" s="187">
        <f t="shared" ca="1" si="38"/>
        <v>0.34420800101620186</v>
      </c>
      <c r="O42" s="187">
        <f t="shared" ca="1" si="38"/>
        <v>0.33268756716191233</v>
      </c>
      <c r="P42" s="187">
        <f t="shared" si="38"/>
        <v>0.36149447807248403</v>
      </c>
      <c r="Q42" s="187">
        <f t="shared" si="38"/>
        <v>0.44615432313237446</v>
      </c>
      <c r="R42" s="187">
        <f t="shared" ca="1" si="38"/>
        <v>0.39354825005177635</v>
      </c>
      <c r="S42" s="187">
        <f t="shared" ca="1" si="38"/>
        <v>0.34598276676604245</v>
      </c>
      <c r="T42" s="187">
        <f t="shared" si="38"/>
        <v>0.34570728135974438</v>
      </c>
      <c r="U42" s="187">
        <f t="shared" si="38"/>
        <v>0.3203040822984865</v>
      </c>
      <c r="V42" s="187">
        <f t="shared" ca="1" si="38"/>
        <v>0.33479400881853344</v>
      </c>
      <c r="W42" s="187">
        <f t="shared" ca="1" si="38"/>
        <v>0.33592786057144131</v>
      </c>
      <c r="X42" s="187">
        <f t="shared" si="38"/>
        <v>0.32798552786431506</v>
      </c>
      <c r="Y42" s="187">
        <f t="shared" si="38"/>
        <v>0.32765976650553558</v>
      </c>
      <c r="Z42" s="187">
        <f>Z43-Z41</f>
        <v>0.32828027361414491</v>
      </c>
      <c r="AA42" s="187">
        <f>AA43-AA41</f>
        <v>0.30250302269703488</v>
      </c>
      <c r="AB42" s="187">
        <f>AB43-AB41</f>
        <v>0.33411450828875794</v>
      </c>
      <c r="AC42" s="166"/>
      <c r="AD42" s="166"/>
      <c r="AE42" s="166"/>
      <c r="AF42" s="166"/>
      <c r="AG42" s="166"/>
      <c r="AH42" s="166"/>
      <c r="AI42" s="166"/>
      <c r="AJ42" s="166"/>
      <c r="AK42" s="166"/>
      <c r="AL42" s="166"/>
    </row>
    <row r="43" spans="1:38" s="73" customFormat="1" outlineLevel="1">
      <c r="A43" s="96"/>
      <c r="D43" s="69" t="s">
        <v>571</v>
      </c>
      <c r="G43" s="187">
        <f t="shared" ref="G43:Y43" si="39">G33</f>
        <v>0.51407129422672271</v>
      </c>
      <c r="H43" s="187">
        <f t="shared" si="39"/>
        <v>0.51257530070014512</v>
      </c>
      <c r="I43" s="187">
        <f t="shared" si="39"/>
        <v>0.38833703405164727</v>
      </c>
      <c r="J43" s="187">
        <f t="shared" si="39"/>
        <v>0.44779877594190726</v>
      </c>
      <c r="K43" s="187">
        <f t="shared" si="39"/>
        <v>0.41096878795278119</v>
      </c>
      <c r="L43" s="187">
        <f t="shared" si="39"/>
        <v>0.46535724504014658</v>
      </c>
      <c r="M43" s="187">
        <f t="shared" si="39"/>
        <v>0.44760135809866186</v>
      </c>
      <c r="N43" s="187">
        <f t="shared" si="39"/>
        <v>0.46681922196796333</v>
      </c>
      <c r="O43" s="187">
        <f t="shared" si="39"/>
        <v>0.45778933398724125</v>
      </c>
      <c r="P43" s="187">
        <f t="shared" si="39"/>
        <v>0.48908679077138045</v>
      </c>
      <c r="Q43" s="187">
        <f t="shared" si="39"/>
        <v>0.57374663583127083</v>
      </c>
      <c r="R43" s="187">
        <f t="shared" si="39"/>
        <v>0.52051411890861432</v>
      </c>
      <c r="S43" s="187">
        <f t="shared" si="39"/>
        <v>0.47232219178082196</v>
      </c>
      <c r="T43" s="187">
        <f t="shared" si="39"/>
        <v>0.47142026253246549</v>
      </c>
      <c r="U43" s="187">
        <f t="shared" si="39"/>
        <v>0.44601706347120756</v>
      </c>
      <c r="V43" s="187">
        <f t="shared" si="39"/>
        <v>0.45929831805981292</v>
      </c>
      <c r="W43" s="187">
        <f t="shared" si="39"/>
        <v>0.4592234978812792</v>
      </c>
      <c r="X43" s="187">
        <f t="shared" si="39"/>
        <v>0.45007249324271131</v>
      </c>
      <c r="Y43" s="187">
        <f t="shared" si="39"/>
        <v>0.44974673188393183</v>
      </c>
      <c r="Z43" s="187">
        <f>Z33</f>
        <v>0.44936723899254116</v>
      </c>
      <c r="AA43" s="187">
        <f>AA33</f>
        <v>0.42258998807543113</v>
      </c>
      <c r="AB43" s="187">
        <f>AB33</f>
        <v>0.45320147366715419</v>
      </c>
      <c r="AC43" s="166"/>
      <c r="AD43" s="166"/>
      <c r="AE43" s="166"/>
      <c r="AF43" s="166"/>
      <c r="AG43" s="166"/>
      <c r="AH43" s="166"/>
      <c r="AI43" s="166"/>
      <c r="AJ43" s="166"/>
      <c r="AK43" s="166"/>
      <c r="AL43" s="166"/>
    </row>
    <row r="44" spans="1:38" s="73" customFormat="1" outlineLevel="1">
      <c r="A44" s="96"/>
      <c r="D44" s="69"/>
      <c r="G44" s="187"/>
      <c r="H44" s="187"/>
      <c r="I44" s="187"/>
      <c r="J44" s="187"/>
      <c r="K44" s="187"/>
      <c r="L44" s="187"/>
      <c r="M44" s="187"/>
      <c r="N44" s="187"/>
      <c r="O44" s="187"/>
      <c r="P44" s="187"/>
      <c r="Q44" s="187"/>
      <c r="R44" s="187"/>
      <c r="S44" s="187"/>
      <c r="T44" s="187"/>
      <c r="U44" s="187"/>
      <c r="V44" s="187"/>
      <c r="W44" s="187"/>
      <c r="X44" s="187"/>
      <c r="Y44" s="187"/>
      <c r="Z44" s="187"/>
      <c r="AA44" s="166"/>
      <c r="AB44" s="166"/>
      <c r="AC44" s="166"/>
      <c r="AD44" s="166"/>
      <c r="AE44" s="166"/>
      <c r="AF44" s="166"/>
      <c r="AG44" s="166"/>
      <c r="AH44" s="166"/>
      <c r="AI44" s="166"/>
      <c r="AJ44" s="166"/>
      <c r="AK44" s="166"/>
      <c r="AL44" s="166"/>
    </row>
    <row r="45" spans="1:38" s="286" customFormat="1" outlineLevel="1">
      <c r="A45" s="96"/>
      <c r="D45" s="286" t="s">
        <v>576</v>
      </c>
      <c r="G45" s="287"/>
      <c r="H45" s="287"/>
      <c r="I45" s="287"/>
      <c r="J45" s="287"/>
      <c r="K45" s="287"/>
      <c r="L45" s="287">
        <f t="shared" ref="L45:AL45" si="40">SUM(L12,L14:L17)*4*1000/L55</f>
        <v>4198.7454710867796</v>
      </c>
      <c r="M45" s="287">
        <f t="shared" si="40"/>
        <v>3739.514805670949</v>
      </c>
      <c r="N45" s="287">
        <f t="shared" si="40"/>
        <v>3987.3117009735938</v>
      </c>
      <c r="O45" s="287">
        <f t="shared" si="40"/>
        <v>4289.2529399768882</v>
      </c>
      <c r="P45" s="287">
        <f t="shared" si="40"/>
        <v>4493.0822147218723</v>
      </c>
      <c r="Q45" s="287">
        <f t="shared" si="40"/>
        <v>5681.3276368755087</v>
      </c>
      <c r="R45" s="287">
        <f t="shared" si="40"/>
        <v>5412.5531763196059</v>
      </c>
      <c r="S45" s="287">
        <f t="shared" si="40"/>
        <v>5424.206762830212</v>
      </c>
      <c r="T45" s="287">
        <f t="shared" si="40"/>
        <v>5176.9011624279983</v>
      </c>
      <c r="U45" s="287">
        <f t="shared" si="40"/>
        <v>5364.6303779415257</v>
      </c>
      <c r="V45" s="287">
        <f t="shared" si="40"/>
        <v>5420.5049333081497</v>
      </c>
      <c r="W45" s="287">
        <f t="shared" si="40"/>
        <v>5681.2240994580807</v>
      </c>
      <c r="X45" s="287">
        <f t="shared" si="40"/>
        <v>5722.1761944214304</v>
      </c>
      <c r="Y45" s="287">
        <f t="shared" si="40"/>
        <v>6007.7347231664025</v>
      </c>
      <c r="Z45" s="287">
        <f t="shared" si="40"/>
        <v>6699.9771585198723</v>
      </c>
      <c r="AA45" s="287">
        <f t="shared" si="40"/>
        <v>6736.2738217351407</v>
      </c>
      <c r="AB45" s="287">
        <f t="shared" si="40"/>
        <v>7852.6774833171958</v>
      </c>
      <c r="AC45" s="287">
        <f t="shared" si="40"/>
        <v>7691.5215567301493</v>
      </c>
      <c r="AD45" s="287">
        <f t="shared" si="40"/>
        <v>7671.1185720334606</v>
      </c>
      <c r="AE45" s="287">
        <f t="shared" si="40"/>
        <v>7711.2799673218933</v>
      </c>
      <c r="AF45" s="287">
        <f t="shared" si="40"/>
        <v>8119.2637367550005</v>
      </c>
      <c r="AG45" s="287">
        <f t="shared" si="40"/>
        <v>8212.1468749892156</v>
      </c>
      <c r="AH45" s="287">
        <f t="shared" si="40"/>
        <v>8329.9264885211942</v>
      </c>
      <c r="AI45" s="287">
        <f t="shared" si="40"/>
        <v>8320.8519959799214</v>
      </c>
      <c r="AJ45" s="287">
        <f t="shared" si="40"/>
        <v>8766.6374713393579</v>
      </c>
      <c r="AK45" s="287">
        <f t="shared" si="40"/>
        <v>8846.5143011895252</v>
      </c>
      <c r="AL45" s="287">
        <f t="shared" si="40"/>
        <v>8917.3823928023467</v>
      </c>
    </row>
    <row r="46" spans="1:38" s="73" customFormat="1" outlineLevel="1">
      <c r="A46" s="96"/>
      <c r="D46" s="69" t="s">
        <v>243</v>
      </c>
      <c r="G46" s="285"/>
      <c r="H46" s="285"/>
      <c r="I46" s="285"/>
      <c r="J46" s="285"/>
      <c r="K46" s="285"/>
      <c r="L46" s="285"/>
      <c r="M46" s="285"/>
      <c r="N46" s="285"/>
      <c r="O46" s="285"/>
      <c r="P46" s="167">
        <f t="shared" ref="P46:Y46" si="41">IFERROR(P45/L45-1,"na")</f>
        <v>7.0101116074299252E-2</v>
      </c>
      <c r="Q46" s="167">
        <f t="shared" si="41"/>
        <v>0.51926865706209102</v>
      </c>
      <c r="R46" s="167">
        <f t="shared" si="41"/>
        <v>0.35744420858745674</v>
      </c>
      <c r="S46" s="167">
        <f t="shared" si="41"/>
        <v>0.26460407878380776</v>
      </c>
      <c r="T46" s="167">
        <f t="shared" si="41"/>
        <v>0.15219373139123715</v>
      </c>
      <c r="U46" s="167">
        <f t="shared" si="41"/>
        <v>-5.5743530240785932E-2</v>
      </c>
      <c r="V46" s="167">
        <f t="shared" si="41"/>
        <v>1.4691323539015588E-3</v>
      </c>
      <c r="W46" s="167">
        <f t="shared" si="41"/>
        <v>4.7383395926036576E-2</v>
      </c>
      <c r="X46" s="167">
        <f t="shared" si="41"/>
        <v>0.10532846096248338</v>
      </c>
      <c r="Y46" s="167">
        <f t="shared" si="41"/>
        <v>0.11987859366214981</v>
      </c>
      <c r="Z46" s="167">
        <f>IFERROR(Z45/V45-1,"na")</f>
        <v>0.23604299616988955</v>
      </c>
      <c r="AA46" s="167">
        <f t="shared" ref="AA46:AL46" si="42">IFERROR(AA45/W45-1,"na")</f>
        <v>0.18570816848743887</v>
      </c>
      <c r="AB46" s="167">
        <f t="shared" si="42"/>
        <v>0.37232360845036516</v>
      </c>
      <c r="AC46" s="167">
        <f t="shared" si="42"/>
        <v>0.28026983732668875</v>
      </c>
      <c r="AD46" s="167">
        <f t="shared" si="42"/>
        <v>0.14494697377865817</v>
      </c>
      <c r="AE46" s="167">
        <f t="shared" si="42"/>
        <v>0.1447396841916988</v>
      </c>
      <c r="AF46" s="167">
        <f t="shared" si="42"/>
        <v>3.3948453123684219E-2</v>
      </c>
      <c r="AG46" s="167">
        <f t="shared" si="42"/>
        <v>6.7688208947878969E-2</v>
      </c>
      <c r="AH46" s="167">
        <f t="shared" si="42"/>
        <v>8.5881597357853945E-2</v>
      </c>
      <c r="AI46" s="167">
        <f t="shared" si="42"/>
        <v>7.9049396629510715E-2</v>
      </c>
      <c r="AJ46" s="167">
        <f t="shared" si="42"/>
        <v>7.9733059003092688E-2</v>
      </c>
      <c r="AK46" s="167">
        <f t="shared" si="42"/>
        <v>7.7247452567163588E-2</v>
      </c>
      <c r="AL46" s="167">
        <f t="shared" si="42"/>
        <v>7.0523540044522326E-2</v>
      </c>
    </row>
    <row r="47" spans="1:38" s="73" customFormat="1">
      <c r="A47" s="96"/>
      <c r="D47" s="69"/>
      <c r="G47" s="187"/>
      <c r="H47" s="187"/>
      <c r="I47" s="187"/>
      <c r="J47" s="187"/>
      <c r="K47" s="187"/>
      <c r="L47" s="187"/>
      <c r="M47" s="187"/>
      <c r="N47" s="187"/>
      <c r="O47" s="187"/>
      <c r="P47" s="187"/>
      <c r="Q47" s="187"/>
      <c r="R47" s="187"/>
      <c r="S47" s="187"/>
      <c r="T47" s="187"/>
      <c r="U47" s="187"/>
      <c r="V47" s="166"/>
      <c r="W47" s="166"/>
      <c r="X47" s="166"/>
      <c r="Y47" s="166"/>
      <c r="Z47" s="166"/>
      <c r="AA47" s="321"/>
      <c r="AB47" s="321"/>
      <c r="AC47" s="166"/>
      <c r="AD47" s="166"/>
      <c r="AE47" s="166"/>
      <c r="AF47" s="166"/>
      <c r="AG47" s="166"/>
      <c r="AH47" s="166"/>
      <c r="AI47" s="166"/>
      <c r="AJ47" s="166"/>
      <c r="AK47" s="166"/>
      <c r="AL47" s="166"/>
    </row>
    <row r="48" spans="1:38">
      <c r="A48" s="96"/>
      <c r="D48" s="91" t="s">
        <v>348</v>
      </c>
      <c r="E48" s="90"/>
      <c r="F48" s="90"/>
      <c r="G48" s="90"/>
      <c r="H48" s="90"/>
      <c r="I48" s="90"/>
      <c r="J48" s="90"/>
      <c r="K48" s="90"/>
      <c r="L48" s="90"/>
      <c r="M48" s="90"/>
      <c r="N48" s="90"/>
      <c r="O48" s="90"/>
      <c r="P48" s="90"/>
      <c r="Q48" s="90"/>
      <c r="R48" s="90"/>
      <c r="S48" s="90"/>
      <c r="T48" s="90"/>
      <c r="U48" s="90"/>
      <c r="V48" s="90"/>
      <c r="W48" s="90"/>
      <c r="X48" s="90"/>
      <c r="Y48" s="153"/>
      <c r="Z48" s="90"/>
      <c r="AA48" s="90"/>
      <c r="AB48" s="90"/>
      <c r="AC48" s="90"/>
      <c r="AD48" s="90"/>
      <c r="AE48" s="90"/>
      <c r="AF48" s="90"/>
      <c r="AG48" s="90"/>
      <c r="AH48" s="90"/>
      <c r="AI48" s="90"/>
      <c r="AJ48" s="90"/>
      <c r="AK48" s="90"/>
      <c r="AL48" s="90"/>
    </row>
    <row r="49" spans="1:39" ht="5.0999999999999996" customHeight="1">
      <c r="A49" s="96"/>
      <c r="D49" s="3"/>
      <c r="E49" s="3"/>
      <c r="F49" s="3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214"/>
      <c r="W49" s="214"/>
      <c r="X49" s="214"/>
      <c r="Y49" s="214"/>
      <c r="Z49" s="214"/>
      <c r="AA49" s="214"/>
      <c r="AB49" s="214"/>
      <c r="AC49" s="214"/>
      <c r="AD49" s="214"/>
      <c r="AE49" s="214"/>
      <c r="AF49" s="214"/>
      <c r="AG49" s="214"/>
      <c r="AH49" s="214"/>
      <c r="AI49" s="214"/>
      <c r="AJ49" s="214"/>
      <c r="AK49" s="214"/>
      <c r="AL49" s="214"/>
      <c r="AM49" s="7"/>
    </row>
    <row r="50" spans="1:39" ht="15" customHeight="1">
      <c r="A50" s="96"/>
      <c r="D50" s="185" t="s">
        <v>555</v>
      </c>
      <c r="E50" s="3"/>
      <c r="F50" s="3"/>
      <c r="G50" s="1"/>
      <c r="H50" s="1"/>
      <c r="I50" s="1"/>
      <c r="J50" s="1"/>
      <c r="K50" s="1"/>
      <c r="L50" s="7">
        <f t="shared" ref="L50:AL50" si="43">L57*L$55</f>
        <v>46.989750000000001</v>
      </c>
      <c r="M50" s="7">
        <f t="shared" si="43"/>
        <v>50.529321000000003</v>
      </c>
      <c r="N50" s="7">
        <f t="shared" si="43"/>
        <v>54.180311999999994</v>
      </c>
      <c r="O50" s="7">
        <f t="shared" si="43"/>
        <v>54.504255000000008</v>
      </c>
      <c r="P50" s="7">
        <f t="shared" si="43"/>
        <v>57.287988000000006</v>
      </c>
      <c r="Q50" s="7">
        <f t="shared" si="43"/>
        <v>59.524709999999999</v>
      </c>
      <c r="R50" s="7">
        <f t="shared" si="43"/>
        <v>61.600727999999997</v>
      </c>
      <c r="S50" s="7">
        <f t="shared" si="43"/>
        <v>65.13279</v>
      </c>
      <c r="T50" s="7">
        <f t="shared" si="43"/>
        <v>70.017583999999999</v>
      </c>
      <c r="U50" s="7">
        <f t="shared" si="43"/>
        <v>73.302768</v>
      </c>
      <c r="V50" s="7">
        <f t="shared" si="43"/>
        <v>80.607675</v>
      </c>
      <c r="W50" s="7">
        <f t="shared" si="43"/>
        <v>86.305143999999999</v>
      </c>
      <c r="X50" s="7">
        <f t="shared" si="43"/>
        <v>91.629404999999991</v>
      </c>
      <c r="Y50" s="7">
        <f t="shared" si="43"/>
        <v>95.453189999999992</v>
      </c>
      <c r="Z50" s="7">
        <f t="shared" si="43"/>
        <v>100.729024</v>
      </c>
      <c r="AA50" s="7">
        <f t="shared" si="43"/>
        <v>106.24792799999999</v>
      </c>
      <c r="AB50" s="7">
        <f t="shared" si="43"/>
        <v>108.53914499999999</v>
      </c>
      <c r="AC50" s="7">
        <f t="shared" si="43"/>
        <v>113.35231799999998</v>
      </c>
      <c r="AD50" s="7">
        <f t="shared" si="43"/>
        <v>119.44865152000001</v>
      </c>
      <c r="AE50" s="7">
        <f t="shared" si="43"/>
        <v>125.65732764200003</v>
      </c>
      <c r="AF50" s="7">
        <f t="shared" si="43"/>
        <v>128.02389496650005</v>
      </c>
      <c r="AG50" s="7">
        <f t="shared" si="43"/>
        <v>133.24914490500001</v>
      </c>
      <c r="AH50" s="7">
        <f t="shared" si="43"/>
        <v>139.93929596944005</v>
      </c>
      <c r="AI50" s="7">
        <f t="shared" si="43"/>
        <v>146.71200432619509</v>
      </c>
      <c r="AJ50" s="7">
        <f t="shared" si="43"/>
        <v>148.96464970727934</v>
      </c>
      <c r="AK50" s="7">
        <f t="shared" si="43"/>
        <v>154.51330712215955</v>
      </c>
      <c r="AL50" s="7">
        <f t="shared" si="43"/>
        <v>161.71313685080412</v>
      </c>
      <c r="AM50" s="7"/>
    </row>
    <row r="51" spans="1:39" ht="15" customHeight="1">
      <c r="A51" s="96"/>
      <c r="D51" s="185" t="s">
        <v>556</v>
      </c>
      <c r="E51" s="3"/>
      <c r="F51" s="3"/>
      <c r="G51" s="1"/>
      <c r="H51" s="1"/>
      <c r="I51" s="1"/>
      <c r="J51" s="1"/>
      <c r="K51" s="1"/>
      <c r="L51" s="7">
        <f t="shared" ref="L51:AL51" si="44">L58*L$55</f>
        <v>10.964274999999999</v>
      </c>
      <c r="M51" s="7">
        <f t="shared" si="44"/>
        <v>11.895021549999999</v>
      </c>
      <c r="N51" s="7">
        <f t="shared" si="44"/>
        <v>12.867824099999996</v>
      </c>
      <c r="O51" s="7">
        <f t="shared" si="44"/>
        <v>13.059690249999997</v>
      </c>
      <c r="P51" s="7">
        <f t="shared" si="44"/>
        <v>13.848478399999998</v>
      </c>
      <c r="Q51" s="7">
        <f t="shared" si="44"/>
        <v>14.516740499999996</v>
      </c>
      <c r="R51" s="7">
        <f t="shared" si="44"/>
        <v>15.156135399999993</v>
      </c>
      <c r="S51" s="7">
        <f t="shared" si="44"/>
        <v>16.144901849999993</v>
      </c>
      <c r="T51" s="7">
        <f t="shared" si="44"/>
        <v>17.470733699999993</v>
      </c>
      <c r="U51" s="7">
        <f t="shared" si="44"/>
        <v>18.411514799999992</v>
      </c>
      <c r="V51" s="7">
        <f t="shared" si="44"/>
        <v>20.352048149999995</v>
      </c>
      <c r="W51" s="7">
        <f t="shared" si="44"/>
        <v>21.904102499999993</v>
      </c>
      <c r="X51" s="7">
        <f t="shared" si="44"/>
        <v>23.376270749999993</v>
      </c>
      <c r="Y51" s="7">
        <f t="shared" si="44"/>
        <v>24.51200849999999</v>
      </c>
      <c r="Z51" s="7">
        <f t="shared" si="44"/>
        <v>26.036841599999995</v>
      </c>
      <c r="AA51" s="7">
        <f t="shared" si="44"/>
        <v>27.658543599999994</v>
      </c>
      <c r="AB51" s="7">
        <f t="shared" si="44"/>
        <v>28.45547234999999</v>
      </c>
      <c r="AC51" s="7">
        <f t="shared" si="44"/>
        <v>29.843353799999988</v>
      </c>
      <c r="AD51" s="7">
        <f t="shared" si="44"/>
        <v>31.581753719999995</v>
      </c>
      <c r="AE51" s="7">
        <f t="shared" si="44"/>
        <v>33.417244275799995</v>
      </c>
      <c r="AF51" s="7">
        <f t="shared" si="44"/>
        <v>34.245037631024999</v>
      </c>
      <c r="AG51" s="7">
        <f t="shared" si="44"/>
        <v>35.850140964899992</v>
      </c>
      <c r="AH51" s="7">
        <f t="shared" si="44"/>
        <v>37.868842060851996</v>
      </c>
      <c r="AI51" s="7">
        <f t="shared" si="44"/>
        <v>39.931904655142503</v>
      </c>
      <c r="AJ51" s="7">
        <f t="shared" si="44"/>
        <v>40.779867476765141</v>
      </c>
      <c r="AK51" s="7">
        <f t="shared" si="44"/>
        <v>42.543471519094943</v>
      </c>
      <c r="AL51" s="7">
        <f t="shared" si="44"/>
        <v>44.782987969326221</v>
      </c>
      <c r="AM51" s="7"/>
    </row>
    <row r="52" spans="1:39" ht="15" customHeight="1">
      <c r="A52" s="96"/>
      <c r="D52" s="185" t="s">
        <v>557</v>
      </c>
      <c r="E52" s="3"/>
      <c r="F52" s="3"/>
      <c r="G52" s="1"/>
      <c r="H52" s="1"/>
      <c r="I52" s="1"/>
      <c r="J52" s="1"/>
      <c r="K52" s="1"/>
      <c r="L52" s="7">
        <f t="shared" ref="L52:AL52" si="45">L59*L$55</f>
        <v>4.4639749999999943</v>
      </c>
      <c r="M52" s="7">
        <f t="shared" si="45"/>
        <v>4.9576574500000037</v>
      </c>
      <c r="N52" s="7">
        <f t="shared" si="45"/>
        <v>5.4808639000000019</v>
      </c>
      <c r="O52" s="7">
        <f t="shared" si="45"/>
        <v>5.655054750000005</v>
      </c>
      <c r="P52" s="7">
        <f t="shared" si="45"/>
        <v>6.1025336000000063</v>
      </c>
      <c r="Q52" s="7">
        <f t="shared" si="45"/>
        <v>6.4935495000000065</v>
      </c>
      <c r="R52" s="7">
        <f t="shared" si="45"/>
        <v>6.8711366000000069</v>
      </c>
      <c r="S52" s="7">
        <f t="shared" si="45"/>
        <v>7.3893081500000051</v>
      </c>
      <c r="T52" s="7">
        <f t="shared" si="45"/>
        <v>8.0526823000000114</v>
      </c>
      <c r="U52" s="7">
        <f t="shared" si="45"/>
        <v>8.5177172000000123</v>
      </c>
      <c r="V52" s="7">
        <f t="shared" si="45"/>
        <v>9.3952768500000126</v>
      </c>
      <c r="W52" s="7">
        <f t="shared" si="45"/>
        <v>10.051753500000009</v>
      </c>
      <c r="X52" s="7">
        <f t="shared" si="45"/>
        <v>10.641324250000011</v>
      </c>
      <c r="Y52" s="7">
        <f t="shared" si="45"/>
        <v>11.164801500000015</v>
      </c>
      <c r="Z52" s="7">
        <f t="shared" si="45"/>
        <v>11.914134400000009</v>
      </c>
      <c r="AA52" s="7">
        <f t="shared" si="45"/>
        <v>12.740528400000001</v>
      </c>
      <c r="AB52" s="7">
        <f t="shared" si="45"/>
        <v>13.059382650000002</v>
      </c>
      <c r="AC52" s="7">
        <f t="shared" si="45"/>
        <v>13.763158199999996</v>
      </c>
      <c r="AD52" s="7">
        <f t="shared" si="45"/>
        <v>14.686588344</v>
      </c>
      <c r="AE52" s="7">
        <f t="shared" si="45"/>
        <v>15.594907374199979</v>
      </c>
      <c r="AF52" s="7">
        <f t="shared" si="45"/>
        <v>15.949445899724976</v>
      </c>
      <c r="AG52" s="7">
        <f t="shared" si="45"/>
        <v>16.692900074099953</v>
      </c>
      <c r="AH52" s="7">
        <f t="shared" si="45"/>
        <v>17.689168438843943</v>
      </c>
      <c r="AI52" s="7">
        <f t="shared" si="45"/>
        <v>18.717028141927436</v>
      </c>
      <c r="AJ52" s="7">
        <f t="shared" si="45"/>
        <v>19.076902223501271</v>
      </c>
      <c r="AK52" s="7">
        <f t="shared" si="45"/>
        <v>19.896790859193928</v>
      </c>
      <c r="AL52" s="7">
        <f t="shared" si="45"/>
        <v>21.009457719253092</v>
      </c>
      <c r="AM52" s="7"/>
    </row>
    <row r="53" spans="1:39" ht="15" customHeight="1">
      <c r="A53" s="96"/>
      <c r="D53" s="238" t="s">
        <v>370</v>
      </c>
      <c r="E53" s="193"/>
      <c r="F53" s="193"/>
      <c r="G53" s="211"/>
      <c r="H53" s="211"/>
      <c r="I53" s="211"/>
      <c r="J53" s="211"/>
      <c r="K53" s="211"/>
      <c r="L53" s="211">
        <f t="shared" ref="L53:AL53" si="46">L55-L54</f>
        <v>62.417999999999999</v>
      </c>
      <c r="M53" s="211">
        <f t="shared" si="46"/>
        <v>67.382000000000005</v>
      </c>
      <c r="N53" s="211">
        <f t="shared" si="46"/>
        <v>72.528999999999996</v>
      </c>
      <c r="O53" s="211">
        <f t="shared" si="46"/>
        <v>73.219000000000008</v>
      </c>
      <c r="P53" s="211">
        <f t="shared" si="46"/>
        <v>77.239000000000004</v>
      </c>
      <c r="Q53" s="211">
        <f t="shared" si="46"/>
        <v>80.535000000000011</v>
      </c>
      <c r="R53" s="211">
        <f t="shared" si="46"/>
        <v>83.628</v>
      </c>
      <c r="S53" s="211">
        <f t="shared" si="46"/>
        <v>88.667000000000002</v>
      </c>
      <c r="T53" s="211">
        <f t="shared" si="46"/>
        <v>95.540999999999997</v>
      </c>
      <c r="U53" s="211">
        <f t="shared" si="46"/>
        <v>100.232</v>
      </c>
      <c r="V53" s="211">
        <f t="shared" si="46"/>
        <v>110.355</v>
      </c>
      <c r="W53" s="211">
        <f t="shared" si="46"/>
        <v>118.26100000000001</v>
      </c>
      <c r="X53" s="211">
        <f t="shared" si="46"/>
        <v>125.64700000000001</v>
      </c>
      <c r="Y53" s="211">
        <f t="shared" si="46"/>
        <v>131.13</v>
      </c>
      <c r="Z53" s="211">
        <f t="shared" si="46"/>
        <v>138.68</v>
      </c>
      <c r="AA53" s="211">
        <f t="shared" si="46"/>
        <v>146.64699999999999</v>
      </c>
      <c r="AB53" s="208">
        <f t="shared" si="46"/>
        <v>150.054</v>
      </c>
      <c r="AC53" s="208">
        <f t="shared" si="46"/>
        <v>156.95882999999998</v>
      </c>
      <c r="AD53" s="208">
        <f t="shared" si="46"/>
        <v>165.71699358399999</v>
      </c>
      <c r="AE53" s="208">
        <f t="shared" si="46"/>
        <v>174.66947929200001</v>
      </c>
      <c r="AF53" s="208">
        <f t="shared" si="46"/>
        <v>178.21837849725</v>
      </c>
      <c r="AG53" s="208">
        <f t="shared" si="46"/>
        <v>185.79218594399995</v>
      </c>
      <c r="AH53" s="208">
        <f t="shared" si="46"/>
        <v>195.49730646913599</v>
      </c>
      <c r="AI53" s="208">
        <f t="shared" si="46"/>
        <v>205.36093712326499</v>
      </c>
      <c r="AJ53" s="208">
        <f t="shared" si="46"/>
        <v>208.82141940754576</v>
      </c>
      <c r="AK53" s="208">
        <f t="shared" si="46"/>
        <v>216.95356950044845</v>
      </c>
      <c r="AL53" s="208">
        <f t="shared" si="46"/>
        <v>227.50558253938343</v>
      </c>
      <c r="AM53" s="7"/>
    </row>
    <row r="54" spans="1:39" ht="15" customHeight="1">
      <c r="A54" s="96" t="s">
        <v>371</v>
      </c>
      <c r="D54" s="59" t="s">
        <v>371</v>
      </c>
      <c r="E54" s="3"/>
      <c r="F54" s="3"/>
      <c r="G54" s="177"/>
      <c r="H54" s="190"/>
      <c r="I54" s="190"/>
      <c r="J54" s="190"/>
      <c r="K54" s="190"/>
      <c r="L54" s="190">
        <v>0.23499999999999999</v>
      </c>
      <c r="M54" s="190">
        <v>0.26100000000000001</v>
      </c>
      <c r="N54" s="190">
        <v>0.29399999999999998</v>
      </c>
      <c r="O54" s="190">
        <v>0.33600000000000002</v>
      </c>
      <c r="P54" s="190">
        <v>0.38700000000000001</v>
      </c>
      <c r="Q54" s="190">
        <v>0.45100000000000001</v>
      </c>
      <c r="R54" s="190">
        <v>0.52600000000000002</v>
      </c>
      <c r="S54" s="190">
        <v>0.55600000000000005</v>
      </c>
      <c r="T54" s="190">
        <v>0.63700000000000001</v>
      </c>
      <c r="U54" s="190">
        <v>0.73599999999999999</v>
      </c>
      <c r="V54" s="190">
        <v>0.82799999999999996</v>
      </c>
      <c r="W54" s="190">
        <v>0.94499999999999995</v>
      </c>
      <c r="X54" s="190">
        <v>1.0880000000000001</v>
      </c>
      <c r="Y54" s="190">
        <v>1.26</v>
      </c>
      <c r="Z54" s="190">
        <v>1.4159999999999999</v>
      </c>
      <c r="AA54" s="190">
        <v>1.5369999999999999</v>
      </c>
      <c r="AB54" s="190">
        <v>1.7490000000000001</v>
      </c>
      <c r="AC54" s="315">
        <f t="shared" ref="AC54:AL54" si="47">AC55*AC60</f>
        <v>1.9091699999999998</v>
      </c>
      <c r="AD54" s="315">
        <f t="shared" si="47"/>
        <v>2.0479664159999995</v>
      </c>
      <c r="AE54" s="315">
        <f t="shared" si="47"/>
        <v>2.1881247080000001</v>
      </c>
      <c r="AF54" s="315">
        <f t="shared" si="47"/>
        <v>2.3512900027500003</v>
      </c>
      <c r="AG54" s="315">
        <f t="shared" si="47"/>
        <v>2.5458280559999995</v>
      </c>
      <c r="AH54" s="315">
        <f t="shared" si="47"/>
        <v>2.7169937708639993</v>
      </c>
      <c r="AI54" s="315">
        <f t="shared" si="47"/>
        <v>2.8888915867349998</v>
      </c>
      <c r="AJ54" s="315">
        <f t="shared" si="47"/>
        <v>3.0770865772042502</v>
      </c>
      <c r="AK54" s="315">
        <f t="shared" si="47"/>
        <v>3.307737872551499</v>
      </c>
      <c r="AL54" s="315">
        <f t="shared" si="47"/>
        <v>3.5131843903365709</v>
      </c>
      <c r="AM54" s="7"/>
    </row>
    <row r="55" spans="1:39" s="3" customFormat="1" ht="15" customHeight="1">
      <c r="A55" s="96" t="s">
        <v>373</v>
      </c>
      <c r="D55" s="193" t="s">
        <v>373</v>
      </c>
      <c r="E55" s="193"/>
      <c r="F55" s="193"/>
      <c r="G55" s="221"/>
      <c r="H55" s="221"/>
      <c r="I55" s="221"/>
      <c r="J55" s="221"/>
      <c r="K55" s="221"/>
      <c r="L55" s="221">
        <v>62.652999999999999</v>
      </c>
      <c r="M55" s="221">
        <v>67.643000000000001</v>
      </c>
      <c r="N55" s="221">
        <v>72.822999999999993</v>
      </c>
      <c r="O55" s="221">
        <v>73.555000000000007</v>
      </c>
      <c r="P55" s="221">
        <v>77.626000000000005</v>
      </c>
      <c r="Q55" s="221">
        <v>80.986000000000004</v>
      </c>
      <c r="R55" s="221">
        <v>84.153999999999996</v>
      </c>
      <c r="S55" s="221">
        <v>89.222999999999999</v>
      </c>
      <c r="T55" s="221">
        <v>96.177999999999997</v>
      </c>
      <c r="U55" s="221">
        <v>100.968</v>
      </c>
      <c r="V55" s="221">
        <v>111.18300000000001</v>
      </c>
      <c r="W55" s="221">
        <v>119.206</v>
      </c>
      <c r="X55" s="221">
        <v>126.735</v>
      </c>
      <c r="Y55" s="221">
        <v>132.38999999999999</v>
      </c>
      <c r="Z55" s="221">
        <v>140.096</v>
      </c>
      <c r="AA55" s="221">
        <v>148.184</v>
      </c>
      <c r="AB55" s="221">
        <v>151.803</v>
      </c>
      <c r="AC55" s="208">
        <f t="shared" ref="AC55:AL55" si="48">Y55*(1+AC56)</f>
        <v>158.86799999999997</v>
      </c>
      <c r="AD55" s="208">
        <f t="shared" si="48"/>
        <v>167.76496</v>
      </c>
      <c r="AE55" s="208">
        <f t="shared" si="48"/>
        <v>176.85760400000001</v>
      </c>
      <c r="AF55" s="208">
        <f t="shared" si="48"/>
        <v>180.56966850000001</v>
      </c>
      <c r="AG55" s="208">
        <f t="shared" si="48"/>
        <v>188.33801399999996</v>
      </c>
      <c r="AH55" s="208">
        <f t="shared" si="48"/>
        <v>198.21430024</v>
      </c>
      <c r="AI55" s="208">
        <f t="shared" si="48"/>
        <v>208.24982871</v>
      </c>
      <c r="AJ55" s="208">
        <f t="shared" si="48"/>
        <v>211.89850598475002</v>
      </c>
      <c r="AK55" s="208">
        <f t="shared" si="48"/>
        <v>220.26130737299994</v>
      </c>
      <c r="AL55" s="208">
        <f t="shared" si="48"/>
        <v>231.01876692971999</v>
      </c>
      <c r="AM55" s="53"/>
    </row>
    <row r="56" spans="1:39" ht="15" customHeight="1">
      <c r="A56" s="96"/>
      <c r="D56" s="73" t="s">
        <v>243</v>
      </c>
      <c r="E56" s="3"/>
      <c r="F56" s="3"/>
      <c r="G56" s="167"/>
      <c r="H56" s="167"/>
      <c r="I56" s="167"/>
      <c r="J56" s="167"/>
      <c r="K56" s="167"/>
      <c r="L56" s="167"/>
      <c r="M56" s="167"/>
      <c r="N56" s="167"/>
      <c r="O56" s="167"/>
      <c r="P56" s="167">
        <f t="shared" ref="P56:AB56" si="49">IFERROR(P55/L55-1,"na")</f>
        <v>0.23898296969019839</v>
      </c>
      <c r="Q56" s="167">
        <f t="shared" si="49"/>
        <v>0.19725618319707894</v>
      </c>
      <c r="R56" s="167">
        <f t="shared" si="49"/>
        <v>0.15559644617771862</v>
      </c>
      <c r="S56" s="167">
        <f t="shared" si="49"/>
        <v>0.21301067228604431</v>
      </c>
      <c r="T56" s="167">
        <f t="shared" si="49"/>
        <v>0.23899209027903012</v>
      </c>
      <c r="U56" s="167">
        <f t="shared" si="49"/>
        <v>0.24673400340799634</v>
      </c>
      <c r="V56" s="167">
        <f t="shared" si="49"/>
        <v>0.32118497041138871</v>
      </c>
      <c r="W56" s="167">
        <f t="shared" si="49"/>
        <v>0.33604563845645186</v>
      </c>
      <c r="X56" s="167">
        <f t="shared" si="49"/>
        <v>0.31771299049678725</v>
      </c>
      <c r="Y56" s="167">
        <f t="shared" si="49"/>
        <v>0.31120751129070579</v>
      </c>
      <c r="Z56" s="167">
        <f t="shared" si="49"/>
        <v>0.26004874845974646</v>
      </c>
      <c r="AA56" s="167">
        <f t="shared" si="49"/>
        <v>0.24309179068167697</v>
      </c>
      <c r="AB56" s="167">
        <f t="shared" si="49"/>
        <v>0.19779855604213514</v>
      </c>
      <c r="AC56" s="66">
        <v>0.2</v>
      </c>
      <c r="AD56" s="66">
        <f>AC56-0.0025</f>
        <v>0.19750000000000001</v>
      </c>
      <c r="AE56" s="66">
        <f>AD56-0.004</f>
        <v>0.19350000000000001</v>
      </c>
      <c r="AF56" s="66">
        <f t="shared" ref="AF56:AL56" si="50">AE56-0.004</f>
        <v>0.1895</v>
      </c>
      <c r="AG56" s="66">
        <f t="shared" si="50"/>
        <v>0.1855</v>
      </c>
      <c r="AH56" s="66">
        <f t="shared" si="50"/>
        <v>0.18149999999999999</v>
      </c>
      <c r="AI56" s="66">
        <f t="shared" si="50"/>
        <v>0.17749999999999999</v>
      </c>
      <c r="AJ56" s="66">
        <f t="shared" si="50"/>
        <v>0.17349999999999999</v>
      </c>
      <c r="AK56" s="66">
        <f t="shared" si="50"/>
        <v>0.16949999999999998</v>
      </c>
      <c r="AL56" s="66">
        <f t="shared" si="50"/>
        <v>0.16549999999999998</v>
      </c>
      <c r="AM56" s="7"/>
    </row>
    <row r="57" spans="1:39" ht="15" customHeight="1">
      <c r="A57" s="96" t="s">
        <v>558</v>
      </c>
      <c r="D57" s="73" t="s">
        <v>558</v>
      </c>
      <c r="E57" s="3"/>
      <c r="F57" s="3"/>
      <c r="G57" s="167"/>
      <c r="H57" s="167"/>
      <c r="I57" s="167"/>
      <c r="J57" s="167"/>
      <c r="K57" s="167"/>
      <c r="L57" s="66">
        <v>0.75</v>
      </c>
      <c r="M57" s="66">
        <f t="shared" ref="M57:R57" si="51">L57-0.003</f>
        <v>0.747</v>
      </c>
      <c r="N57" s="66">
        <f t="shared" si="51"/>
        <v>0.74399999999999999</v>
      </c>
      <c r="O57" s="66">
        <f t="shared" si="51"/>
        <v>0.74099999999999999</v>
      </c>
      <c r="P57" s="66">
        <f t="shared" si="51"/>
        <v>0.73799999999999999</v>
      </c>
      <c r="Q57" s="66">
        <f t="shared" si="51"/>
        <v>0.73499999999999999</v>
      </c>
      <c r="R57" s="66">
        <f t="shared" si="51"/>
        <v>0.73199999999999998</v>
      </c>
      <c r="S57" s="66">
        <f>R57-0.002</f>
        <v>0.73</v>
      </c>
      <c r="T57" s="66">
        <f>S57-0.002</f>
        <v>0.72799999999999998</v>
      </c>
      <c r="U57" s="66">
        <f>T57-0.002</f>
        <v>0.72599999999999998</v>
      </c>
      <c r="V57" s="66">
        <f>U57-0.001</f>
        <v>0.72499999999999998</v>
      </c>
      <c r="W57" s="66">
        <f>V57-0.001</f>
        <v>0.72399999999999998</v>
      </c>
      <c r="X57" s="66">
        <f>W57-0.001</f>
        <v>0.72299999999999998</v>
      </c>
      <c r="Y57" s="66">
        <f t="shared" ref="Y57:AB57" si="52">X57-0.002</f>
        <v>0.72099999999999997</v>
      </c>
      <c r="Z57" s="66">
        <f t="shared" si="52"/>
        <v>0.71899999999999997</v>
      </c>
      <c r="AA57" s="66">
        <f t="shared" si="52"/>
        <v>0.71699999999999997</v>
      </c>
      <c r="AB57" s="66">
        <f t="shared" si="52"/>
        <v>0.71499999999999997</v>
      </c>
      <c r="AC57" s="66">
        <f>AB57-0.0015</f>
        <v>0.71350000000000002</v>
      </c>
      <c r="AD57" s="66">
        <f>AC57-0.0015</f>
        <v>0.71200000000000008</v>
      </c>
      <c r="AE57" s="66">
        <f t="shared" ref="AE57:AL57" si="53">AD57-0.0015</f>
        <v>0.71050000000000013</v>
      </c>
      <c r="AF57" s="66">
        <f t="shared" si="53"/>
        <v>0.70900000000000019</v>
      </c>
      <c r="AG57" s="66">
        <f t="shared" si="53"/>
        <v>0.70750000000000024</v>
      </c>
      <c r="AH57" s="66">
        <f t="shared" si="53"/>
        <v>0.70600000000000029</v>
      </c>
      <c r="AI57" s="66">
        <f t="shared" si="53"/>
        <v>0.70450000000000035</v>
      </c>
      <c r="AJ57" s="66">
        <f t="shared" si="53"/>
        <v>0.7030000000000004</v>
      </c>
      <c r="AK57" s="66">
        <f t="shared" si="53"/>
        <v>0.70150000000000046</v>
      </c>
      <c r="AL57" s="66">
        <f t="shared" si="53"/>
        <v>0.70000000000000051</v>
      </c>
      <c r="AM57" s="7"/>
    </row>
    <row r="58" spans="1:39" ht="15" customHeight="1">
      <c r="A58" s="96" t="s">
        <v>559</v>
      </c>
      <c r="D58" s="73" t="s">
        <v>559</v>
      </c>
      <c r="E58" s="3"/>
      <c r="F58" s="3"/>
      <c r="G58" s="167"/>
      <c r="H58" s="167"/>
      <c r="I58" s="167"/>
      <c r="J58" s="167"/>
      <c r="K58" s="167"/>
      <c r="L58" s="66">
        <v>0.17499999999999999</v>
      </c>
      <c r="M58" s="66">
        <f t="shared" ref="M58:S58" si="54">L58+0.00085</f>
        <v>0.17584999999999998</v>
      </c>
      <c r="N58" s="66">
        <f t="shared" si="54"/>
        <v>0.17669999999999997</v>
      </c>
      <c r="O58" s="66">
        <f t="shared" si="54"/>
        <v>0.17754999999999996</v>
      </c>
      <c r="P58" s="66">
        <f t="shared" si="54"/>
        <v>0.17839999999999995</v>
      </c>
      <c r="Q58" s="66">
        <f t="shared" si="54"/>
        <v>0.17924999999999994</v>
      </c>
      <c r="R58" s="66">
        <f t="shared" si="54"/>
        <v>0.18009999999999993</v>
      </c>
      <c r="S58" s="66">
        <f t="shared" si="54"/>
        <v>0.18094999999999992</v>
      </c>
      <c r="T58" s="66">
        <f t="shared" ref="T58:Z58" si="55">S58+0.0007</f>
        <v>0.18164999999999992</v>
      </c>
      <c r="U58" s="66">
        <f t="shared" si="55"/>
        <v>0.18234999999999993</v>
      </c>
      <c r="V58" s="66">
        <f t="shared" si="55"/>
        <v>0.18304999999999993</v>
      </c>
      <c r="W58" s="66">
        <f t="shared" si="55"/>
        <v>0.18374999999999994</v>
      </c>
      <c r="X58" s="66">
        <f t="shared" si="55"/>
        <v>0.18444999999999995</v>
      </c>
      <c r="Y58" s="66">
        <f t="shared" si="55"/>
        <v>0.18514999999999995</v>
      </c>
      <c r="Z58" s="66">
        <f t="shared" si="55"/>
        <v>0.18584999999999996</v>
      </c>
      <c r="AA58" s="66">
        <f>Z58+0.0008</f>
        <v>0.18664999999999995</v>
      </c>
      <c r="AB58" s="66">
        <f>AA58+0.0008</f>
        <v>0.18744999999999995</v>
      </c>
      <c r="AC58" s="66">
        <f>AB58+0.0004</f>
        <v>0.18784999999999996</v>
      </c>
      <c r="AD58" s="66">
        <f>AC58+0.0004</f>
        <v>0.18824999999999997</v>
      </c>
      <c r="AE58" s="66">
        <f>AD58+0.0007</f>
        <v>0.18894999999999998</v>
      </c>
      <c r="AF58" s="66">
        <f t="shared" ref="AF58:AL58" si="56">AE58+0.0007</f>
        <v>0.18964999999999999</v>
      </c>
      <c r="AG58" s="66">
        <f t="shared" si="56"/>
        <v>0.19034999999999999</v>
      </c>
      <c r="AH58" s="66">
        <f t="shared" si="56"/>
        <v>0.19105</v>
      </c>
      <c r="AI58" s="66">
        <f t="shared" si="56"/>
        <v>0.19175</v>
      </c>
      <c r="AJ58" s="66">
        <f t="shared" si="56"/>
        <v>0.19245000000000001</v>
      </c>
      <c r="AK58" s="66">
        <f t="shared" si="56"/>
        <v>0.19315000000000002</v>
      </c>
      <c r="AL58" s="66">
        <f t="shared" si="56"/>
        <v>0.19385000000000002</v>
      </c>
      <c r="AM58" s="7"/>
    </row>
    <row r="59" spans="1:39" ht="15" customHeight="1">
      <c r="A59" s="96"/>
      <c r="D59" s="73" t="s">
        <v>518</v>
      </c>
      <c r="E59" s="3"/>
      <c r="F59" s="3"/>
      <c r="G59" s="167"/>
      <c r="H59" s="167"/>
      <c r="I59" s="167"/>
      <c r="J59" s="167"/>
      <c r="K59" s="167"/>
      <c r="L59" s="187">
        <f t="shared" ref="L59:AL59" si="57">1-SUM(L57:L58,L60)</f>
        <v>7.1249182002457889E-2</v>
      </c>
      <c r="M59" s="187">
        <f t="shared" si="57"/>
        <v>7.3291507620892093E-2</v>
      </c>
      <c r="N59" s="187">
        <f t="shared" si="57"/>
        <v>7.5262813946143425E-2</v>
      </c>
      <c r="O59" s="187">
        <f t="shared" si="57"/>
        <v>7.688198966759574E-2</v>
      </c>
      <c r="P59" s="187">
        <f t="shared" si="57"/>
        <v>7.8614556978332084E-2</v>
      </c>
      <c r="Q59" s="187">
        <f t="shared" si="57"/>
        <v>8.0181136245770945E-2</v>
      </c>
      <c r="R59" s="187">
        <f t="shared" si="57"/>
        <v>8.1649554388383283E-2</v>
      </c>
      <c r="S59" s="187">
        <f t="shared" si="57"/>
        <v>8.2818422940273306E-2</v>
      </c>
      <c r="T59" s="187">
        <f t="shared" si="57"/>
        <v>8.3726863731830692E-2</v>
      </c>
      <c r="U59" s="187">
        <f t="shared" si="57"/>
        <v>8.4360561762142572E-2</v>
      </c>
      <c r="V59" s="187">
        <f t="shared" si="57"/>
        <v>8.4502818326542828E-2</v>
      </c>
      <c r="W59" s="187">
        <f t="shared" si="57"/>
        <v>8.432254668389183E-2</v>
      </c>
      <c r="X59" s="187">
        <f t="shared" si="57"/>
        <v>8.3965157612340802E-2</v>
      </c>
      <c r="Y59" s="187">
        <f t="shared" si="57"/>
        <v>8.4332664853841055E-2</v>
      </c>
      <c r="Z59" s="187">
        <f t="shared" si="57"/>
        <v>8.5042645043398868E-2</v>
      </c>
      <c r="AA59" s="187">
        <f t="shared" si="57"/>
        <v>8.5977760082060151E-2</v>
      </c>
      <c r="AB59" s="187">
        <f t="shared" si="57"/>
        <v>8.6028488567419625E-2</v>
      </c>
      <c r="AC59" s="187">
        <f t="shared" si="57"/>
        <v>8.6632664853840913E-2</v>
      </c>
      <c r="AD59" s="187">
        <f t="shared" si="57"/>
        <v>8.7542645043398815E-2</v>
      </c>
      <c r="AE59" s="187">
        <f t="shared" si="57"/>
        <v>8.8177760082060019E-2</v>
      </c>
      <c r="AF59" s="187">
        <f t="shared" si="57"/>
        <v>8.8328488567419483E-2</v>
      </c>
      <c r="AG59" s="187">
        <f t="shared" si="57"/>
        <v>8.8632664853840692E-2</v>
      </c>
      <c r="AH59" s="187">
        <f t="shared" si="57"/>
        <v>8.9242645043398516E-2</v>
      </c>
      <c r="AI59" s="187">
        <f t="shared" si="57"/>
        <v>8.9877760082059832E-2</v>
      </c>
      <c r="AJ59" s="187">
        <f t="shared" si="57"/>
        <v>9.0028488567419185E-2</v>
      </c>
      <c r="AK59" s="187">
        <f t="shared" si="57"/>
        <v>9.0332664853840394E-2</v>
      </c>
      <c r="AL59" s="187">
        <f t="shared" si="57"/>
        <v>9.0942645043398329E-2</v>
      </c>
      <c r="AM59" s="7"/>
    </row>
    <row r="60" spans="1:39" ht="15" customHeight="1">
      <c r="A60" s="96"/>
      <c r="D60" s="73" t="s">
        <v>519</v>
      </c>
      <c r="E60" s="3"/>
      <c r="F60" s="3"/>
      <c r="G60" s="167"/>
      <c r="H60" s="167"/>
      <c r="I60" s="167"/>
      <c r="J60" s="167"/>
      <c r="K60" s="167"/>
      <c r="L60" s="240">
        <f t="shared" ref="L60:AA60" si="58">L54/L55</f>
        <v>3.7508179975420169E-3</v>
      </c>
      <c r="M60" s="240">
        <f t="shared" si="58"/>
        <v>3.858492379107964E-3</v>
      </c>
      <c r="N60" s="240">
        <f t="shared" si="58"/>
        <v>4.0371860538566118E-3</v>
      </c>
      <c r="O60" s="240">
        <f t="shared" si="58"/>
        <v>4.5680103324043228E-3</v>
      </c>
      <c r="P60" s="240">
        <f t="shared" si="58"/>
        <v>4.9854430216679973E-3</v>
      </c>
      <c r="Q60" s="240">
        <f t="shared" si="58"/>
        <v>5.5688637542291256E-3</v>
      </c>
      <c r="R60" s="240">
        <f t="shared" si="58"/>
        <v>6.2504456116167983E-3</v>
      </c>
      <c r="S60" s="240">
        <f t="shared" si="58"/>
        <v>6.2315770597267525E-3</v>
      </c>
      <c r="T60" s="240">
        <f t="shared" si="58"/>
        <v>6.6231362681694363E-3</v>
      </c>
      <c r="U60" s="240">
        <f t="shared" si="58"/>
        <v>7.2894382378575389E-3</v>
      </c>
      <c r="V60" s="240">
        <f t="shared" si="58"/>
        <v>7.4471816734572724E-3</v>
      </c>
      <c r="W60" s="240">
        <f t="shared" si="58"/>
        <v>7.9274533161082482E-3</v>
      </c>
      <c r="X60" s="240">
        <f t="shared" si="58"/>
        <v>8.5848423876592889E-3</v>
      </c>
      <c r="Y60" s="240">
        <f t="shared" si="58"/>
        <v>9.5173351461590762E-3</v>
      </c>
      <c r="Z60" s="240">
        <f t="shared" si="58"/>
        <v>1.0107354956601186E-2</v>
      </c>
      <c r="AA60" s="240">
        <f t="shared" si="58"/>
        <v>1.0372239917939858E-2</v>
      </c>
      <c r="AB60" s="240">
        <f>AB54/AB55</f>
        <v>1.1521511432580385E-2</v>
      </c>
      <c r="AC60" s="243">
        <f t="shared" ref="AC60:AL60" si="59">Y60+AC61/10000</f>
        <v>1.2017335146159077E-2</v>
      </c>
      <c r="AD60" s="243">
        <f t="shared" si="59"/>
        <v>1.2207354956601186E-2</v>
      </c>
      <c r="AE60" s="243">
        <f t="shared" si="59"/>
        <v>1.2372239917939858E-2</v>
      </c>
      <c r="AF60" s="243">
        <f t="shared" si="59"/>
        <v>1.3021511432580384E-2</v>
      </c>
      <c r="AG60" s="243">
        <f t="shared" si="59"/>
        <v>1.3517335146159076E-2</v>
      </c>
      <c r="AH60" s="243">
        <f t="shared" si="59"/>
        <v>1.3707354956601185E-2</v>
      </c>
      <c r="AI60" s="243">
        <f t="shared" si="59"/>
        <v>1.3872239917939858E-2</v>
      </c>
      <c r="AJ60" s="243">
        <f t="shared" si="59"/>
        <v>1.4521511432580384E-2</v>
      </c>
      <c r="AK60" s="243">
        <f t="shared" si="59"/>
        <v>1.5017335146159076E-2</v>
      </c>
      <c r="AL60" s="243">
        <f t="shared" si="59"/>
        <v>1.5207354956601185E-2</v>
      </c>
      <c r="AM60" s="7"/>
    </row>
    <row r="61" spans="1:39" ht="15" customHeight="1">
      <c r="A61" s="96"/>
      <c r="D61" s="69" t="s">
        <v>526</v>
      </c>
      <c r="E61" s="3"/>
      <c r="F61" s="3"/>
      <c r="G61" s="167"/>
      <c r="H61" s="167"/>
      <c r="I61" s="167"/>
      <c r="J61" s="167"/>
      <c r="K61" s="167"/>
      <c r="L61" s="241"/>
      <c r="M61" s="241"/>
      <c r="N61" s="241"/>
      <c r="O61" s="241"/>
      <c r="P61" s="241">
        <f t="shared" ref="P61:AB61" si="60">(P60-L60)*10000</f>
        <v>12.346250241259803</v>
      </c>
      <c r="Q61" s="241">
        <f t="shared" si="60"/>
        <v>17.103713751211615</v>
      </c>
      <c r="R61" s="241">
        <f t="shared" si="60"/>
        <v>22.132595577601865</v>
      </c>
      <c r="S61" s="241">
        <f t="shared" si="60"/>
        <v>16.635667273224296</v>
      </c>
      <c r="T61" s="241">
        <f t="shared" si="60"/>
        <v>16.376932465014391</v>
      </c>
      <c r="U61" s="241">
        <f t="shared" si="60"/>
        <v>17.205744836284133</v>
      </c>
      <c r="V61" s="241">
        <f t="shared" si="60"/>
        <v>11.96736061840474</v>
      </c>
      <c r="W61" s="241">
        <f t="shared" si="60"/>
        <v>16.958762563814958</v>
      </c>
      <c r="X61" s="241">
        <f t="shared" si="60"/>
        <v>19.617061194898525</v>
      </c>
      <c r="Y61" s="241">
        <f t="shared" si="60"/>
        <v>22.278969083015372</v>
      </c>
      <c r="Z61" s="241">
        <f t="shared" si="60"/>
        <v>26.601732831439136</v>
      </c>
      <c r="AA61" s="241">
        <f t="shared" si="60"/>
        <v>24.447866018316098</v>
      </c>
      <c r="AB61" s="241">
        <f t="shared" si="60"/>
        <v>29.366690449210957</v>
      </c>
      <c r="AC61" s="242">
        <v>25</v>
      </c>
      <c r="AD61" s="242">
        <v>21</v>
      </c>
      <c r="AE61" s="242">
        <v>20</v>
      </c>
      <c r="AF61" s="242">
        <v>15</v>
      </c>
      <c r="AG61" s="242">
        <f>AF61</f>
        <v>15</v>
      </c>
      <c r="AH61" s="242">
        <f>AG61</f>
        <v>15</v>
      </c>
      <c r="AI61" s="242">
        <v>15</v>
      </c>
      <c r="AJ61" s="242">
        <f>AI61</f>
        <v>15</v>
      </c>
      <c r="AK61" s="242">
        <f>AJ61</f>
        <v>15</v>
      </c>
      <c r="AL61" s="242">
        <f>AK61</f>
        <v>15</v>
      </c>
      <c r="AM61" s="7"/>
    </row>
    <row r="62" spans="1:39" ht="15" customHeight="1">
      <c r="A62" s="96"/>
      <c r="D62" s="73"/>
      <c r="E62" s="3"/>
      <c r="F62" s="3"/>
      <c r="G62" s="167"/>
      <c r="H62" s="167"/>
      <c r="I62" s="167"/>
      <c r="J62" s="167"/>
      <c r="K62" s="167"/>
      <c r="L62" s="240"/>
      <c r="M62" s="240"/>
      <c r="N62" s="240"/>
      <c r="O62" s="240"/>
      <c r="P62" s="240"/>
      <c r="Q62" s="240"/>
      <c r="R62" s="240"/>
      <c r="S62" s="240"/>
      <c r="T62" s="240"/>
      <c r="U62" s="240"/>
      <c r="V62" s="240"/>
      <c r="W62" s="240"/>
      <c r="X62" s="240"/>
      <c r="Y62" s="240"/>
      <c r="Z62" s="240"/>
      <c r="AA62" s="214"/>
      <c r="AB62" s="214"/>
      <c r="AC62" s="214"/>
      <c r="AD62" s="214"/>
      <c r="AE62" s="214"/>
      <c r="AF62" s="214"/>
      <c r="AG62" s="214"/>
      <c r="AH62" s="214"/>
      <c r="AI62" s="214"/>
      <c r="AJ62" s="214"/>
      <c r="AK62" s="214"/>
      <c r="AL62" s="214"/>
      <c r="AM62" s="7"/>
    </row>
    <row r="63" spans="1:39" ht="15" customHeight="1">
      <c r="A63" s="96" t="s">
        <v>520</v>
      </c>
      <c r="D63" s="185" t="s">
        <v>520</v>
      </c>
      <c r="E63" s="3"/>
      <c r="F63" s="3"/>
      <c r="G63" s="167"/>
      <c r="H63" s="167"/>
      <c r="I63" s="167"/>
      <c r="J63" s="167"/>
      <c r="K63" s="167"/>
      <c r="L63" s="68">
        <f t="shared" ref="L63:Y63" si="61">M63/(1.011)</f>
        <v>244.41347958490874</v>
      </c>
      <c r="M63" s="68">
        <f t="shared" si="61"/>
        <v>247.1020278603427</v>
      </c>
      <c r="N63" s="68">
        <f t="shared" si="61"/>
        <v>249.82015016680646</v>
      </c>
      <c r="O63" s="68">
        <f t="shared" si="61"/>
        <v>252.5681718186413</v>
      </c>
      <c r="P63" s="68">
        <f t="shared" si="61"/>
        <v>255.34642170864635</v>
      </c>
      <c r="Q63" s="68">
        <f t="shared" si="61"/>
        <v>258.15523234744143</v>
      </c>
      <c r="R63" s="68">
        <f t="shared" si="61"/>
        <v>260.99493990326323</v>
      </c>
      <c r="S63" s="68">
        <f t="shared" si="61"/>
        <v>263.86588424219912</v>
      </c>
      <c r="T63" s="68">
        <f t="shared" si="61"/>
        <v>266.7684089688633</v>
      </c>
      <c r="U63" s="68">
        <f t="shared" si="61"/>
        <v>269.70286146752079</v>
      </c>
      <c r="V63" s="68">
        <f t="shared" si="61"/>
        <v>272.66959294366347</v>
      </c>
      <c r="W63" s="68">
        <f t="shared" si="61"/>
        <v>275.66895846604376</v>
      </c>
      <c r="X63" s="68">
        <f t="shared" si="61"/>
        <v>278.70131700917022</v>
      </c>
      <c r="Y63" s="68">
        <f t="shared" si="61"/>
        <v>281.76703149627104</v>
      </c>
      <c r="Z63" s="68">
        <f>AA63/(1.011)</f>
        <v>284.86646884273</v>
      </c>
      <c r="AA63" s="68">
        <f>240*1.2</f>
        <v>288</v>
      </c>
      <c r="AB63" s="68">
        <f>AA63*1.005</f>
        <v>289.43999999999994</v>
      </c>
      <c r="AC63" s="68">
        <f>AB63*1.0055</f>
        <v>291.03191999999996</v>
      </c>
      <c r="AD63" s="68">
        <f t="shared" ref="AD63:AL63" si="62">AC63*1.0055</f>
        <v>292.63259555999997</v>
      </c>
      <c r="AE63" s="68">
        <f t="shared" si="62"/>
        <v>294.24207483558001</v>
      </c>
      <c r="AF63" s="68">
        <f t="shared" si="62"/>
        <v>295.86040624717572</v>
      </c>
      <c r="AG63" s="68">
        <f t="shared" si="62"/>
        <v>297.48763848153521</v>
      </c>
      <c r="AH63" s="68">
        <f t="shared" si="62"/>
        <v>299.1238204931837</v>
      </c>
      <c r="AI63" s="68">
        <f t="shared" si="62"/>
        <v>300.76900150589626</v>
      </c>
      <c r="AJ63" s="68">
        <f t="shared" si="62"/>
        <v>302.42323101417873</v>
      </c>
      <c r="AK63" s="68">
        <f t="shared" si="62"/>
        <v>304.08655878475673</v>
      </c>
      <c r="AL63" s="68">
        <f t="shared" si="62"/>
        <v>305.75903485807294</v>
      </c>
      <c r="AM63" s="7"/>
    </row>
    <row r="64" spans="1:39" ht="15" customHeight="1">
      <c r="A64" s="96" t="s">
        <v>521</v>
      </c>
      <c r="D64" s="185" t="s">
        <v>521</v>
      </c>
      <c r="E64" s="3"/>
      <c r="F64" s="3"/>
      <c r="G64" s="167"/>
      <c r="H64" s="167"/>
      <c r="I64" s="167"/>
      <c r="J64" s="167"/>
      <c r="K64" s="167"/>
      <c r="L64" s="68">
        <f t="shared" ref="L64:Z64" si="63">M64/(1.011)</f>
        <v>2545.9737456761331</v>
      </c>
      <c r="M64" s="68">
        <f t="shared" si="63"/>
        <v>2573.9794568785705</v>
      </c>
      <c r="N64" s="68">
        <f t="shared" si="63"/>
        <v>2602.2932309042344</v>
      </c>
      <c r="O64" s="68">
        <f t="shared" si="63"/>
        <v>2630.9184564441807</v>
      </c>
      <c r="P64" s="68">
        <f t="shared" si="63"/>
        <v>2659.8585594650663</v>
      </c>
      <c r="Q64" s="68">
        <f t="shared" si="63"/>
        <v>2689.1170036191816</v>
      </c>
      <c r="R64" s="68">
        <f t="shared" si="63"/>
        <v>2718.6972906589922</v>
      </c>
      <c r="S64" s="68">
        <f t="shared" si="63"/>
        <v>2748.6029608562408</v>
      </c>
      <c r="T64" s="68">
        <f t="shared" si="63"/>
        <v>2778.8375934256592</v>
      </c>
      <c r="U64" s="68">
        <f t="shared" si="63"/>
        <v>2809.404806953341</v>
      </c>
      <c r="V64" s="68">
        <f t="shared" si="63"/>
        <v>2840.3082598298274</v>
      </c>
      <c r="W64" s="68">
        <f t="shared" si="63"/>
        <v>2871.5516506879553</v>
      </c>
      <c r="X64" s="68">
        <f t="shared" si="63"/>
        <v>2903.1387188455224</v>
      </c>
      <c r="Y64" s="68">
        <f t="shared" si="63"/>
        <v>2935.073244752823</v>
      </c>
      <c r="Z64" s="68">
        <f t="shared" si="63"/>
        <v>2967.359050445104</v>
      </c>
      <c r="AA64" s="68">
        <f>2400*1.25</f>
        <v>3000</v>
      </c>
      <c r="AB64" s="68">
        <f>AA64*1.005</f>
        <v>3014.9999999999995</v>
      </c>
      <c r="AC64" s="68">
        <f t="shared" ref="AC64:AL64" si="64">AB64*1.0055</f>
        <v>3031.5824999999995</v>
      </c>
      <c r="AD64" s="68">
        <f t="shared" si="64"/>
        <v>3048.2562037499997</v>
      </c>
      <c r="AE64" s="68">
        <f t="shared" si="64"/>
        <v>3065.0216128706247</v>
      </c>
      <c r="AF64" s="68">
        <f t="shared" si="64"/>
        <v>3081.8792317414132</v>
      </c>
      <c r="AG64" s="68">
        <f t="shared" si="64"/>
        <v>3098.8295675159911</v>
      </c>
      <c r="AH64" s="68">
        <f t="shared" si="64"/>
        <v>3115.8731301373291</v>
      </c>
      <c r="AI64" s="68">
        <f t="shared" si="64"/>
        <v>3133.0104323530845</v>
      </c>
      <c r="AJ64" s="68">
        <f t="shared" si="64"/>
        <v>3150.2419897310265</v>
      </c>
      <c r="AK64" s="68">
        <f t="shared" si="64"/>
        <v>3167.5683206745475</v>
      </c>
      <c r="AL64" s="68">
        <f t="shared" si="64"/>
        <v>3184.9899464382579</v>
      </c>
      <c r="AM64" s="7"/>
    </row>
    <row r="65" spans="1:39" ht="15" customHeight="1">
      <c r="A65" s="96" t="s">
        <v>522</v>
      </c>
      <c r="D65" s="185" t="s">
        <v>522</v>
      </c>
      <c r="G65" s="1"/>
      <c r="H65" s="1"/>
      <c r="I65" s="1"/>
      <c r="J65" s="1"/>
      <c r="K65" s="1"/>
      <c r="L65" s="68">
        <f t="shared" ref="L65:Z65" si="65">M65/(1.011)</f>
        <v>18670.474134958313</v>
      </c>
      <c r="M65" s="68">
        <f t="shared" si="65"/>
        <v>18875.849350442852</v>
      </c>
      <c r="N65" s="68">
        <f t="shared" si="65"/>
        <v>19083.48369329772</v>
      </c>
      <c r="O65" s="68">
        <f t="shared" si="65"/>
        <v>19293.402013923991</v>
      </c>
      <c r="P65" s="68">
        <f t="shared" si="65"/>
        <v>19505.629436077154</v>
      </c>
      <c r="Q65" s="68">
        <f t="shared" si="65"/>
        <v>19720.191359873999</v>
      </c>
      <c r="R65" s="68">
        <f t="shared" si="65"/>
        <v>19937.113464832611</v>
      </c>
      <c r="S65" s="68">
        <f t="shared" si="65"/>
        <v>20156.421712945768</v>
      </c>
      <c r="T65" s="68">
        <f t="shared" si="65"/>
        <v>20378.14235178817</v>
      </c>
      <c r="U65" s="68">
        <f t="shared" si="65"/>
        <v>20602.301917657838</v>
      </c>
      <c r="V65" s="68">
        <f t="shared" si="65"/>
        <v>20828.927238752072</v>
      </c>
      <c r="W65" s="68">
        <f t="shared" si="65"/>
        <v>21058.045438378344</v>
      </c>
      <c r="X65" s="68">
        <f t="shared" si="65"/>
        <v>21289.683938200502</v>
      </c>
      <c r="Y65" s="68">
        <f t="shared" si="65"/>
        <v>21523.870461520706</v>
      </c>
      <c r="Z65" s="68">
        <f t="shared" si="65"/>
        <v>21760.633036597432</v>
      </c>
      <c r="AA65" s="68">
        <f>22000</f>
        <v>22000</v>
      </c>
      <c r="AB65" s="68">
        <f>AA65*1.005</f>
        <v>22109.999999999996</v>
      </c>
      <c r="AC65" s="68">
        <f t="shared" ref="AC65:AL65" si="66">AB65*1.0055</f>
        <v>22231.604999999996</v>
      </c>
      <c r="AD65" s="68">
        <f t="shared" si="66"/>
        <v>22353.878827499997</v>
      </c>
      <c r="AE65" s="68">
        <f t="shared" si="66"/>
        <v>22476.825161051249</v>
      </c>
      <c r="AF65" s="68">
        <f t="shared" si="66"/>
        <v>22600.447699437031</v>
      </c>
      <c r="AG65" s="68">
        <f t="shared" si="66"/>
        <v>22724.750161783937</v>
      </c>
      <c r="AH65" s="68">
        <f t="shared" si="66"/>
        <v>22849.73628767375</v>
      </c>
      <c r="AI65" s="68">
        <f t="shared" si="66"/>
        <v>22975.409837255957</v>
      </c>
      <c r="AJ65" s="68">
        <f t="shared" si="66"/>
        <v>23101.774591360867</v>
      </c>
      <c r="AK65" s="68">
        <f t="shared" si="66"/>
        <v>23228.834351613354</v>
      </c>
      <c r="AL65" s="68">
        <f t="shared" si="66"/>
        <v>23356.592940547227</v>
      </c>
      <c r="AM65" s="7"/>
    </row>
    <row r="66" spans="1:39" ht="15" customHeight="1">
      <c r="A66" s="96"/>
      <c r="D66" s="185" t="s">
        <v>523</v>
      </c>
      <c r="G66" s="1"/>
      <c r="H66" s="1"/>
      <c r="I66" s="1"/>
      <c r="J66" s="1"/>
      <c r="K66" s="1"/>
      <c r="L66" s="63">
        <f t="shared" ref="L66:AA66" si="67">(L11*4-SUMPRODUCT(L63:L65,L50:L52)/1000)*1000/L54</f>
        <v>248424.61970511245</v>
      </c>
      <c r="M66" s="63">
        <f t="shared" si="67"/>
        <v>243665.00401672474</v>
      </c>
      <c r="N66" s="63">
        <f t="shared" si="67"/>
        <v>239390.60512702394</v>
      </c>
      <c r="O66" s="63">
        <f t="shared" si="67"/>
        <v>266898.02125489071</v>
      </c>
      <c r="P66" s="63">
        <f t="shared" si="67"/>
        <v>256328.07345399243</v>
      </c>
      <c r="Q66" s="63">
        <f t="shared" si="67"/>
        <v>251233.1090887904</v>
      </c>
      <c r="R66" s="63">
        <f t="shared" si="67"/>
        <v>268910.54643010953</v>
      </c>
      <c r="S66" s="63">
        <f t="shared" si="67"/>
        <v>277870.04048118333</v>
      </c>
      <c r="T66" s="63">
        <f t="shared" si="67"/>
        <v>263043.14396085171</v>
      </c>
      <c r="U66" s="63">
        <f t="shared" si="67"/>
        <v>284875.07354737807</v>
      </c>
      <c r="V66" s="63">
        <f t="shared" si="67"/>
        <v>275634.19046876027</v>
      </c>
      <c r="W66" s="63">
        <f t="shared" si="67"/>
        <v>268634.1875282182</v>
      </c>
      <c r="X66" s="63">
        <f t="shared" si="67"/>
        <v>266323.32487755845</v>
      </c>
      <c r="Y66" s="63">
        <f t="shared" si="67"/>
        <v>277966.79084821767</v>
      </c>
      <c r="Z66" s="63">
        <f t="shared" si="67"/>
        <v>288961.80397547863</v>
      </c>
      <c r="AA66" s="63">
        <f t="shared" si="67"/>
        <v>295901.97861808719</v>
      </c>
      <c r="AB66" s="63">
        <f>(AB11*4-SUMPRODUCT(AB63:AB65,AB50:AB52)/1000)*1000/AB54</f>
        <v>304240.26892192685</v>
      </c>
      <c r="AC66" s="164">
        <f t="shared" ref="AC66:AL66" si="68">Y66*(1+AC72)</f>
        <v>308543.13784152165</v>
      </c>
      <c r="AD66" s="164">
        <f t="shared" si="68"/>
        <v>306299.51221400738</v>
      </c>
      <c r="AE66" s="164">
        <f t="shared" si="68"/>
        <v>307738.05776281067</v>
      </c>
      <c r="AF66" s="164">
        <f t="shared" si="68"/>
        <v>324015.88640185207</v>
      </c>
      <c r="AG66" s="164">
        <f t="shared" si="68"/>
        <v>320884.86335518252</v>
      </c>
      <c r="AH66" s="164">
        <f t="shared" si="68"/>
        <v>327740.4780689879</v>
      </c>
      <c r="AI66" s="164">
        <f t="shared" si="68"/>
        <v>324663.65093976521</v>
      </c>
      <c r="AJ66" s="164">
        <f t="shared" si="68"/>
        <v>341836.76015395392</v>
      </c>
      <c r="AK66" s="164">
        <f t="shared" si="68"/>
        <v>338533.53083971754</v>
      </c>
      <c r="AL66" s="164">
        <f t="shared" si="68"/>
        <v>345766.20436278218</v>
      </c>
      <c r="AM66" s="7"/>
    </row>
    <row r="67" spans="1:39" s="3" customFormat="1" ht="15" customHeight="1">
      <c r="A67" s="96"/>
      <c r="D67" s="250" t="s">
        <v>517</v>
      </c>
      <c r="E67" s="193"/>
      <c r="F67" s="193"/>
      <c r="G67" s="258"/>
      <c r="H67" s="258"/>
      <c r="I67" s="258"/>
      <c r="J67" s="258"/>
      <c r="K67" s="258"/>
      <c r="L67" s="208">
        <f t="shared" ref="L67:AA67" si="69">L11*4*1000/L55</f>
        <v>2890.9070595182993</v>
      </c>
      <c r="M67" s="208">
        <f t="shared" si="69"/>
        <v>2960.8385198764099</v>
      </c>
      <c r="N67" s="208">
        <f t="shared" si="69"/>
        <v>3048.4325007209263</v>
      </c>
      <c r="O67" s="208">
        <f t="shared" si="69"/>
        <v>3356.7806403371624</v>
      </c>
      <c r="P67" s="208">
        <f t="shared" si="69"/>
        <v>3474.2998479890757</v>
      </c>
      <c r="Q67" s="208">
        <f t="shared" si="69"/>
        <v>3652.0386239596965</v>
      </c>
      <c r="R67" s="208">
        <f t="shared" si="69"/>
        <v>3989.3528531026454</v>
      </c>
      <c r="S67" s="208">
        <f t="shared" si="69"/>
        <v>4090.8734294968785</v>
      </c>
      <c r="T67" s="208">
        <f t="shared" si="69"/>
        <v>4147.3517852315499</v>
      </c>
      <c r="U67" s="208">
        <f t="shared" si="69"/>
        <v>4522.70026146898</v>
      </c>
      <c r="V67" s="208">
        <f t="shared" si="69"/>
        <v>4530.4048280762345</v>
      </c>
      <c r="W67" s="208">
        <f t="shared" si="69"/>
        <v>4632.4849420331193</v>
      </c>
      <c r="X67" s="208">
        <f t="shared" si="69"/>
        <v>4810.9204245078317</v>
      </c>
      <c r="Y67" s="208">
        <f t="shared" si="69"/>
        <v>5207.2513029685024</v>
      </c>
      <c r="Z67" s="208">
        <f t="shared" si="69"/>
        <v>5527.5239835541342</v>
      </c>
      <c r="AA67" s="208">
        <f t="shared" si="69"/>
        <v>5727.1230362252336</v>
      </c>
      <c r="AB67" s="208">
        <f>AB11*4*1000/AB55</f>
        <v>6179.5089688609578</v>
      </c>
      <c r="AC67" s="210">
        <f t="shared" ref="AC67:AL67" si="70">(SUMPRODUCT(AC63:AC65,AC50:AC52)+AC66*AC54)/AC55</f>
        <v>6410.9835271620959</v>
      </c>
      <c r="AD67" s="210">
        <f t="shared" si="70"/>
        <v>6478.2131865638248</v>
      </c>
      <c r="AE67" s="210">
        <f t="shared" si="70"/>
        <v>6577.5600069024986</v>
      </c>
      <c r="AF67" s="210">
        <f t="shared" si="70"/>
        <v>7009.6833796866758</v>
      </c>
      <c r="AG67" s="210">
        <f t="shared" si="70"/>
        <v>7151.9981186804753</v>
      </c>
      <c r="AH67" s="210">
        <f t="shared" si="70"/>
        <v>7338.0949501748391</v>
      </c>
      <c r="AI67" s="210">
        <f t="shared" si="70"/>
        <v>7381.4369435751996</v>
      </c>
      <c r="AJ67" s="210">
        <f t="shared" si="70"/>
        <v>7862.6718726640102</v>
      </c>
      <c r="AK67" s="210">
        <f t="shared" si="70"/>
        <v>8007.3265413880772</v>
      </c>
      <c r="AL67" s="210">
        <f t="shared" si="70"/>
        <v>8213.7413684745716</v>
      </c>
      <c r="AM67" s="53"/>
    </row>
    <row r="68" spans="1:39" ht="15" customHeight="1">
      <c r="A68" s="96"/>
      <c r="D68" s="69" t="s">
        <v>524</v>
      </c>
      <c r="E68" s="3"/>
      <c r="F68" s="3"/>
      <c r="G68" s="167"/>
      <c r="H68" s="167"/>
      <c r="I68" s="167"/>
      <c r="J68" s="167"/>
      <c r="K68" s="167"/>
      <c r="L68" s="167" t="str">
        <f t="shared" ref="L68:AL68" si="71">IFERROR(L67/H67-1,"na")</f>
        <v>na</v>
      </c>
      <c r="M68" s="167" t="str">
        <f t="shared" si="71"/>
        <v>na</v>
      </c>
      <c r="N68" s="167" t="str">
        <f t="shared" si="71"/>
        <v>na</v>
      </c>
      <c r="O68" s="167" t="str">
        <f t="shared" si="71"/>
        <v>na</v>
      </c>
      <c r="P68" s="167">
        <f t="shared" si="71"/>
        <v>0.20180267869558732</v>
      </c>
      <c r="Q68" s="167">
        <f t="shared" si="71"/>
        <v>0.23344741681898218</v>
      </c>
      <c r="R68" s="167">
        <f t="shared" si="71"/>
        <v>0.30865710563025428</v>
      </c>
      <c r="S68" s="167">
        <f t="shared" si="71"/>
        <v>0.21868953256533974</v>
      </c>
      <c r="T68" s="167">
        <f t="shared" si="71"/>
        <v>0.19372304253820705</v>
      </c>
      <c r="U68" s="167">
        <f t="shared" si="71"/>
        <v>0.23840427968017353</v>
      </c>
      <c r="V68" s="167">
        <f t="shared" si="71"/>
        <v>0.13562399589517282</v>
      </c>
      <c r="W68" s="167">
        <f t="shared" si="71"/>
        <v>0.13239507940553707</v>
      </c>
      <c r="X68" s="167">
        <f t="shared" si="71"/>
        <v>0.1599981563269377</v>
      </c>
      <c r="Y68" s="167">
        <f t="shared" si="71"/>
        <v>0.1513589231927519</v>
      </c>
      <c r="Z68" s="167">
        <f t="shared" si="71"/>
        <v>0.22009493484963261</v>
      </c>
      <c r="AA68" s="167">
        <f t="shared" si="71"/>
        <v>0.2362960933256042</v>
      </c>
      <c r="AB68" s="167">
        <f t="shared" si="71"/>
        <v>0.28447540669790561</v>
      </c>
      <c r="AC68" s="167">
        <f t="shared" si="71"/>
        <v>0.23116461145391254</v>
      </c>
      <c r="AD68" s="167">
        <f t="shared" si="71"/>
        <v>0.17199187300466634</v>
      </c>
      <c r="AE68" s="167">
        <f t="shared" si="71"/>
        <v>0.14849287596897698</v>
      </c>
      <c r="AF68" s="167">
        <f t="shared" si="71"/>
        <v>0.13434310315091924</v>
      </c>
      <c r="AG68" s="167">
        <f t="shared" si="71"/>
        <v>0.11558516542412622</v>
      </c>
      <c r="AH68" s="167">
        <f t="shared" si="71"/>
        <v>0.13273440358437982</v>
      </c>
      <c r="AI68" s="167">
        <f t="shared" si="71"/>
        <v>0.12221506695934536</v>
      </c>
      <c r="AJ68" s="167">
        <f t="shared" si="71"/>
        <v>0.12168716428037318</v>
      </c>
      <c r="AK68" s="167">
        <f t="shared" si="71"/>
        <v>0.1195929317254083</v>
      </c>
      <c r="AL68" s="167">
        <f t="shared" si="71"/>
        <v>0.11932884818816203</v>
      </c>
      <c r="AM68" s="7"/>
    </row>
    <row r="69" spans="1:39" ht="15" customHeight="1">
      <c r="A69" s="96"/>
      <c r="D69" s="69" t="s">
        <v>642</v>
      </c>
      <c r="E69" s="3"/>
      <c r="F69" s="3"/>
      <c r="G69" s="167"/>
      <c r="H69" s="167"/>
      <c r="I69" s="167"/>
      <c r="J69" s="167"/>
      <c r="K69" s="167"/>
      <c r="L69" s="167"/>
      <c r="M69" s="167"/>
      <c r="N69" s="167"/>
      <c r="O69" s="167"/>
      <c r="P69" s="167">
        <f t="shared" ref="P69:Y71" si="72">IFERROR(P63/L63-1,"na")</f>
        <v>4.4731338640999541E-2</v>
      </c>
      <c r="Q69" s="167">
        <f t="shared" si="72"/>
        <v>4.4731338640999763E-2</v>
      </c>
      <c r="R69" s="167">
        <f t="shared" si="72"/>
        <v>4.4731338640999541E-2</v>
      </c>
      <c r="S69" s="167">
        <f t="shared" si="72"/>
        <v>4.4731338640999541E-2</v>
      </c>
      <c r="T69" s="167">
        <f t="shared" si="72"/>
        <v>4.4731338640999541E-2</v>
      </c>
      <c r="U69" s="167">
        <f t="shared" si="72"/>
        <v>4.4731338640999763E-2</v>
      </c>
      <c r="V69" s="167">
        <f t="shared" si="72"/>
        <v>4.4731338640999763E-2</v>
      </c>
      <c r="W69" s="167">
        <f t="shared" si="72"/>
        <v>4.4731338640999763E-2</v>
      </c>
      <c r="X69" s="167">
        <f t="shared" si="72"/>
        <v>4.4731338640999763E-2</v>
      </c>
      <c r="Y69" s="167">
        <f t="shared" si="72"/>
        <v>4.4731338640999541E-2</v>
      </c>
      <c r="Z69" s="167">
        <f t="shared" ref="Z69:AI71" si="73">IFERROR(Z63/V63-1,"na")</f>
        <v>4.4731338640999541E-2</v>
      </c>
      <c r="AA69" s="167">
        <f t="shared" si="73"/>
        <v>4.4731338640999541E-2</v>
      </c>
      <c r="AB69" s="167">
        <f t="shared" si="73"/>
        <v>3.8531152654999401E-2</v>
      </c>
      <c r="AC69" s="167">
        <f t="shared" si="73"/>
        <v>3.2881378827499752E-2</v>
      </c>
      <c r="AD69" s="167">
        <f t="shared" si="73"/>
        <v>2.7262340663749773E-2</v>
      </c>
      <c r="AE69" s="167">
        <f t="shared" si="73"/>
        <v>2.1673870956875119E-2</v>
      </c>
      <c r="AF69" s="167">
        <f t="shared" si="73"/>
        <v>2.2182166415062765E-2</v>
      </c>
      <c r="AG69" s="167">
        <f t="shared" si="73"/>
        <v>2.2182166415062765E-2</v>
      </c>
      <c r="AH69" s="167">
        <f t="shared" si="73"/>
        <v>2.2182166415062987E-2</v>
      </c>
      <c r="AI69" s="167">
        <f t="shared" si="73"/>
        <v>2.2182166415062987E-2</v>
      </c>
      <c r="AJ69" s="167">
        <f t="shared" ref="AJ69:AL71" si="74">IFERROR(AJ63/AF63-1,"na")</f>
        <v>2.2182166415062987E-2</v>
      </c>
      <c r="AK69" s="167">
        <f t="shared" si="74"/>
        <v>2.2182166415062987E-2</v>
      </c>
      <c r="AL69" s="167">
        <f t="shared" si="74"/>
        <v>2.2182166415062987E-2</v>
      </c>
      <c r="AM69" s="7"/>
    </row>
    <row r="70" spans="1:39" ht="15" customHeight="1">
      <c r="A70" s="96"/>
      <c r="D70" s="69" t="s">
        <v>643</v>
      </c>
      <c r="E70" s="3"/>
      <c r="F70" s="3"/>
      <c r="G70" s="167"/>
      <c r="H70" s="167"/>
      <c r="I70" s="167"/>
      <c r="J70" s="167"/>
      <c r="K70" s="167"/>
      <c r="L70" s="167"/>
      <c r="M70" s="167"/>
      <c r="N70" s="167"/>
      <c r="O70" s="167"/>
      <c r="P70" s="167">
        <f t="shared" si="72"/>
        <v>4.4731338640999541E-2</v>
      </c>
      <c r="Q70" s="167">
        <f t="shared" si="72"/>
        <v>4.4731338640999319E-2</v>
      </c>
      <c r="R70" s="167">
        <f t="shared" si="72"/>
        <v>4.4731338640999319E-2</v>
      </c>
      <c r="S70" s="167">
        <f t="shared" si="72"/>
        <v>4.4731338640999319E-2</v>
      </c>
      <c r="T70" s="167">
        <f t="shared" si="72"/>
        <v>4.4731338640999541E-2</v>
      </c>
      <c r="U70" s="167">
        <f t="shared" si="72"/>
        <v>4.4731338640999541E-2</v>
      </c>
      <c r="V70" s="167">
        <f t="shared" si="72"/>
        <v>4.4731338640999541E-2</v>
      </c>
      <c r="W70" s="167">
        <f t="shared" si="72"/>
        <v>4.4731338640999541E-2</v>
      </c>
      <c r="X70" s="167">
        <f t="shared" si="72"/>
        <v>4.4731338640999541E-2</v>
      </c>
      <c r="Y70" s="167">
        <f t="shared" si="72"/>
        <v>4.4731338640999541E-2</v>
      </c>
      <c r="Z70" s="167">
        <f t="shared" si="73"/>
        <v>4.4731338640999763E-2</v>
      </c>
      <c r="AA70" s="167">
        <f t="shared" si="73"/>
        <v>4.4731338640999763E-2</v>
      </c>
      <c r="AB70" s="167">
        <f t="shared" si="73"/>
        <v>3.8531152654999845E-2</v>
      </c>
      <c r="AC70" s="167">
        <f t="shared" si="73"/>
        <v>3.2881378827499752E-2</v>
      </c>
      <c r="AD70" s="167">
        <f t="shared" si="73"/>
        <v>2.7262340663749773E-2</v>
      </c>
      <c r="AE70" s="167">
        <f t="shared" si="73"/>
        <v>2.1673870956874897E-2</v>
      </c>
      <c r="AF70" s="167">
        <f t="shared" si="73"/>
        <v>2.2182166415062543E-2</v>
      </c>
      <c r="AG70" s="167">
        <f t="shared" si="73"/>
        <v>2.2182166415062543E-2</v>
      </c>
      <c r="AH70" s="167">
        <f t="shared" si="73"/>
        <v>2.2182166415062543E-2</v>
      </c>
      <c r="AI70" s="167">
        <f t="shared" si="73"/>
        <v>2.2182166415062543E-2</v>
      </c>
      <c r="AJ70" s="167">
        <f t="shared" si="74"/>
        <v>2.2182166415062543E-2</v>
      </c>
      <c r="AK70" s="167">
        <f t="shared" si="74"/>
        <v>2.2182166415062765E-2</v>
      </c>
      <c r="AL70" s="167">
        <f t="shared" si="74"/>
        <v>2.2182166415062765E-2</v>
      </c>
      <c r="AM70" s="7"/>
    </row>
    <row r="71" spans="1:39" ht="15" customHeight="1">
      <c r="A71" s="96"/>
      <c r="D71" s="69" t="s">
        <v>644</v>
      </c>
      <c r="E71" s="3"/>
      <c r="F71" s="3"/>
      <c r="G71" s="167"/>
      <c r="H71" s="167"/>
      <c r="I71" s="167"/>
      <c r="J71" s="167"/>
      <c r="K71" s="167"/>
      <c r="L71" s="167"/>
      <c r="M71" s="167"/>
      <c r="N71" s="167"/>
      <c r="O71" s="167"/>
      <c r="P71" s="167">
        <f t="shared" si="72"/>
        <v>4.4731338640999319E-2</v>
      </c>
      <c r="Q71" s="167">
        <f t="shared" si="72"/>
        <v>4.4731338640999319E-2</v>
      </c>
      <c r="R71" s="167">
        <f t="shared" si="72"/>
        <v>4.4731338640999541E-2</v>
      </c>
      <c r="S71" s="167">
        <f t="shared" si="72"/>
        <v>4.4731338640999541E-2</v>
      </c>
      <c r="T71" s="167">
        <f t="shared" si="72"/>
        <v>4.4731338640999541E-2</v>
      </c>
      <c r="U71" s="167">
        <f t="shared" si="72"/>
        <v>4.4731338640999541E-2</v>
      </c>
      <c r="V71" s="167">
        <f t="shared" si="72"/>
        <v>4.4731338640999541E-2</v>
      </c>
      <c r="W71" s="167">
        <f t="shared" si="72"/>
        <v>4.4731338640999541E-2</v>
      </c>
      <c r="X71" s="167">
        <f t="shared" si="72"/>
        <v>4.4731338640999541E-2</v>
      </c>
      <c r="Y71" s="167">
        <f t="shared" si="72"/>
        <v>4.4731338640999541E-2</v>
      </c>
      <c r="Z71" s="167">
        <f t="shared" si="73"/>
        <v>4.4731338640999541E-2</v>
      </c>
      <c r="AA71" s="167">
        <f t="shared" si="73"/>
        <v>4.4731338640999541E-2</v>
      </c>
      <c r="AB71" s="167">
        <f t="shared" si="73"/>
        <v>3.8531152654999401E-2</v>
      </c>
      <c r="AC71" s="167">
        <f t="shared" si="73"/>
        <v>3.288137882749953E-2</v>
      </c>
      <c r="AD71" s="167">
        <f t="shared" si="73"/>
        <v>2.7262340663749773E-2</v>
      </c>
      <c r="AE71" s="167">
        <f t="shared" si="73"/>
        <v>2.1673870956874897E-2</v>
      </c>
      <c r="AF71" s="167">
        <f t="shared" si="73"/>
        <v>2.2182166415062543E-2</v>
      </c>
      <c r="AG71" s="167">
        <f t="shared" si="73"/>
        <v>2.2182166415062765E-2</v>
      </c>
      <c r="AH71" s="167">
        <f t="shared" si="73"/>
        <v>2.2182166415062765E-2</v>
      </c>
      <c r="AI71" s="167">
        <f t="shared" si="73"/>
        <v>2.2182166415062765E-2</v>
      </c>
      <c r="AJ71" s="167">
        <f t="shared" si="74"/>
        <v>2.2182166415062765E-2</v>
      </c>
      <c r="AK71" s="167">
        <f t="shared" si="74"/>
        <v>2.2182166415062765E-2</v>
      </c>
      <c r="AL71" s="167">
        <f t="shared" si="74"/>
        <v>2.2182166415062765E-2</v>
      </c>
      <c r="AM71" s="7"/>
    </row>
    <row r="72" spans="1:39" ht="15" customHeight="1">
      <c r="A72" s="96"/>
      <c r="D72" s="69" t="s">
        <v>525</v>
      </c>
      <c r="E72" s="3"/>
      <c r="F72" s="3"/>
      <c r="G72" s="167"/>
      <c r="H72" s="167"/>
      <c r="I72" s="167"/>
      <c r="J72" s="167"/>
      <c r="K72" s="167"/>
      <c r="L72" s="167" t="str">
        <f t="shared" ref="L72:AB72" si="75">IFERROR(L66/H66-1,"na")</f>
        <v>na</v>
      </c>
      <c r="M72" s="167" t="str">
        <f t="shared" si="75"/>
        <v>na</v>
      </c>
      <c r="N72" s="167" t="str">
        <f t="shared" si="75"/>
        <v>na</v>
      </c>
      <c r="O72" s="167" t="str">
        <f t="shared" si="75"/>
        <v>na</v>
      </c>
      <c r="P72" s="167">
        <f t="shared" si="75"/>
        <v>3.1814293439440977E-2</v>
      </c>
      <c r="Q72" s="167">
        <f t="shared" si="75"/>
        <v>3.1059466674772107E-2</v>
      </c>
      <c r="R72" s="167">
        <f t="shared" si="75"/>
        <v>0.12331286471088498</v>
      </c>
      <c r="S72" s="167">
        <f t="shared" si="75"/>
        <v>4.1109406411875327E-2</v>
      </c>
      <c r="T72" s="167">
        <f t="shared" si="75"/>
        <v>2.6197171524657614E-2</v>
      </c>
      <c r="U72" s="167">
        <f t="shared" si="75"/>
        <v>0.13390736826290661</v>
      </c>
      <c r="V72" s="167">
        <f t="shared" si="75"/>
        <v>2.5003273868986042E-2</v>
      </c>
      <c r="W72" s="167">
        <f t="shared" si="75"/>
        <v>-3.3238030760608606E-2</v>
      </c>
      <c r="X72" s="167">
        <f t="shared" si="75"/>
        <v>1.2470125118314801E-2</v>
      </c>
      <c r="Y72" s="167">
        <f t="shared" si="75"/>
        <v>-2.425021822069473E-2</v>
      </c>
      <c r="Z72" s="167">
        <f t="shared" si="75"/>
        <v>4.835254104018305E-2</v>
      </c>
      <c r="AA72" s="167">
        <f t="shared" si="75"/>
        <v>0.10150528992891017</v>
      </c>
      <c r="AB72" s="167">
        <f t="shared" si="75"/>
        <v>0.14237184843573369</v>
      </c>
      <c r="AC72" s="66">
        <v>0.11</v>
      </c>
      <c r="AD72" s="66">
        <v>0.06</v>
      </c>
      <c r="AE72" s="66">
        <v>0.04</v>
      </c>
      <c r="AF72" s="66">
        <v>6.5000000000000002E-2</v>
      </c>
      <c r="AG72" s="66">
        <v>0.04</v>
      </c>
      <c r="AH72" s="66">
        <v>7.0000000000000007E-2</v>
      </c>
      <c r="AI72" s="66">
        <v>5.5E-2</v>
      </c>
      <c r="AJ72" s="66">
        <f>AI72</f>
        <v>5.5E-2</v>
      </c>
      <c r="AK72" s="66">
        <f>AJ72</f>
        <v>5.5E-2</v>
      </c>
      <c r="AL72" s="66">
        <f>AK72</f>
        <v>5.5E-2</v>
      </c>
      <c r="AM72" s="7"/>
    </row>
    <row r="73" spans="1:39" ht="15" customHeight="1">
      <c r="A73" s="96"/>
      <c r="D73" s="218" t="s">
        <v>527</v>
      </c>
      <c r="E73" s="3"/>
      <c r="F73" s="3"/>
      <c r="G73" s="167"/>
      <c r="H73" s="167"/>
      <c r="I73" s="167"/>
      <c r="J73" s="167"/>
      <c r="K73" s="167"/>
      <c r="L73" s="167"/>
      <c r="M73" s="240"/>
      <c r="N73" s="240"/>
      <c r="O73" s="240"/>
      <c r="P73" s="240"/>
      <c r="Q73" s="240"/>
      <c r="R73" s="240"/>
      <c r="S73" s="240"/>
      <c r="T73" s="167">
        <f t="shared" ref="T73:AL73" si="76">((1+T72)*(1+P72))^(1/2)-1</f>
        <v>2.900189964171962E-2</v>
      </c>
      <c r="U73" s="167">
        <f t="shared" si="76"/>
        <v>8.1261266475289418E-2</v>
      </c>
      <c r="V73" s="167">
        <f t="shared" si="76"/>
        <v>7.3032787899701912E-2</v>
      </c>
      <c r="W73" s="167">
        <f t="shared" si="76"/>
        <v>3.2472177566198468E-3</v>
      </c>
      <c r="X73" s="167">
        <f t="shared" si="76"/>
        <v>1.9310540831218415E-2</v>
      </c>
      <c r="Y73" s="167">
        <f t="shared" si="76"/>
        <v>5.1860193723708425E-2</v>
      </c>
      <c r="Z73" s="167">
        <f t="shared" si="76"/>
        <v>3.661216794665223E-2</v>
      </c>
      <c r="AA73" s="167">
        <f t="shared" si="76"/>
        <v>3.1936734116622123E-2</v>
      </c>
      <c r="AB73" s="167">
        <f t="shared" si="76"/>
        <v>7.5461467611633193E-2</v>
      </c>
      <c r="AC73" s="167">
        <f t="shared" si="76"/>
        <v>4.0712379947038579E-2</v>
      </c>
      <c r="AD73" s="167">
        <f t="shared" si="76"/>
        <v>5.4160183986567523E-2</v>
      </c>
      <c r="AE73" s="167">
        <f t="shared" si="76"/>
        <v>7.0310936843152483E-2</v>
      </c>
      <c r="AF73" s="167">
        <f t="shared" si="76"/>
        <v>0.10300771465301017</v>
      </c>
      <c r="AG73" s="167">
        <f t="shared" si="76"/>
        <v>7.443008148506336E-2</v>
      </c>
      <c r="AH73" s="167">
        <f t="shared" si="76"/>
        <v>6.4988262846121803E-2</v>
      </c>
      <c r="AI73" s="167">
        <f t="shared" si="76"/>
        <v>4.7473150013879861E-2</v>
      </c>
      <c r="AJ73" s="167">
        <f t="shared" si="76"/>
        <v>5.998820748157363E-2</v>
      </c>
      <c r="AK73" s="167">
        <f t="shared" si="76"/>
        <v>4.7473150013879861E-2</v>
      </c>
      <c r="AL73" s="167">
        <f t="shared" si="76"/>
        <v>6.2473529082019086E-2</v>
      </c>
      <c r="AM73" s="7"/>
    </row>
    <row r="74" spans="1:39" ht="15" customHeight="1">
      <c r="A74" s="96"/>
      <c r="D74" s="3"/>
      <c r="E74" s="3"/>
      <c r="F74" s="3"/>
      <c r="G74" s="1"/>
      <c r="H74" s="1"/>
      <c r="I74" s="1"/>
      <c r="J74" s="1"/>
      <c r="K74" s="1"/>
      <c r="L74" s="214"/>
      <c r="M74" s="214"/>
      <c r="N74" s="214"/>
      <c r="O74" s="214"/>
      <c r="P74" s="214"/>
      <c r="Q74" s="214"/>
      <c r="R74" s="214"/>
      <c r="S74" s="214"/>
      <c r="T74" s="214"/>
      <c r="U74" s="214"/>
      <c r="V74" s="167"/>
      <c r="W74" s="167"/>
      <c r="X74" s="167"/>
      <c r="Y74" s="167"/>
      <c r="Z74" s="167"/>
      <c r="AA74" s="167"/>
      <c r="AB74" s="167"/>
      <c r="AC74" s="214"/>
      <c r="AD74" s="214"/>
      <c r="AE74" s="214"/>
      <c r="AF74" s="214"/>
      <c r="AG74" s="214"/>
      <c r="AH74" s="214"/>
      <c r="AI74" s="214"/>
      <c r="AJ74" s="214"/>
      <c r="AK74" s="214"/>
      <c r="AL74" s="214"/>
      <c r="AM74" s="7"/>
    </row>
    <row r="75" spans="1:39" ht="15" customHeight="1">
      <c r="A75" s="96"/>
      <c r="D75" s="218" t="s">
        <v>628</v>
      </c>
      <c r="E75" s="3"/>
      <c r="F75" s="3"/>
      <c r="G75" s="1"/>
      <c r="H75" s="1"/>
      <c r="I75" s="1"/>
      <c r="J75" s="1"/>
      <c r="K75" s="1"/>
      <c r="L75" s="167"/>
      <c r="M75" s="167"/>
      <c r="N75" s="167"/>
      <c r="O75" s="167"/>
      <c r="P75" s="167">
        <f t="shared" ref="P75:Z75" si="77">P56</f>
        <v>0.23898296969019839</v>
      </c>
      <c r="Q75" s="167">
        <f t="shared" si="77"/>
        <v>0.19725618319707894</v>
      </c>
      <c r="R75" s="167">
        <f t="shared" si="77"/>
        <v>0.15559644617771862</v>
      </c>
      <c r="S75" s="167">
        <f t="shared" si="77"/>
        <v>0.21301067228604431</v>
      </c>
      <c r="T75" s="167">
        <f t="shared" si="77"/>
        <v>0.23899209027903012</v>
      </c>
      <c r="U75" s="167">
        <f t="shared" si="77"/>
        <v>0.24673400340799634</v>
      </c>
      <c r="V75" s="167">
        <f t="shared" si="77"/>
        <v>0.32118497041138871</v>
      </c>
      <c r="W75" s="167">
        <f t="shared" si="77"/>
        <v>0.33604563845645186</v>
      </c>
      <c r="X75" s="167">
        <f t="shared" si="77"/>
        <v>0.31771299049678725</v>
      </c>
      <c r="Y75" s="167">
        <f t="shared" si="77"/>
        <v>0.31120751129070579</v>
      </c>
      <c r="Z75" s="167">
        <f t="shared" si="77"/>
        <v>0.26004874845974646</v>
      </c>
      <c r="AA75" s="167">
        <f>AA56</f>
        <v>0.24309179068167697</v>
      </c>
      <c r="AB75" s="167">
        <f t="shared" ref="AB75:AL75" si="78">AB56</f>
        <v>0.19779855604213514</v>
      </c>
      <c r="AC75" s="167">
        <f t="shared" si="78"/>
        <v>0.2</v>
      </c>
      <c r="AD75" s="167">
        <f t="shared" si="78"/>
        <v>0.19750000000000001</v>
      </c>
      <c r="AE75" s="167">
        <f t="shared" si="78"/>
        <v>0.19350000000000001</v>
      </c>
      <c r="AF75" s="167">
        <f t="shared" si="78"/>
        <v>0.1895</v>
      </c>
      <c r="AG75" s="167">
        <f t="shared" si="78"/>
        <v>0.1855</v>
      </c>
      <c r="AH75" s="167">
        <f t="shared" si="78"/>
        <v>0.18149999999999999</v>
      </c>
      <c r="AI75" s="167">
        <f t="shared" si="78"/>
        <v>0.17749999999999999</v>
      </c>
      <c r="AJ75" s="167">
        <f t="shared" si="78"/>
        <v>0.17349999999999999</v>
      </c>
      <c r="AK75" s="167">
        <f t="shared" si="78"/>
        <v>0.16949999999999998</v>
      </c>
      <c r="AL75" s="167">
        <f t="shared" si="78"/>
        <v>0.16549999999999998</v>
      </c>
      <c r="AM75" s="7"/>
    </row>
    <row r="76" spans="1:39" ht="15" customHeight="1">
      <c r="A76" s="96"/>
      <c r="D76" s="218" t="s">
        <v>629</v>
      </c>
      <c r="E76" s="3"/>
      <c r="F76" s="3"/>
      <c r="G76" s="1"/>
      <c r="H76" s="1"/>
      <c r="I76" s="1"/>
      <c r="J76" s="1"/>
      <c r="K76" s="1"/>
      <c r="L76" s="167"/>
      <c r="M76" s="167"/>
      <c r="N76" s="167"/>
      <c r="O76" s="167"/>
      <c r="P76" s="167">
        <f t="shared" ref="P76:Z76" si="79">P77-P75</f>
        <v>0.25003008214169586</v>
      </c>
      <c r="Q76" s="167">
        <f t="shared" si="79"/>
        <v>0.27949636323791216</v>
      </c>
      <c r="R76" s="167">
        <f t="shared" si="79"/>
        <v>0.35668305435382264</v>
      </c>
      <c r="S76" s="167">
        <f t="shared" si="79"/>
        <v>0.26527273691900377</v>
      </c>
      <c r="T76" s="167">
        <f t="shared" si="79"/>
        <v>0.24002131740962662</v>
      </c>
      <c r="U76" s="167">
        <f t="shared" si="79"/>
        <v>0.29722672203526246</v>
      </c>
      <c r="V76" s="167">
        <f t="shared" si="79"/>
        <v>0.17918438500383815</v>
      </c>
      <c r="W76" s="167">
        <f t="shared" si="79"/>
        <v>0.17688586839286335</v>
      </c>
      <c r="X76" s="167">
        <f t="shared" si="79"/>
        <v>0.21083164904754126</v>
      </c>
      <c r="Y76" s="167">
        <f t="shared" si="79"/>
        <v>0.19846295699120931</v>
      </c>
      <c r="Z76" s="167">
        <f t="shared" si="79"/>
        <v>0.27733034719960914</v>
      </c>
      <c r="AA76" s="167">
        <f>AA77-AA75</f>
        <v>0.29373773378321011</v>
      </c>
      <c r="AB76" s="167">
        <f t="shared" ref="AB76:AL76" si="80">AB77-AB75</f>
        <v>0.34074423137225063</v>
      </c>
      <c r="AC76" s="167">
        <f t="shared" si="80"/>
        <v>0.27739753374469472</v>
      </c>
      <c r="AD76" s="167">
        <f t="shared" si="80"/>
        <v>0.20596026792308808</v>
      </c>
      <c r="AE76" s="167">
        <f t="shared" si="80"/>
        <v>0.17722624746897409</v>
      </c>
      <c r="AF76" s="167">
        <f t="shared" si="80"/>
        <v>0.15980112119801837</v>
      </c>
      <c r="AG76" s="167">
        <f t="shared" si="80"/>
        <v>0.13702621361030154</v>
      </c>
      <c r="AH76" s="167">
        <f t="shared" si="80"/>
        <v>0.15682569783494493</v>
      </c>
      <c r="AI76" s="167">
        <f t="shared" si="80"/>
        <v>0.14390824134462932</v>
      </c>
      <c r="AJ76" s="167">
        <f t="shared" si="80"/>
        <v>0.14279988728301807</v>
      </c>
      <c r="AK76" s="167">
        <f t="shared" si="80"/>
        <v>0.13986393365286487</v>
      </c>
      <c r="AL76" s="167">
        <f t="shared" si="80"/>
        <v>0.13907777256330278</v>
      </c>
      <c r="AM76" s="7"/>
    </row>
    <row r="77" spans="1:39" ht="15" customHeight="1">
      <c r="A77" s="96"/>
      <c r="D77" s="69" t="s">
        <v>528</v>
      </c>
      <c r="E77" s="3"/>
      <c r="F77" s="3"/>
      <c r="G77" s="167"/>
      <c r="H77" s="167"/>
      <c r="I77" s="167"/>
      <c r="J77" s="167"/>
      <c r="K77" s="167">
        <f t="shared" ref="K77:AL77" si="81">IFERROR(K11/G11-1,"na")</f>
        <v>0.67055440166160718</v>
      </c>
      <c r="L77" s="167">
        <f t="shared" si="81"/>
        <v>0.57203860574920151</v>
      </c>
      <c r="M77" s="167">
        <f t="shared" si="81"/>
        <v>0.1807569862044569</v>
      </c>
      <c r="N77" s="167">
        <f t="shared" si="81"/>
        <v>0.43519524178950086</v>
      </c>
      <c r="O77" s="167">
        <f t="shared" si="81"/>
        <v>0.47587509563886754</v>
      </c>
      <c r="P77" s="167">
        <f t="shared" si="81"/>
        <v>0.48901305183189425</v>
      </c>
      <c r="Q77" s="167">
        <f t="shared" si="81"/>
        <v>0.4767525464349911</v>
      </c>
      <c r="R77" s="167">
        <f t="shared" si="81"/>
        <v>0.51227950053154125</v>
      </c>
      <c r="S77" s="167">
        <f t="shared" si="81"/>
        <v>0.47828340920504808</v>
      </c>
      <c r="T77" s="167">
        <f t="shared" si="81"/>
        <v>0.47901340768865674</v>
      </c>
      <c r="U77" s="167">
        <f t="shared" si="81"/>
        <v>0.5439607254432588</v>
      </c>
      <c r="V77" s="167">
        <f t="shared" si="81"/>
        <v>0.50036935541522687</v>
      </c>
      <c r="W77" s="167">
        <f t="shared" si="81"/>
        <v>0.51293150684931521</v>
      </c>
      <c r="X77" s="167">
        <f t="shared" si="81"/>
        <v>0.52854463954432851</v>
      </c>
      <c r="Y77" s="167">
        <f t="shared" si="81"/>
        <v>0.50967046828191509</v>
      </c>
      <c r="Z77" s="167">
        <f t="shared" si="81"/>
        <v>0.5373790956593556</v>
      </c>
      <c r="AA77" s="167">
        <f t="shared" si="81"/>
        <v>0.53682952446488708</v>
      </c>
      <c r="AB77" s="167">
        <f t="shared" si="81"/>
        <v>0.53854278741438577</v>
      </c>
      <c r="AC77" s="167">
        <f t="shared" si="81"/>
        <v>0.47739753374469474</v>
      </c>
      <c r="AD77" s="167">
        <f t="shared" si="81"/>
        <v>0.40346026792308809</v>
      </c>
      <c r="AE77" s="167">
        <f t="shared" si="81"/>
        <v>0.37072624746897409</v>
      </c>
      <c r="AF77" s="167">
        <f t="shared" si="81"/>
        <v>0.34930112119801837</v>
      </c>
      <c r="AG77" s="167">
        <f t="shared" si="81"/>
        <v>0.32252621361030154</v>
      </c>
      <c r="AH77" s="167">
        <f t="shared" si="81"/>
        <v>0.33832569783494493</v>
      </c>
      <c r="AI77" s="167">
        <f t="shared" si="81"/>
        <v>0.32140824134462931</v>
      </c>
      <c r="AJ77" s="167">
        <f t="shared" si="81"/>
        <v>0.31629988728301806</v>
      </c>
      <c r="AK77" s="167">
        <f t="shared" si="81"/>
        <v>0.30936393365286485</v>
      </c>
      <c r="AL77" s="167">
        <f t="shared" si="81"/>
        <v>0.30457777256330276</v>
      </c>
      <c r="AM77" s="7"/>
    </row>
    <row r="78" spans="1:39" ht="15" customHeight="1">
      <c r="A78" s="96"/>
      <c r="D78" s="69" t="s">
        <v>529</v>
      </c>
      <c r="E78" s="3"/>
      <c r="F78" s="3"/>
      <c r="G78" s="167"/>
      <c r="H78" s="167">
        <f t="shared" ref="H78:AL78" si="82">IFERROR(H11/G11-1,"na")</f>
        <v>0.15050327528359153</v>
      </c>
      <c r="I78" s="167">
        <f t="shared" si="82"/>
        <v>0.47219136231079029</v>
      </c>
      <c r="J78" s="167">
        <f t="shared" si="82"/>
        <v>-8.8079235939158118E-2</v>
      </c>
      <c r="K78" s="167">
        <f t="shared" si="82"/>
        <v>8.1561934316007223E-2</v>
      </c>
      <c r="L78" s="167">
        <f t="shared" si="82"/>
        <v>8.2655891354246336E-2</v>
      </c>
      <c r="M78" s="167">
        <f t="shared" si="82"/>
        <v>0.10576179854685197</v>
      </c>
      <c r="N78" s="167">
        <f t="shared" si="82"/>
        <v>0.10842820051927315</v>
      </c>
      <c r="O78" s="167">
        <f t="shared" si="82"/>
        <v>0.11221823816645338</v>
      </c>
      <c r="P78" s="167">
        <f t="shared" si="82"/>
        <v>9.2293485832779965E-2</v>
      </c>
      <c r="Q78" s="167">
        <f t="shared" si="82"/>
        <v>9.6656976744186052E-2</v>
      </c>
      <c r="R78" s="167">
        <f t="shared" si="82"/>
        <v>0.13509419672441547</v>
      </c>
      <c r="S78" s="167">
        <f t="shared" si="82"/>
        <v>8.7215536756821033E-2</v>
      </c>
      <c r="T78" s="167">
        <f t="shared" si="82"/>
        <v>9.283287671232876E-2</v>
      </c>
      <c r="U78" s="167">
        <f t="shared" si="82"/>
        <v>0.14481403114689995</v>
      </c>
      <c r="V78" s="167">
        <f t="shared" si="82"/>
        <v>0.10304654788808887</v>
      </c>
      <c r="W78" s="167">
        <f t="shared" si="82"/>
        <v>9.6318472753839535E-2</v>
      </c>
      <c r="X78" s="167">
        <f t="shared" si="82"/>
        <v>0.10411068052587735</v>
      </c>
      <c r="Y78" s="167">
        <f t="shared" si="82"/>
        <v>0.13067809063951508</v>
      </c>
      <c r="Z78" s="167">
        <f t="shared" si="82"/>
        <v>0.12329196330658498</v>
      </c>
      <c r="AA78" s="167">
        <f t="shared" si="82"/>
        <v>9.5926568730758888E-2</v>
      </c>
      <c r="AB78" s="167">
        <f t="shared" si="82"/>
        <v>0.1053415469889285</v>
      </c>
      <c r="AC78" s="167">
        <f t="shared" si="82"/>
        <v>8.5742324642976486E-2</v>
      </c>
      <c r="AD78" s="167">
        <f t="shared" si="82"/>
        <v>6.7076127968236809E-2</v>
      </c>
      <c r="AE78" s="167">
        <f t="shared" si="82"/>
        <v>7.0365401423808427E-2</v>
      </c>
      <c r="AF78" s="167">
        <f t="shared" si="82"/>
        <v>8.8064514276889883E-2</v>
      </c>
      <c r="AG78" s="167">
        <f t="shared" si="82"/>
        <v>6.4197355955351698E-2</v>
      </c>
      <c r="AH78" s="167">
        <f t="shared" si="82"/>
        <v>7.9823892267217422E-2</v>
      </c>
      <c r="AI78" s="167">
        <f t="shared" si="82"/>
        <v>5.6835167238945772E-2</v>
      </c>
      <c r="AJ78" s="167">
        <f t="shared" si="82"/>
        <v>8.3858229945602991E-2</v>
      </c>
      <c r="AK78" s="167">
        <f t="shared" si="82"/>
        <v>5.8589801335352742E-2</v>
      </c>
      <c r="AL78" s="167">
        <f t="shared" si="82"/>
        <v>7.5876776447148631E-2</v>
      </c>
      <c r="AM78" s="7"/>
    </row>
    <row r="79" spans="1:39" ht="15" customHeight="1">
      <c r="A79" s="96"/>
      <c r="D79" s="3"/>
      <c r="E79" s="3"/>
      <c r="F79" s="3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214"/>
      <c r="W79" s="214"/>
      <c r="X79" s="214"/>
      <c r="Y79" s="214"/>
      <c r="Z79" s="214"/>
      <c r="AA79" s="214"/>
      <c r="AB79" s="214"/>
      <c r="AC79" s="214"/>
      <c r="AD79" s="214"/>
      <c r="AE79" s="214"/>
      <c r="AF79" s="214"/>
      <c r="AG79" s="214"/>
      <c r="AH79" s="214"/>
      <c r="AI79" s="214"/>
      <c r="AJ79" s="214"/>
      <c r="AK79" s="214"/>
      <c r="AL79" s="214"/>
      <c r="AM79" s="7"/>
    </row>
    <row r="80" spans="1:39" ht="15" customHeight="1">
      <c r="A80" s="96" t="s">
        <v>372</v>
      </c>
      <c r="D80" s="3" t="s">
        <v>372</v>
      </c>
      <c r="E80" s="3"/>
      <c r="F80" s="3"/>
      <c r="G80" s="203"/>
      <c r="H80" s="203"/>
      <c r="I80" s="203"/>
      <c r="J80" s="203"/>
      <c r="K80" s="203"/>
      <c r="L80" s="203">
        <v>1.21</v>
      </c>
      <c r="M80" s="203">
        <v>1.2</v>
      </c>
      <c r="N80" s="203">
        <v>1.19</v>
      </c>
      <c r="O80" s="203">
        <v>1.18</v>
      </c>
      <c r="P80" s="203">
        <v>1.22</v>
      </c>
      <c r="Q80" s="203">
        <v>1.21</v>
      </c>
      <c r="R80" s="203">
        <v>1.19</v>
      </c>
      <c r="S80" s="203">
        <v>1.17</v>
      </c>
      <c r="T80" s="203">
        <v>1.1499999999999999</v>
      </c>
      <c r="U80" s="203">
        <v>1.1599999999999999</v>
      </c>
      <c r="V80" s="203">
        <v>1.19</v>
      </c>
      <c r="W80" s="203">
        <v>1.23</v>
      </c>
      <c r="X80" s="203">
        <v>1.24</v>
      </c>
      <c r="Y80" s="203">
        <v>1.24</v>
      </c>
      <c r="Z80" s="203">
        <v>1.25</v>
      </c>
      <c r="AA80" s="203">
        <v>1.27</v>
      </c>
      <c r="AB80" s="203">
        <v>1.26</v>
      </c>
      <c r="AC80" s="214"/>
      <c r="AD80" s="214"/>
      <c r="AE80" s="214"/>
      <c r="AF80" s="214"/>
      <c r="AG80" s="214"/>
      <c r="AH80" s="214"/>
      <c r="AI80" s="214"/>
      <c r="AJ80" s="214"/>
      <c r="AK80" s="214"/>
      <c r="AL80" s="214"/>
      <c r="AM80" s="7"/>
    </row>
    <row r="81" spans="1:39" ht="15" customHeight="1">
      <c r="A81" s="96"/>
      <c r="D81" s="3"/>
      <c r="E81" s="3"/>
      <c r="F81" s="3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214"/>
      <c r="W81" s="214"/>
      <c r="X81" s="214"/>
      <c r="Y81" s="214"/>
      <c r="Z81" s="214"/>
      <c r="AA81" s="214"/>
      <c r="AB81" s="214"/>
      <c r="AC81" s="214"/>
      <c r="AD81" s="214"/>
      <c r="AE81" s="214"/>
      <c r="AF81" s="214"/>
      <c r="AG81" s="214"/>
      <c r="AH81" s="214"/>
      <c r="AI81" s="214"/>
      <c r="AJ81" s="214"/>
      <c r="AK81" s="214"/>
      <c r="AL81" s="214"/>
      <c r="AM81" s="7"/>
    </row>
    <row r="82" spans="1:39" ht="15" customHeight="1">
      <c r="A82" s="96" t="s">
        <v>374</v>
      </c>
      <c r="D82" s="3" t="s">
        <v>374</v>
      </c>
      <c r="E82" s="3"/>
      <c r="F82" s="3"/>
      <c r="G82" s="190"/>
      <c r="H82" s="190"/>
      <c r="I82" s="190"/>
      <c r="J82" s="190"/>
      <c r="K82" s="190">
        <v>0.627</v>
      </c>
      <c r="L82" s="190">
        <v>0.70299999999999996</v>
      </c>
      <c r="M82" s="190">
        <v>0.79300000000000004</v>
      </c>
      <c r="N82" s="190">
        <v>0.86499999999999999</v>
      </c>
      <c r="O82" s="190">
        <v>0.96</v>
      </c>
      <c r="P82" s="190">
        <v>1.069</v>
      </c>
      <c r="Q82" s="190">
        <v>1.1910000000000001</v>
      </c>
      <c r="R82" s="190">
        <v>1.27</v>
      </c>
      <c r="S82" s="190">
        <v>1.3680000000000001</v>
      </c>
      <c r="T82" s="190">
        <v>1.5349999999999999</v>
      </c>
      <c r="U82" s="190">
        <v>1.6970000000000001</v>
      </c>
      <c r="V82" s="190">
        <v>1.788</v>
      </c>
      <c r="W82" s="190">
        <v>1.931</v>
      </c>
      <c r="X82" s="190">
        <v>2.0499999999999998</v>
      </c>
      <c r="Y82" s="190">
        <v>2.2400000000000002</v>
      </c>
      <c r="Z82" s="190">
        <v>2.4390000000000001</v>
      </c>
      <c r="AA82" s="190">
        <v>2.7509999999999999</v>
      </c>
      <c r="AB82" s="190">
        <v>3.0630000000000002</v>
      </c>
      <c r="AC82" s="214"/>
      <c r="AD82" s="214"/>
      <c r="AE82" s="214"/>
      <c r="AF82" s="214"/>
      <c r="AG82" s="214"/>
      <c r="AH82" s="214"/>
      <c r="AI82" s="214"/>
      <c r="AJ82" s="214"/>
      <c r="AK82" s="214"/>
      <c r="AL82" s="214"/>
      <c r="AM82" s="7"/>
    </row>
    <row r="83" spans="1:39" ht="15" customHeight="1">
      <c r="A83" s="96"/>
      <c r="D83" s="3"/>
      <c r="E83" s="3"/>
      <c r="F83" s="3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214"/>
      <c r="W83" s="214"/>
      <c r="X83" s="214"/>
      <c r="Y83" s="214"/>
      <c r="Z83" s="214"/>
      <c r="AA83" s="214"/>
      <c r="AB83" s="214"/>
      <c r="AC83" s="214"/>
      <c r="AD83" s="214"/>
      <c r="AE83" s="214"/>
      <c r="AF83" s="214"/>
      <c r="AG83" s="214"/>
      <c r="AH83" s="214"/>
      <c r="AI83" s="214"/>
      <c r="AJ83" s="214"/>
      <c r="AK83" s="214"/>
      <c r="AL83" s="214"/>
      <c r="AM83" s="7"/>
    </row>
    <row r="84" spans="1:39" outlineLevel="1">
      <c r="A84" s="96" t="s">
        <v>389</v>
      </c>
      <c r="D84" s="59" t="s">
        <v>211</v>
      </c>
      <c r="E84" s="3"/>
      <c r="F84" s="3"/>
      <c r="G84" s="177"/>
      <c r="H84" s="177"/>
      <c r="I84" s="177"/>
      <c r="J84" s="177"/>
      <c r="K84" s="177">
        <v>19.646999999999998</v>
      </c>
      <c r="L84" s="177">
        <v>21.312999999999999</v>
      </c>
      <c r="M84" s="177">
        <v>23.914000000000001</v>
      </c>
      <c r="N84" s="177">
        <f>27.778</f>
        <v>27.777999999999999</v>
      </c>
      <c r="O84" s="177">
        <v>30.739000000000001</v>
      </c>
      <c r="P84" s="177">
        <v>33.226999999999997</v>
      </c>
      <c r="Q84" s="177">
        <v>37.604999999999997</v>
      </c>
      <c r="R84" s="177">
        <v>43.003999999999998</v>
      </c>
      <c r="S84" s="177">
        <v>44.215000000000003</v>
      </c>
      <c r="T84" s="177">
        <v>48.478000000000002</v>
      </c>
      <c r="U84" s="177">
        <v>59.277000000000001</v>
      </c>
      <c r="V84" s="177">
        <v>66.221000000000004</v>
      </c>
      <c r="W84" s="177">
        <v>71.221999999999994</v>
      </c>
      <c r="X84" s="177">
        <v>79.944000000000003</v>
      </c>
      <c r="Y84" s="177">
        <v>90.733999999999995</v>
      </c>
      <c r="Z84" s="177">
        <v>100.678</v>
      </c>
      <c r="AA84" s="177">
        <v>111.35</v>
      </c>
      <c r="AB84" s="177">
        <v>124.259</v>
      </c>
      <c r="AC84" s="214"/>
      <c r="AD84" s="214"/>
      <c r="AE84" s="214"/>
      <c r="AF84" s="214"/>
      <c r="AG84" s="214"/>
      <c r="AH84" s="214"/>
      <c r="AI84" s="214"/>
      <c r="AJ84" s="214"/>
      <c r="AK84" s="214"/>
      <c r="AL84" s="214"/>
      <c r="AM84" s="7"/>
    </row>
    <row r="85" spans="1:39" outlineLevel="1">
      <c r="A85" s="96" t="s">
        <v>390</v>
      </c>
      <c r="D85" s="59" t="s">
        <v>375</v>
      </c>
      <c r="E85" s="3"/>
      <c r="F85" s="3"/>
      <c r="G85" s="177"/>
      <c r="H85" s="177"/>
      <c r="I85" s="177"/>
      <c r="J85" s="177"/>
      <c r="K85" s="177">
        <v>10.851000000000001</v>
      </c>
      <c r="L85" s="177">
        <v>11.875999999999999</v>
      </c>
      <c r="M85" s="177">
        <v>12.648</v>
      </c>
      <c r="N85" s="177">
        <v>13.063000000000001</v>
      </c>
      <c r="O85" s="177">
        <v>14.625999999999999</v>
      </c>
      <c r="P85" s="177">
        <v>15.997</v>
      </c>
      <c r="Q85" s="177">
        <v>17.652000000000001</v>
      </c>
      <c r="R85" s="177">
        <v>20.143000000000001</v>
      </c>
      <c r="S85" s="177">
        <v>23.106000000000002</v>
      </c>
      <c r="T85" s="177">
        <v>25.911999999999999</v>
      </c>
      <c r="U85" s="177">
        <v>27.943000000000001</v>
      </c>
      <c r="V85" s="177">
        <v>32.313000000000002</v>
      </c>
      <c r="W85" s="177">
        <v>35.531999999999996</v>
      </c>
      <c r="X85" s="177">
        <v>39.695999999999998</v>
      </c>
      <c r="Y85" s="177">
        <v>45.264000000000003</v>
      </c>
      <c r="Z85" s="177">
        <v>51.637</v>
      </c>
      <c r="AA85" s="177">
        <v>55.792000000000002</v>
      </c>
      <c r="AB85" s="177">
        <v>61.146999999999998</v>
      </c>
      <c r="AC85" s="214"/>
      <c r="AD85" s="214"/>
      <c r="AE85" s="214"/>
      <c r="AF85" s="214"/>
      <c r="AG85" s="214"/>
      <c r="AH85" s="214"/>
      <c r="AI85" s="214"/>
      <c r="AJ85" s="214"/>
      <c r="AK85" s="214"/>
      <c r="AL85" s="214"/>
      <c r="AM85" s="7"/>
    </row>
    <row r="86" spans="1:39" outlineLevel="1">
      <c r="A86" s="96" t="s">
        <v>391</v>
      </c>
      <c r="D86" s="59" t="s">
        <v>376</v>
      </c>
      <c r="E86" s="3"/>
      <c r="F86" s="3"/>
      <c r="G86" s="177"/>
      <c r="H86" s="177"/>
      <c r="I86" s="177"/>
      <c r="J86" s="177"/>
      <c r="K86" s="177">
        <v>8.6489999999999991</v>
      </c>
      <c r="L86" s="177">
        <v>9.1170000000000009</v>
      </c>
      <c r="M86" s="177">
        <v>10.223000000000001</v>
      </c>
      <c r="N86" s="177">
        <v>10.862</v>
      </c>
      <c r="O86" s="177">
        <v>12.179</v>
      </c>
      <c r="P86" s="177">
        <v>13.61</v>
      </c>
      <c r="Q86" s="177">
        <v>13.993</v>
      </c>
      <c r="R86" s="177">
        <v>15.349</v>
      </c>
      <c r="S86" s="177">
        <v>17.603999999999999</v>
      </c>
      <c r="T86" s="177">
        <v>18.588999999999999</v>
      </c>
      <c r="U86" s="177">
        <v>19.634</v>
      </c>
      <c r="V86" s="177">
        <v>20.350000000000001</v>
      </c>
      <c r="W86" s="177">
        <v>22.879000000000001</v>
      </c>
      <c r="X86" s="177">
        <v>22.841000000000001</v>
      </c>
      <c r="Y86" s="177">
        <v>24.518999999999998</v>
      </c>
      <c r="Z86" s="177">
        <v>26.297999999999998</v>
      </c>
      <c r="AA86" s="177">
        <v>29.925000000000001</v>
      </c>
      <c r="AB86" s="177">
        <v>32.755000000000003</v>
      </c>
      <c r="AC86" s="214"/>
      <c r="AD86" s="214"/>
      <c r="AE86" s="214"/>
      <c r="AF86" s="214"/>
      <c r="AG86" s="214"/>
      <c r="AH86" s="214"/>
      <c r="AI86" s="214"/>
      <c r="AJ86" s="214"/>
      <c r="AK86" s="214"/>
      <c r="AL86" s="214"/>
      <c r="AM86" s="7"/>
    </row>
    <row r="87" spans="1:39" outlineLevel="1">
      <c r="A87" s="96" t="s">
        <v>392</v>
      </c>
      <c r="D87" s="59" t="s">
        <v>123</v>
      </c>
      <c r="E87" s="3"/>
      <c r="F87" s="3"/>
      <c r="G87" s="177"/>
      <c r="H87" s="177"/>
      <c r="I87" s="177"/>
      <c r="J87" s="177"/>
      <c r="K87" s="177">
        <v>2.677</v>
      </c>
      <c r="L87" s="177">
        <v>2.9750000000000001</v>
      </c>
      <c r="M87" s="177">
        <v>3.2850000000000001</v>
      </c>
      <c r="N87" s="177">
        <v>3.7959999999999998</v>
      </c>
      <c r="O87" s="177">
        <v>4.1829999999999998</v>
      </c>
      <c r="P87" s="177">
        <v>4.59</v>
      </c>
      <c r="Q87" s="177">
        <v>4.6909999999999998</v>
      </c>
      <c r="R87" s="177">
        <v>5.4340000000000002</v>
      </c>
      <c r="S87" s="177">
        <v>6.3250000000000002</v>
      </c>
      <c r="T87" s="177">
        <v>6.742</v>
      </c>
      <c r="U87" s="177">
        <v>7.3079999999999998</v>
      </c>
      <c r="V87" s="177">
        <v>7.0419999999999998</v>
      </c>
      <c r="W87" s="177">
        <v>8.4220000000000006</v>
      </c>
      <c r="X87" s="177">
        <v>9.9469999999999992</v>
      </c>
      <c r="Y87" s="177">
        <v>11.83</v>
      </c>
      <c r="Z87" s="177">
        <v>14.983000000000001</v>
      </c>
      <c r="AA87" s="177">
        <v>15.1</v>
      </c>
      <c r="AB87" s="177">
        <v>16.356000000000002</v>
      </c>
      <c r="AC87" s="214"/>
      <c r="AD87" s="214"/>
      <c r="AE87" s="214"/>
      <c r="AF87" s="214"/>
      <c r="AG87" s="214"/>
      <c r="AH87" s="214"/>
      <c r="AI87" s="214"/>
      <c r="AJ87" s="214"/>
      <c r="AK87" s="214"/>
      <c r="AL87" s="214"/>
      <c r="AM87" s="7"/>
    </row>
    <row r="88" spans="1:39" s="3" customFormat="1" outlineLevel="1">
      <c r="A88" s="96"/>
      <c r="D88" s="193" t="s">
        <v>207</v>
      </c>
      <c r="E88" s="193"/>
      <c r="F88" s="193"/>
      <c r="G88" s="211"/>
      <c r="H88" s="211"/>
      <c r="I88" s="211"/>
      <c r="J88" s="211"/>
      <c r="K88" s="211">
        <f t="shared" ref="K88:Z88" si="83">SUM(K84:K87)</f>
        <v>41.823999999999998</v>
      </c>
      <c r="L88" s="211">
        <f t="shared" si="83"/>
        <v>45.280999999999999</v>
      </c>
      <c r="M88" s="211">
        <f t="shared" si="83"/>
        <v>50.069999999999993</v>
      </c>
      <c r="N88" s="211">
        <f t="shared" si="83"/>
        <v>55.499000000000002</v>
      </c>
      <c r="O88" s="211">
        <f t="shared" si="83"/>
        <v>61.727000000000004</v>
      </c>
      <c r="P88" s="211">
        <f t="shared" si="83"/>
        <v>67.423999999999992</v>
      </c>
      <c r="Q88" s="211">
        <f t="shared" si="83"/>
        <v>73.941000000000003</v>
      </c>
      <c r="R88" s="211">
        <f t="shared" si="83"/>
        <v>83.929999999999993</v>
      </c>
      <c r="S88" s="211">
        <f t="shared" si="83"/>
        <v>91.25</v>
      </c>
      <c r="T88" s="211">
        <f t="shared" si="83"/>
        <v>99.721000000000004</v>
      </c>
      <c r="U88" s="211">
        <f t="shared" si="83"/>
        <v>114.16200000000001</v>
      </c>
      <c r="V88" s="211">
        <f t="shared" si="83"/>
        <v>125.92600000000002</v>
      </c>
      <c r="W88" s="211">
        <f t="shared" si="83"/>
        <v>138.05499999999998</v>
      </c>
      <c r="X88" s="211">
        <f t="shared" si="83"/>
        <v>152.428</v>
      </c>
      <c r="Y88" s="211">
        <f t="shared" si="83"/>
        <v>172.34700000000001</v>
      </c>
      <c r="Z88" s="211">
        <f t="shared" si="83"/>
        <v>193.596</v>
      </c>
      <c r="AA88" s="211">
        <f>SUM(AA84:AA87)</f>
        <v>212.167</v>
      </c>
      <c r="AB88" s="211">
        <f>SUM(AB84:AB87)</f>
        <v>234.517</v>
      </c>
      <c r="AC88" s="211"/>
      <c r="AD88" s="211"/>
      <c r="AE88" s="211"/>
      <c r="AF88" s="211"/>
      <c r="AG88" s="211"/>
      <c r="AH88" s="211"/>
      <c r="AI88" s="211"/>
      <c r="AJ88" s="211"/>
      <c r="AK88" s="211"/>
      <c r="AL88" s="211"/>
      <c r="AM88" s="53"/>
    </row>
    <row r="89" spans="1:39" s="52" customFormat="1" outlineLevel="1">
      <c r="A89" s="96"/>
      <c r="D89" s="73" t="s">
        <v>116</v>
      </c>
      <c r="G89" s="179"/>
      <c r="H89" s="179"/>
      <c r="I89" s="179"/>
      <c r="J89" s="179"/>
      <c r="K89" s="179" t="b">
        <f t="shared" ref="K89:AA89" si="84">K88=K11</f>
        <v>1</v>
      </c>
      <c r="L89" s="179" t="b">
        <f t="shared" si="84"/>
        <v>1</v>
      </c>
      <c r="M89" s="179" t="b">
        <f t="shared" si="84"/>
        <v>1</v>
      </c>
      <c r="N89" s="179" t="b">
        <f t="shared" si="84"/>
        <v>1</v>
      </c>
      <c r="O89" s="179" t="b">
        <f t="shared" si="84"/>
        <v>1</v>
      </c>
      <c r="P89" s="179" t="b">
        <f t="shared" si="84"/>
        <v>1</v>
      </c>
      <c r="Q89" s="179" t="b">
        <f t="shared" si="84"/>
        <v>1</v>
      </c>
      <c r="R89" s="179" t="b">
        <f t="shared" si="84"/>
        <v>1</v>
      </c>
      <c r="S89" s="179" t="b">
        <f t="shared" si="84"/>
        <v>1</v>
      </c>
      <c r="T89" s="179" t="b">
        <f t="shared" si="84"/>
        <v>1</v>
      </c>
      <c r="U89" s="179" t="b">
        <f t="shared" si="84"/>
        <v>1</v>
      </c>
      <c r="V89" s="179" t="b">
        <f t="shared" si="84"/>
        <v>1</v>
      </c>
      <c r="W89" s="179" t="b">
        <f t="shared" si="84"/>
        <v>1</v>
      </c>
      <c r="X89" s="179" t="b">
        <f t="shared" si="84"/>
        <v>1</v>
      </c>
      <c r="Y89" s="179" t="b">
        <f t="shared" si="84"/>
        <v>1</v>
      </c>
      <c r="Z89" s="179" t="b">
        <f t="shared" si="84"/>
        <v>1</v>
      </c>
      <c r="AA89" s="179" t="b">
        <f t="shared" si="84"/>
        <v>1</v>
      </c>
      <c r="AB89" s="179" t="b">
        <f>AB88=AB11</f>
        <v>1</v>
      </c>
      <c r="AC89" s="215"/>
      <c r="AD89" s="215"/>
      <c r="AE89" s="215"/>
      <c r="AF89" s="215"/>
      <c r="AG89" s="215"/>
      <c r="AH89" s="215"/>
      <c r="AI89" s="215"/>
      <c r="AJ89" s="215"/>
      <c r="AK89" s="215"/>
      <c r="AL89" s="215"/>
      <c r="AM89" s="163"/>
    </row>
    <row r="90" spans="1:39" s="52" customFormat="1" outlineLevel="1">
      <c r="A90" s="96"/>
      <c r="D90" s="73" t="s">
        <v>237</v>
      </c>
      <c r="G90" s="167"/>
      <c r="H90" s="167"/>
      <c r="I90" s="167"/>
      <c r="J90" s="167"/>
      <c r="K90" s="167">
        <f t="shared" ref="K90:Z90" si="85">IFERROR(K84/K$88,"na")</f>
        <v>0.46975420811017599</v>
      </c>
      <c r="L90" s="167">
        <f t="shared" si="85"/>
        <v>0.47068306795344622</v>
      </c>
      <c r="M90" s="167">
        <f t="shared" si="85"/>
        <v>0.47761134411823458</v>
      </c>
      <c r="N90" s="167">
        <f t="shared" si="85"/>
        <v>0.50051352276617589</v>
      </c>
      <c r="O90" s="167">
        <f t="shared" si="85"/>
        <v>0.49798305441702978</v>
      </c>
      <c r="P90" s="167">
        <f t="shared" si="85"/>
        <v>0.49280671570953966</v>
      </c>
      <c r="Q90" s="167">
        <f t="shared" si="85"/>
        <v>0.50858116606483539</v>
      </c>
      <c r="R90" s="167">
        <f t="shared" si="85"/>
        <v>0.51237936375551052</v>
      </c>
      <c r="S90" s="167">
        <f t="shared" si="85"/>
        <v>0.4845479452054795</v>
      </c>
      <c r="T90" s="167">
        <f t="shared" si="85"/>
        <v>0.48613632033373111</v>
      </c>
      <c r="U90" s="167">
        <f t="shared" si="85"/>
        <v>0.51923582277815739</v>
      </c>
      <c r="V90" s="167">
        <f t="shared" si="85"/>
        <v>0.52587233772215425</v>
      </c>
      <c r="W90" s="167">
        <f t="shared" si="85"/>
        <v>0.51589583861504473</v>
      </c>
      <c r="X90" s="167">
        <f t="shared" si="85"/>
        <v>0.52447056971160155</v>
      </c>
      <c r="Y90" s="167">
        <f t="shared" si="85"/>
        <v>0.52646115104991664</v>
      </c>
      <c r="Z90" s="167">
        <f t="shared" si="85"/>
        <v>0.52004173639951234</v>
      </c>
      <c r="AA90" s="167">
        <f t="shared" ref="AA90:AB93" si="86">IFERROR(AA84/AA$88,"na")</f>
        <v>0.52482242761598175</v>
      </c>
      <c r="AB90" s="167">
        <f t="shared" si="86"/>
        <v>0.52985071444714027</v>
      </c>
      <c r="AC90" s="166"/>
      <c r="AD90" s="166"/>
      <c r="AE90" s="166"/>
      <c r="AF90" s="166"/>
      <c r="AG90" s="166"/>
      <c r="AH90" s="166"/>
      <c r="AI90" s="166"/>
      <c r="AJ90" s="166"/>
      <c r="AK90" s="166"/>
      <c r="AL90" s="166"/>
      <c r="AM90" s="163"/>
    </row>
    <row r="91" spans="1:39" s="52" customFormat="1" outlineLevel="1">
      <c r="A91" s="96"/>
      <c r="D91" s="73" t="s">
        <v>377</v>
      </c>
      <c r="G91" s="167"/>
      <c r="H91" s="167"/>
      <c r="I91" s="167"/>
      <c r="J91" s="167"/>
      <c r="K91" s="167">
        <f t="shared" ref="K91:Z91" si="87">IFERROR(K85/K$88,"na")</f>
        <v>0.259444338179036</v>
      </c>
      <c r="L91" s="167">
        <f t="shared" si="87"/>
        <v>0.26227335968728605</v>
      </c>
      <c r="M91" s="167">
        <f t="shared" si="87"/>
        <v>0.2526063511084482</v>
      </c>
      <c r="N91" s="167">
        <f t="shared" si="87"/>
        <v>0.23537361033532136</v>
      </c>
      <c r="O91" s="167">
        <f t="shared" si="87"/>
        <v>0.23694655499214279</v>
      </c>
      <c r="P91" s="167">
        <f t="shared" si="87"/>
        <v>0.23725972947318466</v>
      </c>
      <c r="Q91" s="167">
        <f t="shared" si="87"/>
        <v>0.23873088002596665</v>
      </c>
      <c r="R91" s="167">
        <f t="shared" si="87"/>
        <v>0.23999761706183728</v>
      </c>
      <c r="S91" s="167">
        <f t="shared" si="87"/>
        <v>0.25321643835616442</v>
      </c>
      <c r="T91" s="167">
        <f t="shared" si="87"/>
        <v>0.25984496745921121</v>
      </c>
      <c r="U91" s="167">
        <f t="shared" si="87"/>
        <v>0.24476620942169899</v>
      </c>
      <c r="V91" s="167">
        <f t="shared" si="87"/>
        <v>0.25660308435112683</v>
      </c>
      <c r="W91" s="167">
        <f t="shared" si="87"/>
        <v>0.25737568360436058</v>
      </c>
      <c r="X91" s="167">
        <f t="shared" si="87"/>
        <v>0.26042459390663131</v>
      </c>
      <c r="Y91" s="167">
        <f t="shared" si="87"/>
        <v>0.26263294400250659</v>
      </c>
      <c r="Z91" s="167">
        <f t="shared" si="87"/>
        <v>0.26672555218083016</v>
      </c>
      <c r="AA91" s="167">
        <f t="shared" si="86"/>
        <v>0.26296266620162417</v>
      </c>
      <c r="AB91" s="167">
        <f t="shared" si="86"/>
        <v>0.26073589547879256</v>
      </c>
      <c r="AC91" s="215"/>
      <c r="AD91" s="215"/>
      <c r="AE91" s="215"/>
      <c r="AF91" s="215"/>
      <c r="AG91" s="215"/>
      <c r="AH91" s="215"/>
      <c r="AI91" s="215"/>
      <c r="AJ91" s="215"/>
      <c r="AK91" s="215"/>
      <c r="AL91" s="215"/>
      <c r="AM91" s="163"/>
    </row>
    <row r="92" spans="1:39" s="52" customFormat="1" outlineLevel="1">
      <c r="A92" s="96"/>
      <c r="D92" s="73" t="s">
        <v>530</v>
      </c>
      <c r="G92" s="167"/>
      <c r="H92" s="167"/>
      <c r="I92" s="167"/>
      <c r="J92" s="167"/>
      <c r="K92" s="167">
        <f t="shared" ref="K92:Z92" si="88">IFERROR(K86/K$88,"na")</f>
        <v>0.20679514154552409</v>
      </c>
      <c r="L92" s="167">
        <f t="shared" si="88"/>
        <v>0.20134272652989116</v>
      </c>
      <c r="M92" s="167">
        <f t="shared" si="88"/>
        <v>0.20417415618134616</v>
      </c>
      <c r="N92" s="167">
        <f t="shared" si="88"/>
        <v>0.19571523811239841</v>
      </c>
      <c r="O92" s="167">
        <f t="shared" si="88"/>
        <v>0.19730425907625512</v>
      </c>
      <c r="P92" s="167">
        <f t="shared" si="88"/>
        <v>0.20185690555291885</v>
      </c>
      <c r="Q92" s="167">
        <f t="shared" si="88"/>
        <v>0.18924547950392881</v>
      </c>
      <c r="R92" s="167">
        <f t="shared" si="88"/>
        <v>0.18287858930060766</v>
      </c>
      <c r="S92" s="167">
        <f t="shared" si="88"/>
        <v>0.19292054794520547</v>
      </c>
      <c r="T92" s="167">
        <f t="shared" si="88"/>
        <v>0.18641008413473589</v>
      </c>
      <c r="U92" s="167">
        <f t="shared" si="88"/>
        <v>0.17198367232529213</v>
      </c>
      <c r="V92" s="167">
        <f t="shared" si="88"/>
        <v>0.16160284611597286</v>
      </c>
      <c r="W92" s="167">
        <f t="shared" si="88"/>
        <v>0.16572380572960055</v>
      </c>
      <c r="X92" s="167">
        <f t="shared" si="88"/>
        <v>0.14984779699267853</v>
      </c>
      <c r="Y92" s="167">
        <f t="shared" si="88"/>
        <v>0.14226531358248184</v>
      </c>
      <c r="Z92" s="167">
        <f t="shared" si="88"/>
        <v>0.13583958346246822</v>
      </c>
      <c r="AA92" s="167">
        <f t="shared" si="86"/>
        <v>0.14104455452544459</v>
      </c>
      <c r="AB92" s="167">
        <f t="shared" si="86"/>
        <v>0.13967004524192278</v>
      </c>
      <c r="AC92" s="215"/>
      <c r="AD92" s="215"/>
      <c r="AE92" s="215"/>
      <c r="AF92" s="215"/>
      <c r="AG92" s="215"/>
      <c r="AH92" s="215"/>
      <c r="AI92" s="215"/>
      <c r="AJ92" s="215"/>
      <c r="AK92" s="215"/>
      <c r="AL92" s="215"/>
      <c r="AM92" s="163"/>
    </row>
    <row r="93" spans="1:39" s="52" customFormat="1" outlineLevel="1">
      <c r="A93" s="96"/>
      <c r="D93" s="73" t="s">
        <v>531</v>
      </c>
      <c r="G93" s="167"/>
      <c r="H93" s="167"/>
      <c r="I93" s="167"/>
      <c r="J93" s="167"/>
      <c r="K93" s="167">
        <f t="shared" ref="K93:Z93" si="89">IFERROR(K87/K$88,"na")</f>
        <v>6.4006312165263965E-2</v>
      </c>
      <c r="L93" s="167">
        <f t="shared" si="89"/>
        <v>6.5700845829376561E-2</v>
      </c>
      <c r="M93" s="167">
        <f t="shared" si="89"/>
        <v>6.5608148591971255E-2</v>
      </c>
      <c r="N93" s="167">
        <f t="shared" si="89"/>
        <v>6.8397628786104253E-2</v>
      </c>
      <c r="O93" s="167">
        <f t="shared" si="89"/>
        <v>6.7766131514572225E-2</v>
      </c>
      <c r="P93" s="167">
        <f t="shared" si="89"/>
        <v>6.8076649264356914E-2</v>
      </c>
      <c r="Q93" s="167">
        <f t="shared" si="89"/>
        <v>6.3442474405269067E-2</v>
      </c>
      <c r="R93" s="167">
        <f t="shared" si="89"/>
        <v>6.4744429882044569E-2</v>
      </c>
      <c r="S93" s="167">
        <f t="shared" si="89"/>
        <v>6.9315068493150681E-2</v>
      </c>
      <c r="T93" s="167">
        <f t="shared" si="89"/>
        <v>6.7608628072321778E-2</v>
      </c>
      <c r="U93" s="167">
        <f t="shared" si="89"/>
        <v>6.4014295474851518E-2</v>
      </c>
      <c r="V93" s="167">
        <f t="shared" si="89"/>
        <v>5.5921731810745987E-2</v>
      </c>
      <c r="W93" s="167">
        <f t="shared" si="89"/>
        <v>6.1004672050994184E-2</v>
      </c>
      <c r="X93" s="167">
        <f t="shared" si="89"/>
        <v>6.5257039389088611E-2</v>
      </c>
      <c r="Y93" s="167">
        <f t="shared" si="89"/>
        <v>6.864059136509483E-2</v>
      </c>
      <c r="Z93" s="167">
        <f t="shared" si="89"/>
        <v>7.7393127957189195E-2</v>
      </c>
      <c r="AA93" s="167">
        <f t="shared" si="86"/>
        <v>7.1170351656949474E-2</v>
      </c>
      <c r="AB93" s="167">
        <f t="shared" si="86"/>
        <v>6.974334483214438E-2</v>
      </c>
      <c r="AC93" s="215"/>
      <c r="AD93" s="215"/>
      <c r="AE93" s="215"/>
      <c r="AF93" s="215"/>
      <c r="AG93" s="215"/>
      <c r="AH93" s="215"/>
      <c r="AI93" s="215"/>
      <c r="AJ93" s="215"/>
      <c r="AK93" s="215"/>
      <c r="AL93" s="215"/>
      <c r="AM93" s="163"/>
    </row>
    <row r="94" spans="1:39" s="52" customFormat="1" outlineLevel="1">
      <c r="A94" s="96"/>
      <c r="D94" s="73"/>
      <c r="G94" s="179"/>
      <c r="H94" s="179"/>
      <c r="I94" s="179"/>
      <c r="J94" s="179"/>
      <c r="K94" s="179"/>
      <c r="L94" s="179"/>
      <c r="M94" s="179"/>
      <c r="N94" s="179"/>
      <c r="O94" s="179"/>
      <c r="P94" s="179"/>
      <c r="Q94" s="179"/>
      <c r="R94" s="179"/>
      <c r="S94" s="179"/>
      <c r="T94" s="179"/>
      <c r="U94" s="179"/>
      <c r="V94" s="215"/>
      <c r="W94" s="215"/>
      <c r="X94" s="215"/>
      <c r="Y94" s="215"/>
      <c r="Z94" s="215"/>
      <c r="AA94" s="215"/>
      <c r="AB94" s="215"/>
      <c r="AC94" s="215"/>
      <c r="AD94" s="215"/>
      <c r="AE94" s="215"/>
      <c r="AF94" s="215"/>
      <c r="AG94" s="215"/>
      <c r="AH94" s="215"/>
      <c r="AI94" s="215"/>
      <c r="AJ94" s="215"/>
      <c r="AK94" s="215"/>
      <c r="AL94" s="215"/>
      <c r="AM94" s="163"/>
    </row>
    <row r="95" spans="1:39" outlineLevel="1">
      <c r="A95" s="96" t="s">
        <v>393</v>
      </c>
      <c r="D95" s="59" t="s">
        <v>378</v>
      </c>
      <c r="E95" s="3"/>
      <c r="F95" s="3"/>
      <c r="G95" s="177"/>
      <c r="H95" s="177"/>
      <c r="I95" s="177"/>
      <c r="J95" s="177"/>
      <c r="K95" s="177">
        <v>2.831</v>
      </c>
      <c r="L95" s="177">
        <v>2.887</v>
      </c>
      <c r="M95" s="177">
        <v>3.367</v>
      </c>
      <c r="N95" s="177">
        <v>4.1459999999999999</v>
      </c>
      <c r="O95" s="177">
        <v>6.1959999999999997</v>
      </c>
      <c r="P95" s="177">
        <v>5.6630000000000003</v>
      </c>
      <c r="Q95" s="177">
        <v>6.5540000000000003</v>
      </c>
      <c r="R95" s="177">
        <v>8.0830000000000002</v>
      </c>
      <c r="S95" s="177">
        <v>9.1590000000000007</v>
      </c>
      <c r="T95" s="177">
        <v>10.153</v>
      </c>
      <c r="U95" s="177">
        <v>12.159000000000001</v>
      </c>
      <c r="V95" s="177">
        <v>13.829000000000001</v>
      </c>
      <c r="W95" s="177">
        <v>15.362</v>
      </c>
      <c r="X95" s="177">
        <v>16.872</v>
      </c>
      <c r="Y95" s="177">
        <v>19.527000000000001</v>
      </c>
      <c r="Z95" s="177">
        <v>22.041</v>
      </c>
      <c r="AA95" s="177">
        <v>24.356000000000002</v>
      </c>
      <c r="AB95" s="177">
        <v>28.933</v>
      </c>
      <c r="AC95" s="214"/>
      <c r="AD95" s="214"/>
      <c r="AE95" s="214"/>
      <c r="AF95" s="214"/>
      <c r="AG95" s="214"/>
      <c r="AH95" s="214"/>
      <c r="AI95" s="214"/>
      <c r="AJ95" s="214"/>
      <c r="AK95" s="214"/>
      <c r="AL95" s="214"/>
      <c r="AM95" s="7"/>
    </row>
    <row r="96" spans="1:39" outlineLevel="1">
      <c r="A96" s="96" t="s">
        <v>394</v>
      </c>
      <c r="D96" s="59" t="s">
        <v>379</v>
      </c>
      <c r="E96" s="3"/>
      <c r="F96" s="3"/>
      <c r="G96" s="177"/>
      <c r="H96" s="177"/>
      <c r="I96" s="177"/>
      <c r="J96" s="177"/>
      <c r="K96" s="177">
        <v>38.993000000000002</v>
      </c>
      <c r="L96" s="177">
        <v>42.393999999999998</v>
      </c>
      <c r="M96" s="177">
        <v>46.703000000000003</v>
      </c>
      <c r="N96" s="177">
        <v>51.353000000000002</v>
      </c>
      <c r="O96" s="177">
        <v>55.530999999999999</v>
      </c>
      <c r="P96" s="177">
        <v>61.761000000000003</v>
      </c>
      <c r="Q96" s="177">
        <v>67.387</v>
      </c>
      <c r="R96" s="177">
        <v>75.846999999999994</v>
      </c>
      <c r="S96" s="177">
        <v>82.090999999999994</v>
      </c>
      <c r="T96" s="177">
        <v>89.567999999999998</v>
      </c>
      <c r="U96" s="177">
        <v>102.003</v>
      </c>
      <c r="V96" s="177">
        <v>112.09699999999999</v>
      </c>
      <c r="W96" s="177">
        <v>122.693</v>
      </c>
      <c r="X96" s="177">
        <v>135.55600000000001</v>
      </c>
      <c r="Y96" s="177">
        <v>152.82</v>
      </c>
      <c r="Z96" s="177">
        <v>171.55500000000001</v>
      </c>
      <c r="AA96" s="177">
        <v>187.81100000000001</v>
      </c>
      <c r="AB96" s="177">
        <v>205.584</v>
      </c>
      <c r="AC96" s="214"/>
      <c r="AD96" s="214"/>
      <c r="AE96" s="214"/>
      <c r="AF96" s="214"/>
      <c r="AG96" s="214"/>
      <c r="AH96" s="214"/>
      <c r="AI96" s="214"/>
      <c r="AJ96" s="214"/>
      <c r="AK96" s="214"/>
      <c r="AL96" s="214"/>
      <c r="AM96" s="7"/>
    </row>
    <row r="97" spans="1:39" s="3" customFormat="1" outlineLevel="1">
      <c r="A97" s="96"/>
      <c r="D97" s="193" t="s">
        <v>207</v>
      </c>
      <c r="E97" s="193"/>
      <c r="F97" s="193"/>
      <c r="G97" s="211"/>
      <c r="H97" s="211"/>
      <c r="I97" s="211"/>
      <c r="J97" s="211"/>
      <c r="K97" s="211">
        <f t="shared" ref="K97:Z97" si="90">SUM(K95:K96)</f>
        <v>41.824000000000005</v>
      </c>
      <c r="L97" s="211">
        <f t="shared" si="90"/>
        <v>45.280999999999999</v>
      </c>
      <c r="M97" s="211">
        <f t="shared" si="90"/>
        <v>50.07</v>
      </c>
      <c r="N97" s="211">
        <f t="shared" si="90"/>
        <v>55.499000000000002</v>
      </c>
      <c r="O97" s="211">
        <f t="shared" si="90"/>
        <v>61.726999999999997</v>
      </c>
      <c r="P97" s="211">
        <f t="shared" si="90"/>
        <v>67.424000000000007</v>
      </c>
      <c r="Q97" s="211">
        <f t="shared" si="90"/>
        <v>73.941000000000003</v>
      </c>
      <c r="R97" s="211">
        <f t="shared" si="90"/>
        <v>83.929999999999993</v>
      </c>
      <c r="S97" s="211">
        <f t="shared" si="90"/>
        <v>91.25</v>
      </c>
      <c r="T97" s="211">
        <f t="shared" si="90"/>
        <v>99.721000000000004</v>
      </c>
      <c r="U97" s="211">
        <f t="shared" si="90"/>
        <v>114.16200000000001</v>
      </c>
      <c r="V97" s="211">
        <f t="shared" si="90"/>
        <v>125.92599999999999</v>
      </c>
      <c r="W97" s="211">
        <f t="shared" si="90"/>
        <v>138.05500000000001</v>
      </c>
      <c r="X97" s="211">
        <f t="shared" si="90"/>
        <v>152.428</v>
      </c>
      <c r="Y97" s="211">
        <f t="shared" si="90"/>
        <v>172.34699999999998</v>
      </c>
      <c r="Z97" s="211">
        <f t="shared" si="90"/>
        <v>193.596</v>
      </c>
      <c r="AA97" s="211">
        <f>SUM(AA95:AA96)</f>
        <v>212.167</v>
      </c>
      <c r="AB97" s="211">
        <f>SUM(AB95:AB96)</f>
        <v>234.517</v>
      </c>
      <c r="AC97" s="211"/>
      <c r="AD97" s="211"/>
      <c r="AE97" s="211"/>
      <c r="AF97" s="211"/>
      <c r="AG97" s="211"/>
      <c r="AH97" s="211"/>
      <c r="AI97" s="211"/>
      <c r="AJ97" s="211"/>
      <c r="AK97" s="211"/>
      <c r="AL97" s="211"/>
      <c r="AM97" s="53"/>
    </row>
    <row r="98" spans="1:39" s="52" customFormat="1" outlineLevel="1">
      <c r="A98" s="96"/>
      <c r="D98" s="73" t="s">
        <v>116</v>
      </c>
      <c r="G98" s="179"/>
      <c r="H98" s="179"/>
      <c r="I98" s="179"/>
      <c r="J98" s="179"/>
      <c r="K98" s="179" t="b">
        <f t="shared" ref="K98:AA98" si="91">K97=K11</f>
        <v>1</v>
      </c>
      <c r="L98" s="179" t="b">
        <f t="shared" si="91"/>
        <v>1</v>
      </c>
      <c r="M98" s="179" t="b">
        <f t="shared" si="91"/>
        <v>1</v>
      </c>
      <c r="N98" s="179" t="b">
        <f t="shared" si="91"/>
        <v>1</v>
      </c>
      <c r="O98" s="179" t="b">
        <f t="shared" si="91"/>
        <v>1</v>
      </c>
      <c r="P98" s="179" t="b">
        <f t="shared" si="91"/>
        <v>1</v>
      </c>
      <c r="Q98" s="179" t="b">
        <f t="shared" si="91"/>
        <v>1</v>
      </c>
      <c r="R98" s="179" t="b">
        <f t="shared" si="91"/>
        <v>1</v>
      </c>
      <c r="S98" s="179" t="b">
        <f t="shared" si="91"/>
        <v>1</v>
      </c>
      <c r="T98" s="179" t="b">
        <f t="shared" si="91"/>
        <v>1</v>
      </c>
      <c r="U98" s="179" t="b">
        <f t="shared" si="91"/>
        <v>1</v>
      </c>
      <c r="V98" s="179" t="b">
        <f t="shared" si="91"/>
        <v>1</v>
      </c>
      <c r="W98" s="179" t="b">
        <f t="shared" si="91"/>
        <v>1</v>
      </c>
      <c r="X98" s="179" t="b">
        <f t="shared" si="91"/>
        <v>1</v>
      </c>
      <c r="Y98" s="179" t="b">
        <f t="shared" si="91"/>
        <v>1</v>
      </c>
      <c r="Z98" s="179" t="b">
        <f t="shared" si="91"/>
        <v>1</v>
      </c>
      <c r="AA98" s="179" t="b">
        <f t="shared" si="91"/>
        <v>1</v>
      </c>
      <c r="AB98" s="179" t="b">
        <f>AB97=AB11</f>
        <v>1</v>
      </c>
      <c r="AC98" s="215"/>
      <c r="AD98" s="215"/>
      <c r="AE98" s="215"/>
      <c r="AF98" s="215"/>
      <c r="AG98" s="215"/>
      <c r="AH98" s="215"/>
      <c r="AI98" s="215"/>
      <c r="AJ98" s="215"/>
      <c r="AK98" s="215"/>
      <c r="AL98" s="215"/>
      <c r="AM98" s="163"/>
    </row>
    <row r="99" spans="1:39" s="52" customFormat="1" outlineLevel="1">
      <c r="A99" s="96"/>
      <c r="D99" s="73" t="s">
        <v>380</v>
      </c>
      <c r="G99" s="167"/>
      <c r="H99" s="167"/>
      <c r="I99" s="167"/>
      <c r="J99" s="167"/>
      <c r="K99" s="167">
        <f t="shared" ref="K99:Z99" si="92">IFERROR(K95/K$97,"na")</f>
        <v>6.7688408569242534E-2</v>
      </c>
      <c r="L99" s="167">
        <f t="shared" si="92"/>
        <v>6.3757425851902569E-2</v>
      </c>
      <c r="M99" s="167">
        <f t="shared" si="92"/>
        <v>6.7245855801877377E-2</v>
      </c>
      <c r="N99" s="167">
        <f t="shared" si="92"/>
        <v>7.4704048721598582E-2</v>
      </c>
      <c r="O99" s="167">
        <f t="shared" si="92"/>
        <v>0.1003774685307888</v>
      </c>
      <c r="P99" s="167">
        <f t="shared" si="92"/>
        <v>8.3990863787375414E-2</v>
      </c>
      <c r="Q99" s="167">
        <f t="shared" si="92"/>
        <v>8.8638238595637062E-2</v>
      </c>
      <c r="R99" s="167">
        <f t="shared" si="92"/>
        <v>9.6306445847730265E-2</v>
      </c>
      <c r="S99" s="167">
        <f t="shared" si="92"/>
        <v>0.10037260273972604</v>
      </c>
      <c r="T99" s="167">
        <f t="shared" si="92"/>
        <v>0.10181406123083403</v>
      </c>
      <c r="U99" s="167">
        <f t="shared" si="92"/>
        <v>0.10650654333315815</v>
      </c>
      <c r="V99" s="167">
        <f t="shared" si="92"/>
        <v>0.10981846481266777</v>
      </c>
      <c r="W99" s="167">
        <f t="shared" si="92"/>
        <v>0.11127449205026982</v>
      </c>
      <c r="X99" s="167">
        <f t="shared" si="92"/>
        <v>0.11068832497966254</v>
      </c>
      <c r="Y99" s="167">
        <f t="shared" si="92"/>
        <v>0.11330049261083745</v>
      </c>
      <c r="Z99" s="167">
        <f t="shared" si="92"/>
        <v>0.11385049277877642</v>
      </c>
      <c r="AA99" s="167">
        <f>IFERROR(AA95/AA$97,"na")</f>
        <v>0.11479636324216302</v>
      </c>
      <c r="AB99" s="167">
        <f>IFERROR(AB95/AB$97,"na")</f>
        <v>0.12337271924849798</v>
      </c>
      <c r="AC99" s="166"/>
      <c r="AD99" s="166"/>
      <c r="AE99" s="166"/>
      <c r="AF99" s="166"/>
      <c r="AG99" s="166"/>
      <c r="AH99" s="166"/>
      <c r="AI99" s="166"/>
      <c r="AJ99" s="166"/>
      <c r="AK99" s="166"/>
      <c r="AL99" s="166"/>
      <c r="AM99" s="163"/>
    </row>
    <row r="100" spans="1:39">
      <c r="A100" s="96"/>
      <c r="D100" s="3"/>
      <c r="E100" s="3"/>
      <c r="F100" s="3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214"/>
      <c r="W100" s="214"/>
      <c r="X100" s="214"/>
      <c r="Y100" s="214"/>
      <c r="Z100" s="214"/>
      <c r="AA100" s="214"/>
      <c r="AB100" s="214"/>
      <c r="AC100" s="214"/>
      <c r="AD100" s="214"/>
      <c r="AE100" s="214"/>
      <c r="AF100" s="214"/>
      <c r="AG100" s="214"/>
      <c r="AH100" s="214"/>
      <c r="AI100" s="214"/>
      <c r="AJ100" s="214"/>
      <c r="AK100" s="214"/>
      <c r="AL100" s="214"/>
      <c r="AM100" s="7"/>
    </row>
    <row r="101" spans="1:39">
      <c r="A101" s="96"/>
      <c r="B101" s="206" t="s">
        <v>167</v>
      </c>
      <c r="C101" s="41" t="s">
        <v>167</v>
      </c>
      <c r="D101" s="42"/>
      <c r="E101" s="42"/>
      <c r="F101" s="42"/>
      <c r="G101" s="42"/>
      <c r="H101" s="42"/>
      <c r="I101" s="42"/>
      <c r="J101" s="42"/>
      <c r="K101" s="42"/>
      <c r="L101" s="42"/>
      <c r="M101" s="42"/>
      <c r="N101" s="42"/>
      <c r="O101" s="42"/>
      <c r="P101" s="42"/>
      <c r="Q101" s="42"/>
      <c r="R101" s="42"/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</row>
    <row r="102" spans="1:39">
      <c r="A102" s="96"/>
      <c r="C102" s="90"/>
      <c r="D102" s="91" t="s">
        <v>105</v>
      </c>
      <c r="E102" s="90"/>
      <c r="F102" s="90"/>
      <c r="G102" s="90"/>
      <c r="H102" s="90"/>
      <c r="I102" s="90"/>
      <c r="J102" s="90"/>
      <c r="K102" s="90"/>
      <c r="L102" s="90"/>
      <c r="M102" s="90"/>
      <c r="N102" s="90"/>
      <c r="O102" s="90"/>
      <c r="P102" s="90"/>
      <c r="Q102" s="90"/>
      <c r="R102" s="90"/>
      <c r="S102" s="90"/>
      <c r="T102" s="90"/>
      <c r="U102" s="90"/>
      <c r="V102" s="90"/>
      <c r="W102" s="90"/>
      <c r="X102" s="90"/>
      <c r="Y102" s="90"/>
      <c r="Z102" s="90"/>
      <c r="AA102" s="90"/>
      <c r="AB102" s="90"/>
      <c r="AC102" s="90"/>
      <c r="AD102" s="90"/>
      <c r="AE102" s="90"/>
      <c r="AF102" s="90"/>
      <c r="AG102" s="90"/>
      <c r="AH102" s="90"/>
      <c r="AI102" s="90"/>
      <c r="AJ102" s="90"/>
      <c r="AK102" s="90"/>
      <c r="AL102" s="90"/>
    </row>
    <row r="103" spans="1:39" ht="5.0999999999999996" customHeight="1">
      <c r="A103" s="96"/>
      <c r="B103" s="52"/>
      <c r="C103" s="52"/>
      <c r="D103" s="52"/>
      <c r="E103" s="52"/>
      <c r="F103" s="52"/>
      <c r="G103" s="52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  <c r="Z103" s="52"/>
      <c r="AA103" s="52"/>
      <c r="AB103" s="52"/>
      <c r="AC103" s="52"/>
      <c r="AD103" s="52"/>
      <c r="AE103" s="52"/>
      <c r="AF103" s="52"/>
      <c r="AG103" s="52"/>
      <c r="AH103" s="52"/>
      <c r="AI103" s="52"/>
      <c r="AJ103" s="52"/>
      <c r="AK103" s="52"/>
      <c r="AL103" s="52"/>
      <c r="AM103" s="7"/>
    </row>
    <row r="104" spans="1:39" s="3" customFormat="1" outlineLevel="1">
      <c r="A104" s="96"/>
      <c r="D104" s="159" t="s">
        <v>207</v>
      </c>
      <c r="G104" s="180">
        <f t="shared" ref="G104:AL104" si="93">G11</f>
        <v>25.036000000000001</v>
      </c>
      <c r="H104" s="180">
        <f t="shared" si="93"/>
        <v>28.803999999999998</v>
      </c>
      <c r="I104" s="180">
        <f t="shared" si="93"/>
        <v>42.405000000000001</v>
      </c>
      <c r="J104" s="180">
        <f t="shared" si="93"/>
        <v>38.67</v>
      </c>
      <c r="K104" s="180">
        <f t="shared" si="93"/>
        <v>41.823999999999998</v>
      </c>
      <c r="L104" s="180">
        <f t="shared" si="93"/>
        <v>45.280999999999999</v>
      </c>
      <c r="M104" s="180">
        <f t="shared" si="93"/>
        <v>50.07</v>
      </c>
      <c r="N104" s="180">
        <f t="shared" si="93"/>
        <v>55.499000000000002</v>
      </c>
      <c r="O104" s="180">
        <f t="shared" si="93"/>
        <v>61.726999999999997</v>
      </c>
      <c r="P104" s="180">
        <f t="shared" si="93"/>
        <v>67.424000000000007</v>
      </c>
      <c r="Q104" s="180">
        <f t="shared" si="93"/>
        <v>73.941000000000003</v>
      </c>
      <c r="R104" s="180">
        <f t="shared" si="93"/>
        <v>83.93</v>
      </c>
      <c r="S104" s="180">
        <f t="shared" si="93"/>
        <v>91.25</v>
      </c>
      <c r="T104" s="180">
        <f t="shared" si="93"/>
        <v>99.721000000000004</v>
      </c>
      <c r="U104" s="180">
        <f t="shared" si="93"/>
        <v>114.16200000000001</v>
      </c>
      <c r="V104" s="180">
        <f t="shared" si="93"/>
        <v>125.926</v>
      </c>
      <c r="W104" s="180">
        <f t="shared" si="93"/>
        <v>138.05500000000001</v>
      </c>
      <c r="X104" s="180">
        <f t="shared" si="93"/>
        <v>152.428</v>
      </c>
      <c r="Y104" s="180">
        <f t="shared" si="93"/>
        <v>172.34700000000001</v>
      </c>
      <c r="Z104" s="180">
        <f t="shared" si="93"/>
        <v>193.596</v>
      </c>
      <c r="AA104" s="180">
        <f t="shared" si="93"/>
        <v>212.167</v>
      </c>
      <c r="AB104" s="180">
        <f t="shared" si="93"/>
        <v>234.517</v>
      </c>
      <c r="AC104" s="180">
        <f t="shared" si="93"/>
        <v>254.62503274829692</v>
      </c>
      <c r="AD104" s="180">
        <f t="shared" si="93"/>
        <v>271.70429402883815</v>
      </c>
      <c r="AE104" s="180">
        <f t="shared" si="93"/>
        <v>290.82287574674984</v>
      </c>
      <c r="AF104" s="180">
        <f t="shared" si="93"/>
        <v>316.43405103999567</v>
      </c>
      <c r="AG104" s="180">
        <f t="shared" si="93"/>
        <v>336.74828045100418</v>
      </c>
      <c r="AH104" s="180">
        <f t="shared" si="93"/>
        <v>363.62883891089587</v>
      </c>
      <c r="AI104" s="180">
        <f t="shared" si="93"/>
        <v>384.29574478330034</v>
      </c>
      <c r="AJ104" s="180">
        <f t="shared" si="93"/>
        <v>416.52210571645509</v>
      </c>
      <c r="AK104" s="180">
        <f t="shared" si="93"/>
        <v>440.92605314216496</v>
      </c>
      <c r="AL104" s="180">
        <f t="shared" si="93"/>
        <v>474.38210070615656</v>
      </c>
      <c r="AM104" s="53"/>
    </row>
    <row r="105" spans="1:39" outlineLevel="1">
      <c r="A105" s="96"/>
      <c r="D105" s="59" t="s">
        <v>169</v>
      </c>
      <c r="G105" s="67">
        <f t="shared" ref="G105:AL105" si="94">-G12</f>
        <v>-4.6558642950956237</v>
      </c>
      <c r="H105" s="67">
        <f t="shared" si="94"/>
        <v>-4.9013500781248753</v>
      </c>
      <c r="I105" s="67">
        <f t="shared" si="94"/>
        <v>-4.4935786171325267</v>
      </c>
      <c r="J105" s="67">
        <f t="shared" si="94"/>
        <v>-5.9279776618208881</v>
      </c>
      <c r="K105" s="67">
        <f t="shared" si="94"/>
        <v>-6.2624898886401468</v>
      </c>
      <c r="L105" s="67">
        <f t="shared" si="94"/>
        <v>-7.252110111359853</v>
      </c>
      <c r="M105" s="67">
        <f t="shared" si="94"/>
        <v>-7.4802</v>
      </c>
      <c r="N105" s="67">
        <f t="shared" si="94"/>
        <v>-8.9179999999999993</v>
      </c>
      <c r="O105" s="67">
        <f t="shared" si="94"/>
        <v>-9.8702644667869386</v>
      </c>
      <c r="P105" s="67">
        <f t="shared" si="94"/>
        <v>-9.7656855332130608</v>
      </c>
      <c r="Q105" s="67">
        <f t="shared" si="94"/>
        <v>-10.346200000000001</v>
      </c>
      <c r="R105" s="67">
        <f t="shared" si="94"/>
        <v>-11.890750000000004</v>
      </c>
      <c r="S105" s="67">
        <f t="shared" si="94"/>
        <v>-12.824199999999999</v>
      </c>
      <c r="T105" s="67">
        <f t="shared" si="94"/>
        <v>-15.4315</v>
      </c>
      <c r="U105" s="67">
        <f t="shared" si="94"/>
        <v>-17.174600000000002</v>
      </c>
      <c r="V105" s="67">
        <f t="shared" si="94"/>
        <v>-18.034800000000001</v>
      </c>
      <c r="W105" s="67">
        <f t="shared" si="94"/>
        <v>-20.477300000000003</v>
      </c>
      <c r="X105" s="67">
        <f t="shared" si="94"/>
        <v>-22.756450000000001</v>
      </c>
      <c r="Y105" s="67">
        <f t="shared" si="94"/>
        <v>-24.635499999999997</v>
      </c>
      <c r="Z105" s="67">
        <f t="shared" si="94"/>
        <v>-28.674099999999999</v>
      </c>
      <c r="AA105" s="67">
        <f t="shared" si="94"/>
        <v>-32.184450000000005</v>
      </c>
      <c r="AB105" s="67">
        <f t="shared" si="94"/>
        <v>-35.943850000000005</v>
      </c>
      <c r="AC105" s="67">
        <f t="shared" si="94"/>
        <v>-38.879701671603158</v>
      </c>
      <c r="AD105" s="67">
        <f t="shared" si="94"/>
        <v>-41.623453663308879</v>
      </c>
      <c r="AE105" s="67">
        <f t="shared" si="94"/>
        <v>-44.697716126846245</v>
      </c>
      <c r="AF105" s="67">
        <f t="shared" si="94"/>
        <v>-48.792215812363224</v>
      </c>
      <c r="AG105" s="67">
        <f t="shared" si="94"/>
        <v>-52.092921198945362</v>
      </c>
      <c r="AH105" s="67">
        <f t="shared" si="94"/>
        <v>-56.432995348070051</v>
      </c>
      <c r="AI105" s="67">
        <f t="shared" si="94"/>
        <v>-59.832521948863871</v>
      </c>
      <c r="AJ105" s="67">
        <f t="shared" si="94"/>
        <v>-65.058232385535234</v>
      </c>
      <c r="AK105" s="67">
        <f t="shared" si="94"/>
        <v>-69.090444322804046</v>
      </c>
      <c r="AL105" s="67">
        <f t="shared" si="94"/>
        <v>-74.569995571672678</v>
      </c>
      <c r="AM105" s="7"/>
    </row>
    <row r="106" spans="1:39" s="3" customFormat="1" outlineLevel="1">
      <c r="A106" s="96"/>
      <c r="D106" s="193" t="s">
        <v>212</v>
      </c>
      <c r="E106" s="193"/>
      <c r="F106" s="193"/>
      <c r="G106" s="211">
        <f t="shared" ref="G106:AL106" si="95">SUM(G104:G105)</f>
        <v>20.380135704904376</v>
      </c>
      <c r="H106" s="211">
        <f t="shared" si="95"/>
        <v>23.902649921875124</v>
      </c>
      <c r="I106" s="211">
        <f t="shared" si="95"/>
        <v>37.911421382867474</v>
      </c>
      <c r="J106" s="211">
        <f t="shared" si="95"/>
        <v>32.742022338179112</v>
      </c>
      <c r="K106" s="211">
        <f t="shared" si="95"/>
        <v>35.561510111359851</v>
      </c>
      <c r="L106" s="211">
        <f t="shared" si="95"/>
        <v>38.028889888640144</v>
      </c>
      <c r="M106" s="211">
        <f t="shared" si="95"/>
        <v>42.589799999999997</v>
      </c>
      <c r="N106" s="211">
        <f t="shared" si="95"/>
        <v>46.581000000000003</v>
      </c>
      <c r="O106" s="211">
        <f t="shared" si="95"/>
        <v>51.856735533213055</v>
      </c>
      <c r="P106" s="211">
        <f t="shared" si="95"/>
        <v>57.658314466786948</v>
      </c>
      <c r="Q106" s="211">
        <f t="shared" si="95"/>
        <v>63.594799999999999</v>
      </c>
      <c r="R106" s="211">
        <f t="shared" si="95"/>
        <v>72.03925000000001</v>
      </c>
      <c r="S106" s="211">
        <f t="shared" si="95"/>
        <v>78.425799999999995</v>
      </c>
      <c r="T106" s="211">
        <f t="shared" si="95"/>
        <v>84.289500000000004</v>
      </c>
      <c r="U106" s="211">
        <f t="shared" si="95"/>
        <v>96.987400000000008</v>
      </c>
      <c r="V106" s="211">
        <f t="shared" si="95"/>
        <v>107.8912</v>
      </c>
      <c r="W106" s="211">
        <f t="shared" si="95"/>
        <v>117.57770000000001</v>
      </c>
      <c r="X106" s="211">
        <f t="shared" si="95"/>
        <v>129.67155</v>
      </c>
      <c r="Y106" s="211">
        <f t="shared" si="95"/>
        <v>147.7115</v>
      </c>
      <c r="Z106" s="211">
        <f t="shared" si="95"/>
        <v>164.92189999999999</v>
      </c>
      <c r="AA106" s="211">
        <f t="shared" si="95"/>
        <v>179.98255</v>
      </c>
      <c r="AB106" s="211">
        <f t="shared" si="95"/>
        <v>198.57315</v>
      </c>
      <c r="AC106" s="211">
        <f t="shared" si="95"/>
        <v>215.74533107669376</v>
      </c>
      <c r="AD106" s="211">
        <f t="shared" si="95"/>
        <v>230.08084036552927</v>
      </c>
      <c r="AE106" s="211">
        <f t="shared" si="95"/>
        <v>246.1251596199036</v>
      </c>
      <c r="AF106" s="211">
        <f t="shared" si="95"/>
        <v>267.64183522763244</v>
      </c>
      <c r="AG106" s="211">
        <f t="shared" si="95"/>
        <v>284.65535925205882</v>
      </c>
      <c r="AH106" s="211">
        <f t="shared" si="95"/>
        <v>307.19584356282581</v>
      </c>
      <c r="AI106" s="211">
        <f t="shared" si="95"/>
        <v>324.46322283443646</v>
      </c>
      <c r="AJ106" s="211">
        <f t="shared" si="95"/>
        <v>351.46387333091985</v>
      </c>
      <c r="AK106" s="211">
        <f t="shared" si="95"/>
        <v>371.83560881936091</v>
      </c>
      <c r="AL106" s="211">
        <f t="shared" si="95"/>
        <v>399.81210513448389</v>
      </c>
      <c r="AM106" s="53"/>
    </row>
    <row r="107" spans="1:39" outlineLevel="1">
      <c r="A107" s="96"/>
      <c r="D107" s="59" t="str">
        <f>D14</f>
        <v>S&amp;M</v>
      </c>
      <c r="G107" s="67">
        <f t="shared" ref="G107:AL107" si="96">-G14</f>
        <v>-12.870288922260231</v>
      </c>
      <c r="H107" s="67">
        <f t="shared" si="96"/>
        <v>-14.76421896136698</v>
      </c>
      <c r="I107" s="67">
        <f t="shared" si="96"/>
        <v>-16.467431928960103</v>
      </c>
      <c r="J107" s="67">
        <f t="shared" si="96"/>
        <v>-17.316378665673554</v>
      </c>
      <c r="K107" s="67">
        <f t="shared" si="96"/>
        <v>-17.18835858733712</v>
      </c>
      <c r="L107" s="67">
        <f t="shared" si="96"/>
        <v>-21.071841412662877</v>
      </c>
      <c r="M107" s="67">
        <f t="shared" si="96"/>
        <v>-22.4114</v>
      </c>
      <c r="N107" s="67">
        <f t="shared" si="96"/>
        <v>-25.907999999999998</v>
      </c>
      <c r="O107" s="67">
        <f t="shared" si="96"/>
        <v>-28.257962219030439</v>
      </c>
      <c r="P107" s="67">
        <f t="shared" si="96"/>
        <v>-32.97618778096956</v>
      </c>
      <c r="Q107" s="67">
        <f t="shared" si="96"/>
        <v>-42.423400000000001</v>
      </c>
      <c r="R107" s="67">
        <f t="shared" si="96"/>
        <v>-43.686750000000004</v>
      </c>
      <c r="S107" s="67">
        <f t="shared" si="96"/>
        <v>-43.099400000000003</v>
      </c>
      <c r="T107" s="67">
        <f t="shared" si="96"/>
        <v>-47.010499999999993</v>
      </c>
      <c r="U107" s="67">
        <f t="shared" si="96"/>
        <v>-50.918199999999999</v>
      </c>
      <c r="V107" s="67">
        <f t="shared" si="96"/>
        <v>-57.837600000000002</v>
      </c>
      <c r="W107" s="67">
        <f t="shared" si="96"/>
        <v>-63.398099999999999</v>
      </c>
      <c r="X107" s="67">
        <f t="shared" si="96"/>
        <v>-68.603650000000002</v>
      </c>
      <c r="Y107" s="67">
        <f t="shared" si="96"/>
        <v>-77.512500000000003</v>
      </c>
      <c r="Z107" s="67">
        <f t="shared" si="96"/>
        <v>-86.995699999999999</v>
      </c>
      <c r="AA107" s="67">
        <f t="shared" si="96"/>
        <v>-89.659649999999999</v>
      </c>
      <c r="AB107" s="67">
        <f t="shared" si="96"/>
        <v>-106.28345</v>
      </c>
      <c r="AC107" s="67">
        <f t="shared" si="96"/>
        <v>-108.21563891802619</v>
      </c>
      <c r="AD107" s="67">
        <f t="shared" si="96"/>
        <v>-114.6592120801697</v>
      </c>
      <c r="AE107" s="67">
        <f t="shared" si="96"/>
        <v>-121.85478493788818</v>
      </c>
      <c r="AF107" s="67">
        <f t="shared" si="96"/>
        <v>-131.63656523263819</v>
      </c>
      <c r="AG107" s="67">
        <f t="shared" si="96"/>
        <v>-139.07703982626472</v>
      </c>
      <c r="AH107" s="67">
        <f t="shared" si="96"/>
        <v>-149.08782395346731</v>
      </c>
      <c r="AI107" s="67">
        <f t="shared" si="96"/>
        <v>-156.21622025441158</v>
      </c>
      <c r="AJ107" s="67">
        <f t="shared" si="96"/>
        <v>-167.85840860373139</v>
      </c>
      <c r="AK107" s="67">
        <f t="shared" si="96"/>
        <v>-176.14995823029489</v>
      </c>
      <c r="AL107" s="67">
        <f t="shared" si="96"/>
        <v>-187.85531187963798</v>
      </c>
      <c r="AM107" s="7"/>
    </row>
    <row r="108" spans="1:39" outlineLevel="1">
      <c r="A108" s="96"/>
      <c r="D108" s="59" t="str">
        <f>D15</f>
        <v>R&amp;D</v>
      </c>
      <c r="G108" s="67">
        <f t="shared" ref="G108:AL108" si="97">-G15</f>
        <v>-7.3842889222602324</v>
      </c>
      <c r="H108" s="67">
        <f t="shared" si="97"/>
        <v>-8.2242189613669812</v>
      </c>
      <c r="I108" s="67">
        <f t="shared" si="97"/>
        <v>-8.2274319289601028</v>
      </c>
      <c r="J108" s="67">
        <f t="shared" si="97"/>
        <v>-9.3333786656735551</v>
      </c>
      <c r="K108" s="67">
        <f t="shared" si="97"/>
        <v>-11.101358587337122</v>
      </c>
      <c r="L108" s="67">
        <f t="shared" si="97"/>
        <v>-12.838841412662878</v>
      </c>
      <c r="M108" s="67">
        <f t="shared" si="97"/>
        <v>-14.628399999999999</v>
      </c>
      <c r="N108" s="67">
        <f t="shared" si="97"/>
        <v>-15.14</v>
      </c>
      <c r="O108" s="67">
        <f t="shared" si="97"/>
        <v>-17.408962219030439</v>
      </c>
      <c r="P108" s="67">
        <f t="shared" si="97"/>
        <v>-18.593187780969561</v>
      </c>
      <c r="Q108" s="67">
        <f t="shared" si="97"/>
        <v>-27.566399999999998</v>
      </c>
      <c r="R108" s="67">
        <f t="shared" si="97"/>
        <v>-25.967750000000002</v>
      </c>
      <c r="S108" s="67">
        <f t="shared" si="97"/>
        <v>-27.211399999999998</v>
      </c>
      <c r="T108" s="67">
        <f t="shared" si="97"/>
        <v>-27.779499999999999</v>
      </c>
      <c r="U108" s="67">
        <f t="shared" si="97"/>
        <v>-30.461200000000002</v>
      </c>
      <c r="V108" s="67">
        <f t="shared" si="97"/>
        <v>-34.281599999999997</v>
      </c>
      <c r="W108" s="67">
        <f t="shared" si="97"/>
        <v>-39.011099999999999</v>
      </c>
      <c r="X108" s="67">
        <f t="shared" si="97"/>
        <v>-40.812649999999998</v>
      </c>
      <c r="Y108" s="67">
        <f t="shared" si="97"/>
        <v>-46.1785</v>
      </c>
      <c r="Z108" s="67">
        <f t="shared" si="97"/>
        <v>-61.117699999999999</v>
      </c>
      <c r="AA108" s="67">
        <f t="shared" si="97"/>
        <v>-63.679650000000002</v>
      </c>
      <c r="AB108" s="67">
        <f t="shared" si="97"/>
        <v>-73.288449999999997</v>
      </c>
      <c r="AC108" s="67">
        <f t="shared" si="97"/>
        <v>-77.660634988230555</v>
      </c>
      <c r="AD108" s="67">
        <f t="shared" si="97"/>
        <v>-80.152766738507253</v>
      </c>
      <c r="AE108" s="67">
        <f t="shared" si="97"/>
        <v>-84.338633966557452</v>
      </c>
      <c r="AF108" s="67">
        <f t="shared" si="97"/>
        <v>-90.183704546398758</v>
      </c>
      <c r="AG108" s="67">
        <f t="shared" si="97"/>
        <v>-94.289518526281157</v>
      </c>
      <c r="AH108" s="67">
        <f t="shared" si="97"/>
        <v>-99.997930700496354</v>
      </c>
      <c r="AI108" s="67">
        <f t="shared" si="97"/>
        <v>-104.52844258105767</v>
      </c>
      <c r="AJ108" s="67">
        <f t="shared" si="97"/>
        <v>-112.04444643772641</v>
      </c>
      <c r="AK108" s="67">
        <f t="shared" si="97"/>
        <v>-117.28633013581586</v>
      </c>
      <c r="AL108" s="67">
        <f t="shared" si="97"/>
        <v>-124.76249248571915</v>
      </c>
      <c r="AM108" s="7"/>
    </row>
    <row r="109" spans="1:39" outlineLevel="1">
      <c r="A109" s="96"/>
      <c r="D109" s="59" t="str">
        <f>D16</f>
        <v>G&amp;A</v>
      </c>
      <c r="G109" s="67">
        <f t="shared" ref="G109:AL109" si="98">-G16</f>
        <v>-3.2404446113011574</v>
      </c>
      <c r="H109" s="67">
        <f t="shared" si="98"/>
        <v>-3.7240948068348994</v>
      </c>
      <c r="I109" s="67">
        <f t="shared" si="98"/>
        <v>-4.421159644800511</v>
      </c>
      <c r="J109" s="67">
        <f t="shared" si="98"/>
        <v>-6.5188933283677812</v>
      </c>
      <c r="K109" s="67">
        <f t="shared" si="98"/>
        <v>-12.703792936685611</v>
      </c>
      <c r="L109" s="67">
        <f t="shared" si="98"/>
        <v>-18.608207063314392</v>
      </c>
      <c r="M109" s="67">
        <f t="shared" si="98"/>
        <v>-11.746999999999996</v>
      </c>
      <c r="N109" s="67">
        <f t="shared" si="98"/>
        <v>-15.048</v>
      </c>
      <c r="O109" s="67">
        <f t="shared" si="98"/>
        <v>-14.847811095152185</v>
      </c>
      <c r="P109" s="67">
        <f t="shared" si="98"/>
        <v>-16.284938904847813</v>
      </c>
      <c r="Q109" s="67">
        <f t="shared" si="98"/>
        <v>-24.11</v>
      </c>
      <c r="R109" s="67">
        <f t="shared" si="98"/>
        <v>-20.671749999999999</v>
      </c>
      <c r="S109" s="67">
        <f t="shared" si="98"/>
        <v>-23.794000000000004</v>
      </c>
      <c r="T109" s="67">
        <f t="shared" si="98"/>
        <v>-18.741500000000002</v>
      </c>
      <c r="U109" s="67">
        <f t="shared" si="98"/>
        <v>-19.320999999999998</v>
      </c>
      <c r="V109" s="67">
        <f t="shared" si="98"/>
        <v>-20.916</v>
      </c>
      <c r="W109" s="67">
        <f t="shared" si="98"/>
        <v>-25.144500000000001</v>
      </c>
      <c r="X109" s="67">
        <f t="shared" si="98"/>
        <v>-26.245250000000002</v>
      </c>
      <c r="Y109" s="67">
        <f t="shared" si="98"/>
        <v>-25.711500000000001</v>
      </c>
      <c r="Z109" s="67">
        <f t="shared" si="98"/>
        <v>-30.961500000000001</v>
      </c>
      <c r="AA109" s="67">
        <f t="shared" si="98"/>
        <v>-34.352250000000005</v>
      </c>
      <c r="AB109" s="67">
        <f t="shared" si="98"/>
        <v>-46.605250000000005</v>
      </c>
      <c r="AC109" s="67">
        <f t="shared" si="98"/>
        <v>-40.740005239727509</v>
      </c>
      <c r="AD109" s="67">
        <f t="shared" si="98"/>
        <v>-43.06513060357085</v>
      </c>
      <c r="AE109" s="67">
        <f t="shared" si="98"/>
        <v>-45.659191492239728</v>
      </c>
      <c r="AF109" s="67">
        <f t="shared" si="98"/>
        <v>-49.205494936719326</v>
      </c>
      <c r="AG109" s="67">
        <f t="shared" si="98"/>
        <v>-51.859235189454644</v>
      </c>
      <c r="AH109" s="67">
        <f t="shared" si="98"/>
        <v>-55.453397933911617</v>
      </c>
      <c r="AI109" s="67">
        <f t="shared" si="98"/>
        <v>-58.028657462278346</v>
      </c>
      <c r="AJ109" s="67">
        <f t="shared" si="98"/>
        <v>-62.270054804610034</v>
      </c>
      <c r="AK109" s="67">
        <f t="shared" si="98"/>
        <v>-65.257055865040414</v>
      </c>
      <c r="AL109" s="67">
        <f t="shared" si="98"/>
        <v>-69.49697775345193</v>
      </c>
      <c r="AM109" s="7"/>
    </row>
    <row r="110" spans="1:39" s="3" customFormat="1" outlineLevel="1">
      <c r="A110" s="96"/>
      <c r="D110" s="193" t="s">
        <v>103</v>
      </c>
      <c r="E110" s="193"/>
      <c r="F110" s="193"/>
      <c r="G110" s="211">
        <f t="shared" ref="G110:AL110" si="99">SUM(G106:G109)</f>
        <v>-3.1148867509172451</v>
      </c>
      <c r="H110" s="211">
        <f t="shared" si="99"/>
        <v>-2.8098828076937368</v>
      </c>
      <c r="I110" s="211">
        <f t="shared" si="99"/>
        <v>8.7953978801467567</v>
      </c>
      <c r="J110" s="211">
        <f t="shared" si="99"/>
        <v>-0.42662832153577845</v>
      </c>
      <c r="K110" s="211">
        <f t="shared" si="99"/>
        <v>-5.4320000000000022</v>
      </c>
      <c r="L110" s="211">
        <f t="shared" si="99"/>
        <v>-14.490000000000004</v>
      </c>
      <c r="M110" s="211">
        <f t="shared" si="99"/>
        <v>-6.1969999999999992</v>
      </c>
      <c r="N110" s="211">
        <f t="shared" si="99"/>
        <v>-9.5149999999999952</v>
      </c>
      <c r="O110" s="211">
        <f t="shared" si="99"/>
        <v>-8.6580000000000084</v>
      </c>
      <c r="P110" s="211">
        <f t="shared" si="99"/>
        <v>-10.195999999999987</v>
      </c>
      <c r="Q110" s="211">
        <f t="shared" si="99"/>
        <v>-30.504999999999999</v>
      </c>
      <c r="R110" s="211">
        <f t="shared" si="99"/>
        <v>-18.286999999999995</v>
      </c>
      <c r="S110" s="211">
        <f t="shared" si="99"/>
        <v>-15.679000000000009</v>
      </c>
      <c r="T110" s="211">
        <f t="shared" si="99"/>
        <v>-9.2419999999999902</v>
      </c>
      <c r="U110" s="211">
        <f t="shared" si="99"/>
        <v>-3.7129999999999903</v>
      </c>
      <c r="V110" s="211">
        <f t="shared" si="99"/>
        <v>-5.1440000000000019</v>
      </c>
      <c r="W110" s="211">
        <f t="shared" si="99"/>
        <v>-9.975999999999992</v>
      </c>
      <c r="X110" s="211">
        <f t="shared" si="99"/>
        <v>-5.9900000000000055</v>
      </c>
      <c r="Y110" s="211">
        <f t="shared" si="99"/>
        <v>-1.6910000000000025</v>
      </c>
      <c r="Z110" s="211">
        <f t="shared" si="99"/>
        <v>-14.153000000000006</v>
      </c>
      <c r="AA110" s="211">
        <f t="shared" si="99"/>
        <v>-7.7090000000000032</v>
      </c>
      <c r="AB110" s="211">
        <f t="shared" si="99"/>
        <v>-27.604000000000006</v>
      </c>
      <c r="AC110" s="211">
        <f t="shared" si="99"/>
        <v>-10.870948069290492</v>
      </c>
      <c r="AD110" s="211">
        <f t="shared" si="99"/>
        <v>-7.7962690567185291</v>
      </c>
      <c r="AE110" s="211">
        <f t="shared" si="99"/>
        <v>-5.7274507767817653</v>
      </c>
      <c r="AF110" s="211">
        <f t="shared" si="99"/>
        <v>-3.3839294881238331</v>
      </c>
      <c r="AG110" s="211">
        <f t="shared" si="99"/>
        <v>-0.57043428994170853</v>
      </c>
      <c r="AH110" s="211">
        <f t="shared" si="99"/>
        <v>2.6566909749505356</v>
      </c>
      <c r="AI110" s="211">
        <f t="shared" si="99"/>
        <v>5.6899025366888623</v>
      </c>
      <c r="AJ110" s="211">
        <f t="shared" si="99"/>
        <v>9.2909634848520213</v>
      </c>
      <c r="AK110" s="211">
        <f t="shared" si="99"/>
        <v>13.142264588209756</v>
      </c>
      <c r="AL110" s="211">
        <f t="shared" si="99"/>
        <v>17.697323015674826</v>
      </c>
      <c r="AM110" s="53"/>
    </row>
    <row r="111" spans="1:39" outlineLevel="1">
      <c r="A111" s="96"/>
      <c r="D111" s="59" t="s">
        <v>7</v>
      </c>
      <c r="G111" s="67">
        <f t="shared" ref="G111:AL111" si="100">-G17</f>
        <v>-2.2591132490827555</v>
      </c>
      <c r="H111" s="67">
        <f t="shared" si="100"/>
        <v>-2.5991171923062661</v>
      </c>
      <c r="I111" s="67">
        <f t="shared" si="100"/>
        <v>-3.8263978801467582</v>
      </c>
      <c r="J111" s="67">
        <f t="shared" si="100"/>
        <v>-3.4893716784642175</v>
      </c>
      <c r="K111" s="67">
        <f t="shared" si="100"/>
        <v>-5.4209999999999994</v>
      </c>
      <c r="L111" s="67">
        <f t="shared" si="100"/>
        <v>-5.9950000000000001</v>
      </c>
      <c r="M111" s="67">
        <f t="shared" si="100"/>
        <v>-6.9710000000000001</v>
      </c>
      <c r="N111" s="67">
        <f t="shared" si="100"/>
        <v>-7.5779999999999994</v>
      </c>
      <c r="O111" s="67">
        <f t="shared" si="100"/>
        <v>-8.4890000000000008</v>
      </c>
      <c r="P111" s="67">
        <f t="shared" si="100"/>
        <v>-9.5749999999999993</v>
      </c>
      <c r="Q111" s="67">
        <f t="shared" si="100"/>
        <v>-10.581</v>
      </c>
      <c r="R111" s="67">
        <f t="shared" si="100"/>
        <v>-11.654999999999994</v>
      </c>
      <c r="S111" s="67">
        <f t="shared" si="100"/>
        <v>-14.062000000000001</v>
      </c>
      <c r="T111" s="67">
        <f t="shared" si="100"/>
        <v>-15.513000000000002</v>
      </c>
      <c r="U111" s="67">
        <f t="shared" si="100"/>
        <v>-17.538999999999998</v>
      </c>
      <c r="V111" s="67">
        <f t="shared" si="100"/>
        <v>-19.597000000000001</v>
      </c>
      <c r="W111" s="67">
        <f t="shared" si="100"/>
        <v>-21.277999999999999</v>
      </c>
      <c r="X111" s="67">
        <f t="shared" si="100"/>
        <v>-22.882000000000001</v>
      </c>
      <c r="Y111" s="67">
        <f t="shared" si="100"/>
        <v>-24.802999999999997</v>
      </c>
      <c r="Z111" s="67">
        <f t="shared" si="100"/>
        <v>-26.910999999999994</v>
      </c>
      <c r="AA111" s="67">
        <f t="shared" si="100"/>
        <v>-29.676000000000002</v>
      </c>
      <c r="AB111" s="67">
        <f t="shared" si="100"/>
        <v>-35.893999999999998</v>
      </c>
      <c r="AC111" s="67">
        <f t="shared" si="100"/>
        <v>-39.988180851063831</v>
      </c>
      <c r="AD111" s="67">
        <f t="shared" si="100"/>
        <v>-42.23566201255597</v>
      </c>
      <c r="AE111" s="67">
        <f t="shared" si="100"/>
        <v>-44.399298174905532</v>
      </c>
      <c r="AF111" s="67">
        <f t="shared" si="100"/>
        <v>-46.705209824360978</v>
      </c>
      <c r="AG111" s="67">
        <f t="shared" si="100"/>
        <v>-49.346143536997758</v>
      </c>
      <c r="AH111" s="67">
        <f t="shared" si="100"/>
        <v>-51.805489557271919</v>
      </c>
      <c r="AI111" s="67">
        <f t="shared" si="100"/>
        <v>-54.598158474408592</v>
      </c>
      <c r="AJ111" s="67">
        <f t="shared" si="100"/>
        <v>-57.178203440081191</v>
      </c>
      <c r="AK111" s="67">
        <f t="shared" si="100"/>
        <v>-59.352412864531374</v>
      </c>
      <c r="AL111" s="67">
        <f t="shared" si="100"/>
        <v>-58.335893466016856</v>
      </c>
      <c r="AM111" s="7"/>
    </row>
    <row r="112" spans="1:39" outlineLevel="1">
      <c r="A112" s="96"/>
      <c r="D112" s="59" t="s">
        <v>123</v>
      </c>
      <c r="G112" s="67">
        <f t="shared" ref="G112:AL112" si="101">G19</f>
        <v>4.8000000000000001E-2</v>
      </c>
      <c r="H112" s="67">
        <f t="shared" si="101"/>
        <v>4.4999999999999998E-2</v>
      </c>
      <c r="I112" s="67">
        <f t="shared" si="101"/>
        <v>-2.1999999999999999E-2</v>
      </c>
      <c r="J112" s="67">
        <f t="shared" si="101"/>
        <v>4.3999999999999997E-2</v>
      </c>
      <c r="K112" s="67">
        <f t="shared" si="101"/>
        <v>-0.44600000000000001</v>
      </c>
      <c r="L112" s="67">
        <f t="shared" si="101"/>
        <v>-0.217</v>
      </c>
      <c r="M112" s="67">
        <f t="shared" si="101"/>
        <v>-24.54</v>
      </c>
      <c r="N112" s="67">
        <f t="shared" si="101"/>
        <v>-0.188</v>
      </c>
      <c r="O112" s="67">
        <f t="shared" si="101"/>
        <v>-0.29299999999999998</v>
      </c>
      <c r="P112" s="67">
        <f t="shared" si="101"/>
        <v>-8.5999999999999993E-2</v>
      </c>
      <c r="Q112" s="67">
        <f t="shared" si="101"/>
        <v>-0.65100000000000002</v>
      </c>
      <c r="R112" s="67">
        <f t="shared" si="101"/>
        <v>-0.41199999999999998</v>
      </c>
      <c r="S112" s="67">
        <f t="shared" si="101"/>
        <v>-5.8449999999999998</v>
      </c>
      <c r="T112" s="67">
        <f t="shared" si="101"/>
        <v>-0.16800000000000001</v>
      </c>
      <c r="U112" s="67">
        <f t="shared" si="101"/>
        <v>-0.20799999999999999</v>
      </c>
      <c r="V112" s="67">
        <f t="shared" si="101"/>
        <v>0.113</v>
      </c>
      <c r="W112" s="67">
        <f t="shared" si="101"/>
        <v>0.14799999999999999</v>
      </c>
      <c r="X112" s="67">
        <f t="shared" si="101"/>
        <v>-0.877</v>
      </c>
      <c r="Y112" s="67">
        <f t="shared" si="101"/>
        <v>-71.87299999999999</v>
      </c>
      <c r="Z112" s="67">
        <f t="shared" si="101"/>
        <v>-0.42599999999999999</v>
      </c>
      <c r="AA112" s="67">
        <f t="shared" si="101"/>
        <v>-3.1259999999999999</v>
      </c>
      <c r="AB112" s="67">
        <f t="shared" si="101"/>
        <v>-0.80999999999999994</v>
      </c>
      <c r="AC112" s="67">
        <f t="shared" si="101"/>
        <v>0</v>
      </c>
      <c r="AD112" s="67">
        <f t="shared" si="101"/>
        <v>0</v>
      </c>
      <c r="AE112" s="67">
        <f t="shared" si="101"/>
        <v>0</v>
      </c>
      <c r="AF112" s="67">
        <f t="shared" si="101"/>
        <v>0</v>
      </c>
      <c r="AG112" s="67">
        <f t="shared" si="101"/>
        <v>0</v>
      </c>
      <c r="AH112" s="67">
        <f t="shared" si="101"/>
        <v>0</v>
      </c>
      <c r="AI112" s="67">
        <f t="shared" si="101"/>
        <v>0</v>
      </c>
      <c r="AJ112" s="67">
        <f t="shared" si="101"/>
        <v>0</v>
      </c>
      <c r="AK112" s="67">
        <f t="shared" si="101"/>
        <v>0</v>
      </c>
      <c r="AL112" s="67">
        <f t="shared" si="101"/>
        <v>0</v>
      </c>
      <c r="AM112" s="7"/>
    </row>
    <row r="113" spans="1:39" s="3" customFormat="1" outlineLevel="1">
      <c r="A113" s="96"/>
      <c r="D113" s="193" t="s">
        <v>4</v>
      </c>
      <c r="E113" s="193"/>
      <c r="F113" s="193"/>
      <c r="G113" s="211">
        <f t="shared" ref="G113:AL113" si="102">SUM(G110:G112)</f>
        <v>-5.3260000000000005</v>
      </c>
      <c r="H113" s="211">
        <f t="shared" si="102"/>
        <v>-5.3640000000000025</v>
      </c>
      <c r="I113" s="211">
        <f t="shared" si="102"/>
        <v>4.9469999999999983</v>
      </c>
      <c r="J113" s="211">
        <f t="shared" si="102"/>
        <v>-3.8719999999999959</v>
      </c>
      <c r="K113" s="211">
        <f t="shared" si="102"/>
        <v>-11.299000000000001</v>
      </c>
      <c r="L113" s="211">
        <f t="shared" si="102"/>
        <v>-20.702000000000002</v>
      </c>
      <c r="M113" s="211">
        <f t="shared" si="102"/>
        <v>-37.707999999999998</v>
      </c>
      <c r="N113" s="211">
        <f t="shared" si="102"/>
        <v>-17.280999999999995</v>
      </c>
      <c r="O113" s="211">
        <f t="shared" si="102"/>
        <v>-17.440000000000008</v>
      </c>
      <c r="P113" s="211">
        <f t="shared" si="102"/>
        <v>-19.856999999999985</v>
      </c>
      <c r="Q113" s="211">
        <f t="shared" si="102"/>
        <v>-41.737000000000002</v>
      </c>
      <c r="R113" s="211">
        <f t="shared" si="102"/>
        <v>-30.353999999999989</v>
      </c>
      <c r="S113" s="211">
        <f t="shared" si="102"/>
        <v>-35.586000000000013</v>
      </c>
      <c r="T113" s="211">
        <f t="shared" si="102"/>
        <v>-24.922999999999991</v>
      </c>
      <c r="U113" s="211">
        <f t="shared" si="102"/>
        <v>-21.459999999999987</v>
      </c>
      <c r="V113" s="211">
        <f t="shared" si="102"/>
        <v>-24.628000000000004</v>
      </c>
      <c r="W113" s="211">
        <f t="shared" si="102"/>
        <v>-31.105999999999991</v>
      </c>
      <c r="X113" s="211">
        <f t="shared" si="102"/>
        <v>-29.749000000000006</v>
      </c>
      <c r="Y113" s="211">
        <f t="shared" si="102"/>
        <v>-98.36699999999999</v>
      </c>
      <c r="Z113" s="211">
        <f t="shared" si="102"/>
        <v>-41.49</v>
      </c>
      <c r="AA113" s="211">
        <f t="shared" si="102"/>
        <v>-40.511000000000003</v>
      </c>
      <c r="AB113" s="211">
        <f t="shared" si="102"/>
        <v>-64.308000000000007</v>
      </c>
      <c r="AC113" s="211">
        <f t="shared" si="102"/>
        <v>-50.859128920354323</v>
      </c>
      <c r="AD113" s="211">
        <f t="shared" si="102"/>
        <v>-50.031931069274499</v>
      </c>
      <c r="AE113" s="211">
        <f t="shared" si="102"/>
        <v>-50.126748951687297</v>
      </c>
      <c r="AF113" s="211">
        <f t="shared" si="102"/>
        <v>-50.089139312484811</v>
      </c>
      <c r="AG113" s="211">
        <f t="shared" si="102"/>
        <v>-49.916577826939466</v>
      </c>
      <c r="AH113" s="211">
        <f t="shared" si="102"/>
        <v>-49.148798582321383</v>
      </c>
      <c r="AI113" s="211">
        <f t="shared" si="102"/>
        <v>-48.90825593771973</v>
      </c>
      <c r="AJ113" s="211">
        <f t="shared" si="102"/>
        <v>-47.88723995522917</v>
      </c>
      <c r="AK113" s="211">
        <f t="shared" si="102"/>
        <v>-46.210148276321618</v>
      </c>
      <c r="AL113" s="211">
        <f t="shared" si="102"/>
        <v>-40.63857045034203</v>
      </c>
      <c r="AM113" s="53"/>
    </row>
    <row r="114" spans="1:39" outlineLevel="1">
      <c r="A114" s="96"/>
      <c r="D114" s="59" t="s">
        <v>106</v>
      </c>
      <c r="G114" s="67">
        <f t="shared" ref="G114:AL114" si="103">G245</f>
        <v>0.16600000000000001</v>
      </c>
      <c r="H114" s="67">
        <f t="shared" si="103"/>
        <v>0.17399999999999999</v>
      </c>
      <c r="I114" s="67">
        <f t="shared" si="103"/>
        <v>0.214</v>
      </c>
      <c r="J114" s="67">
        <f t="shared" si="103"/>
        <v>0.20799999999999999</v>
      </c>
      <c r="K114" s="67">
        <f t="shared" si="103"/>
        <v>0.23400000000000001</v>
      </c>
      <c r="L114" s="67">
        <f t="shared" si="103"/>
        <v>0.22600000000000001</v>
      </c>
      <c r="M114" s="67">
        <f t="shared" si="103"/>
        <v>0.38700000000000001</v>
      </c>
      <c r="N114" s="67">
        <f t="shared" si="103"/>
        <v>1.048</v>
      </c>
      <c r="O114" s="67">
        <f t="shared" si="103"/>
        <v>0.91300000000000003</v>
      </c>
      <c r="P114" s="67">
        <f t="shared" si="103"/>
        <v>0.83</v>
      </c>
      <c r="Q114" s="67">
        <f t="shared" si="103"/>
        <v>1.079</v>
      </c>
      <c r="R114" s="67">
        <f t="shared" si="103"/>
        <v>2.9649999999999999</v>
      </c>
      <c r="S114" s="67">
        <f t="shared" si="103"/>
        <v>2.569</v>
      </c>
      <c r="T114" s="67">
        <f t="shared" si="103"/>
        <v>1.857</v>
      </c>
      <c r="U114" s="67">
        <f t="shared" si="103"/>
        <v>1.3160000000000001</v>
      </c>
      <c r="V114" s="67">
        <f t="shared" si="103"/>
        <v>0.84599999999999997</v>
      </c>
      <c r="W114" s="67">
        <f t="shared" si="103"/>
        <v>0.54400000000000004</v>
      </c>
      <c r="X114" s="67">
        <f t="shared" si="103"/>
        <v>0.373</v>
      </c>
      <c r="Y114" s="67">
        <f t="shared" si="103"/>
        <v>0.38500000000000001</v>
      </c>
      <c r="Z114" s="67">
        <f t="shared" si="103"/>
        <v>0.66800000000000004</v>
      </c>
      <c r="AA114" s="67">
        <f t="shared" si="103"/>
        <v>1.0609999999999999</v>
      </c>
      <c r="AB114" s="67">
        <f t="shared" si="103"/>
        <v>1.641</v>
      </c>
      <c r="AC114" s="67">
        <f t="shared" si="103"/>
        <v>1.6003576788013858</v>
      </c>
      <c r="AD114" s="67">
        <f t="shared" si="103"/>
        <v>1.5921688887769938</v>
      </c>
      <c r="AE114" s="67">
        <f t="shared" ca="1" si="103"/>
        <v>1.5718460702899146</v>
      </c>
      <c r="AF114" s="67">
        <f t="shared" ca="1" si="103"/>
        <v>1.5522845613501635</v>
      </c>
      <c r="AG114" s="67">
        <f t="shared" ca="1" si="103"/>
        <v>1.5353752904424101</v>
      </c>
      <c r="AH114" s="67">
        <f t="shared" ca="1" si="103"/>
        <v>1.5171742882008312</v>
      </c>
      <c r="AI114" s="67">
        <f t="shared" ca="1" si="103"/>
        <v>1.5019959750048992</v>
      </c>
      <c r="AJ114" s="67">
        <f t="shared" ca="1" si="103"/>
        <v>1.4851193318834068</v>
      </c>
      <c r="AK114" s="67">
        <f t="shared" ca="1" si="103"/>
        <v>1.4729043996063165</v>
      </c>
      <c r="AL114" s="67">
        <f t="shared" ca="1" si="103"/>
        <v>1.4590783218237691</v>
      </c>
      <c r="AM114" s="7"/>
    </row>
    <row r="115" spans="1:39" outlineLevel="1">
      <c r="A115" s="96"/>
      <c r="D115" s="59" t="s">
        <v>107</v>
      </c>
      <c r="G115" s="67">
        <f t="shared" ref="G115:AL115" si="104">G246</f>
        <v>-0.18099999999999999</v>
      </c>
      <c r="H115" s="67">
        <f t="shared" si="104"/>
        <v>-0.224</v>
      </c>
      <c r="I115" s="67">
        <f t="shared" si="104"/>
        <v>-0.22600000000000001</v>
      </c>
      <c r="J115" s="67">
        <f t="shared" si="104"/>
        <v>-0.23100000000000001</v>
      </c>
      <c r="K115" s="67">
        <f t="shared" si="104"/>
        <v>-0.23200000000000001</v>
      </c>
      <c r="L115" s="67">
        <f t="shared" si="104"/>
        <v>-0.24299999999999999</v>
      </c>
      <c r="M115" s="67">
        <f t="shared" si="104"/>
        <v>-0.251</v>
      </c>
      <c r="N115" s="67">
        <f t="shared" si="104"/>
        <v>-0.26600000000000001</v>
      </c>
      <c r="O115" s="67">
        <f t="shared" si="104"/>
        <v>-0.27300000000000002</v>
      </c>
      <c r="P115" s="67">
        <f t="shared" si="104"/>
        <v>-0.28999999999999998</v>
      </c>
      <c r="Q115" s="67">
        <f t="shared" si="104"/>
        <v>-0.40699999999999997</v>
      </c>
      <c r="R115" s="67">
        <f t="shared" si="104"/>
        <v>-0.14199999999999999</v>
      </c>
      <c r="S115" s="67">
        <f t="shared" si="104"/>
        <v>-6.7000000000000004E-2</v>
      </c>
      <c r="T115" s="67">
        <f t="shared" si="104"/>
        <v>-0.70399999999999974</v>
      </c>
      <c r="U115" s="67">
        <f t="shared" si="104"/>
        <v>-1.266</v>
      </c>
      <c r="V115" s="67">
        <f t="shared" si="104"/>
        <v>-1.298</v>
      </c>
      <c r="W115" s="67">
        <f t="shared" si="104"/>
        <v>-1.2629999999999999</v>
      </c>
      <c r="X115" s="67">
        <f t="shared" si="104"/>
        <v>-1.261000000000001</v>
      </c>
      <c r="Y115" s="67">
        <f t="shared" si="104"/>
        <v>-0.11400000000000077</v>
      </c>
      <c r="Z115" s="67">
        <f t="shared" si="104"/>
        <v>-0.4220000000000006</v>
      </c>
      <c r="AA115" s="67">
        <f t="shared" si="104"/>
        <v>-0.38700000000000001</v>
      </c>
      <c r="AB115" s="67">
        <f t="shared" si="104"/>
        <v>0.12199999999999989</v>
      </c>
      <c r="AC115" s="67">
        <f t="shared" si="104"/>
        <v>-2.3512694999999999</v>
      </c>
      <c r="AD115" s="67">
        <f t="shared" si="104"/>
        <v>-2.402530345767139</v>
      </c>
      <c r="AE115" s="67">
        <f t="shared" si="104"/>
        <v>-2.4105886030552917</v>
      </c>
      <c r="AF115" s="67">
        <f t="shared" si="104"/>
        <v>-2.4644031816494931</v>
      </c>
      <c r="AG115" s="67">
        <f t="shared" si="104"/>
        <v>-2.4818171772593822</v>
      </c>
      <c r="AH115" s="67">
        <f t="shared" si="104"/>
        <v>-2.5262570852380875</v>
      </c>
      <c r="AI115" s="67">
        <f t="shared" si="104"/>
        <v>-2.5525837080842111</v>
      </c>
      <c r="AJ115" s="67">
        <f t="shared" si="104"/>
        <v>-2.5865929439777351</v>
      </c>
      <c r="AK115" s="67">
        <f t="shared" si="104"/>
        <v>-2.6284513062270838</v>
      </c>
      <c r="AL115" s="67">
        <f t="shared" si="104"/>
        <v>-2.6498963191152716</v>
      </c>
      <c r="AM115" s="7"/>
    </row>
    <row r="116" spans="1:39" outlineLevel="1">
      <c r="A116" s="96"/>
      <c r="D116" s="59" t="s">
        <v>222</v>
      </c>
      <c r="G116" s="67">
        <f t="shared" ref="G116:AL116" si="105">G247</f>
        <v>0</v>
      </c>
      <c r="H116" s="67">
        <f t="shared" si="105"/>
        <v>0</v>
      </c>
      <c r="I116" s="67">
        <f t="shared" si="105"/>
        <v>0</v>
      </c>
      <c r="J116" s="67">
        <f t="shared" si="105"/>
        <v>0</v>
      </c>
      <c r="K116" s="67">
        <f t="shared" si="105"/>
        <v>0</v>
      </c>
      <c r="L116" s="67">
        <f t="shared" si="105"/>
        <v>0</v>
      </c>
      <c r="M116" s="67">
        <f t="shared" si="105"/>
        <v>0</v>
      </c>
      <c r="N116" s="67">
        <f t="shared" si="105"/>
        <v>0</v>
      </c>
      <c r="O116" s="67">
        <f t="shared" si="105"/>
        <v>0</v>
      </c>
      <c r="P116" s="67">
        <f t="shared" si="105"/>
        <v>0</v>
      </c>
      <c r="Q116" s="67">
        <f t="shared" si="105"/>
        <v>0</v>
      </c>
      <c r="R116" s="67">
        <f t="shared" si="105"/>
        <v>0</v>
      </c>
      <c r="S116" s="67">
        <f t="shared" si="105"/>
        <v>0</v>
      </c>
      <c r="T116" s="67">
        <f t="shared" si="105"/>
        <v>-4.3029999999999999</v>
      </c>
      <c r="U116" s="67">
        <f t="shared" si="105"/>
        <v>-8.5619999999999994</v>
      </c>
      <c r="V116" s="67">
        <f t="shared" si="105"/>
        <v>-8.7639999999999993</v>
      </c>
      <c r="W116" s="67">
        <f t="shared" si="105"/>
        <v>-8.9710000000000001</v>
      </c>
      <c r="X116" s="67">
        <f t="shared" si="105"/>
        <v>-9.1829999999999998</v>
      </c>
      <c r="Y116" s="67">
        <f t="shared" si="105"/>
        <v>-12.334</v>
      </c>
      <c r="Z116" s="67">
        <f t="shared" si="105"/>
        <v>-15.686</v>
      </c>
      <c r="AA116" s="67">
        <f t="shared" si="105"/>
        <v>-1.17</v>
      </c>
      <c r="AB116" s="67">
        <f t="shared" si="105"/>
        <v>-1.1619999999999999</v>
      </c>
      <c r="AC116" s="67">
        <f t="shared" si="105"/>
        <v>-13.323860499999999</v>
      </c>
      <c r="AD116" s="67">
        <f t="shared" si="105"/>
        <v>-13.614338626013787</v>
      </c>
      <c r="AE116" s="67">
        <f t="shared" si="105"/>
        <v>-13.660002083979986</v>
      </c>
      <c r="AF116" s="67">
        <f t="shared" si="105"/>
        <v>-13.964951362680461</v>
      </c>
      <c r="AG116" s="67">
        <f t="shared" si="105"/>
        <v>-14.063630671136499</v>
      </c>
      <c r="AH116" s="67">
        <f t="shared" si="105"/>
        <v>-14.315456816349164</v>
      </c>
      <c r="AI116" s="67">
        <f t="shared" si="105"/>
        <v>-14.464641012477196</v>
      </c>
      <c r="AJ116" s="67">
        <f t="shared" si="105"/>
        <v>-14.657360015873833</v>
      </c>
      <c r="AK116" s="67">
        <f t="shared" si="105"/>
        <v>-14.894557401953474</v>
      </c>
      <c r="AL116" s="67">
        <f t="shared" si="105"/>
        <v>-15.016079141653206</v>
      </c>
      <c r="AM116" s="7"/>
    </row>
    <row r="117" spans="1:39" s="3" customFormat="1" outlineLevel="1">
      <c r="A117" s="96"/>
      <c r="D117" s="193" t="s">
        <v>108</v>
      </c>
      <c r="E117" s="193"/>
      <c r="F117" s="193"/>
      <c r="G117" s="211">
        <f t="shared" ref="G117:AL117" si="106">SUM(G113:G116)</f>
        <v>-5.3410000000000002</v>
      </c>
      <c r="H117" s="211">
        <f t="shared" si="106"/>
        <v>-5.4140000000000024</v>
      </c>
      <c r="I117" s="211">
        <f t="shared" si="106"/>
        <v>4.9349999999999987</v>
      </c>
      <c r="J117" s="211">
        <f t="shared" si="106"/>
        <v>-3.8949999999999956</v>
      </c>
      <c r="K117" s="211">
        <f t="shared" si="106"/>
        <v>-11.297000000000001</v>
      </c>
      <c r="L117" s="211">
        <f t="shared" si="106"/>
        <v>-20.719000000000001</v>
      </c>
      <c r="M117" s="211">
        <f t="shared" si="106"/>
        <v>-37.571999999999996</v>
      </c>
      <c r="N117" s="211">
        <f t="shared" si="106"/>
        <v>-16.498999999999995</v>
      </c>
      <c r="O117" s="211">
        <f t="shared" si="106"/>
        <v>-16.800000000000008</v>
      </c>
      <c r="P117" s="211">
        <f t="shared" si="106"/>
        <v>-19.316999999999986</v>
      </c>
      <c r="Q117" s="211">
        <f t="shared" si="106"/>
        <v>-41.064999999999998</v>
      </c>
      <c r="R117" s="211">
        <f t="shared" si="106"/>
        <v>-27.530999999999988</v>
      </c>
      <c r="S117" s="211">
        <f t="shared" si="106"/>
        <v>-33.08400000000001</v>
      </c>
      <c r="T117" s="211">
        <f t="shared" si="106"/>
        <v>-28.072999999999993</v>
      </c>
      <c r="U117" s="211">
        <f t="shared" si="106"/>
        <v>-29.971999999999987</v>
      </c>
      <c r="V117" s="211">
        <f t="shared" si="106"/>
        <v>-33.844000000000008</v>
      </c>
      <c r="W117" s="211">
        <f t="shared" si="106"/>
        <v>-40.795999999999992</v>
      </c>
      <c r="X117" s="211">
        <f t="shared" si="106"/>
        <v>-39.820000000000007</v>
      </c>
      <c r="Y117" s="211">
        <f t="shared" si="106"/>
        <v>-110.42999999999999</v>
      </c>
      <c r="Z117" s="211">
        <f t="shared" si="106"/>
        <v>-56.93</v>
      </c>
      <c r="AA117" s="211">
        <f t="shared" si="106"/>
        <v>-41.007000000000005</v>
      </c>
      <c r="AB117" s="211">
        <f t="shared" si="106"/>
        <v>-63.707000000000008</v>
      </c>
      <c r="AC117" s="211">
        <f t="shared" si="106"/>
        <v>-64.933901241552931</v>
      </c>
      <c r="AD117" s="211">
        <f t="shared" si="106"/>
        <v>-64.456631152278433</v>
      </c>
      <c r="AE117" s="211">
        <f t="shared" ca="1" si="106"/>
        <v>-64.62549356843266</v>
      </c>
      <c r="AF117" s="211">
        <f t="shared" ca="1" si="106"/>
        <v>-64.966209295464608</v>
      </c>
      <c r="AG117" s="211">
        <f t="shared" ca="1" si="106"/>
        <v>-64.926650384892937</v>
      </c>
      <c r="AH117" s="211">
        <f t="shared" ca="1" si="106"/>
        <v>-64.473338195707797</v>
      </c>
      <c r="AI117" s="211">
        <f t="shared" ca="1" si="106"/>
        <v>-64.423484683276243</v>
      </c>
      <c r="AJ117" s="211">
        <f t="shared" ca="1" si="106"/>
        <v>-63.646073583197335</v>
      </c>
      <c r="AK117" s="211">
        <f t="shared" ca="1" si="106"/>
        <v>-62.260252584895866</v>
      </c>
      <c r="AL117" s="211">
        <f t="shared" ca="1" si="106"/>
        <v>-56.845467589286741</v>
      </c>
      <c r="AM117" s="53"/>
    </row>
    <row r="118" spans="1:39" outlineLevel="1">
      <c r="A118" s="96"/>
      <c r="D118" s="59" t="s">
        <v>109</v>
      </c>
      <c r="G118" s="67">
        <f t="shared" ref="G118:AA118" si="107">-G23</f>
        <v>-0.6027499999999999</v>
      </c>
      <c r="H118" s="67">
        <f t="shared" si="107"/>
        <v>-0.6107499999999999</v>
      </c>
      <c r="I118" s="67">
        <f t="shared" si="107"/>
        <v>0.50324999999999998</v>
      </c>
      <c r="J118" s="67">
        <f t="shared" si="107"/>
        <v>-0.45774999999999999</v>
      </c>
      <c r="K118" s="67">
        <f t="shared" si="107"/>
        <v>-0.17900000000000002</v>
      </c>
      <c r="L118" s="67">
        <f t="shared" si="107"/>
        <v>-0.28799999999999998</v>
      </c>
      <c r="M118" s="67">
        <f t="shared" si="107"/>
        <v>-0.41499999999999998</v>
      </c>
      <c r="N118" s="67">
        <f t="shared" si="107"/>
        <v>0.19</v>
      </c>
      <c r="O118" s="67">
        <f t="shared" si="107"/>
        <v>-0.314</v>
      </c>
      <c r="P118" s="67">
        <f t="shared" si="107"/>
        <v>-0.38900000000000001</v>
      </c>
      <c r="Q118" s="67">
        <f t="shared" si="107"/>
        <v>0.21199999999999999</v>
      </c>
      <c r="R118" s="67">
        <f t="shared" si="107"/>
        <v>-0.254</v>
      </c>
      <c r="S118" s="67">
        <f t="shared" si="107"/>
        <v>0.22100000000000003</v>
      </c>
      <c r="T118" s="67">
        <f t="shared" si="107"/>
        <v>-0.56600000000000006</v>
      </c>
      <c r="U118" s="67">
        <f t="shared" si="107"/>
        <v>-0.68300000000000027</v>
      </c>
      <c r="V118" s="67">
        <f t="shared" si="107"/>
        <v>0.48600000000000004</v>
      </c>
      <c r="W118" s="67">
        <f t="shared" si="107"/>
        <v>-0.67999999999999994</v>
      </c>
      <c r="X118" s="67">
        <f t="shared" si="107"/>
        <v>-0.79300000000000015</v>
      </c>
      <c r="Y118" s="67">
        <f t="shared" si="107"/>
        <v>-0.96700000000000008</v>
      </c>
      <c r="Z118" s="67">
        <f t="shared" si="107"/>
        <v>-1.1550000000000011</v>
      </c>
      <c r="AA118" s="67">
        <f t="shared" si="107"/>
        <v>-0.36799999999999999</v>
      </c>
      <c r="AB118" s="67">
        <f>-AB23</f>
        <v>-1.669</v>
      </c>
      <c r="AC118" s="58">
        <f t="shared" ref="AC118:AL118" si="108">-AC117*AC120</f>
        <v>0</v>
      </c>
      <c r="AD118" s="58">
        <f t="shared" si="108"/>
        <v>0</v>
      </c>
      <c r="AE118" s="58">
        <f t="shared" ca="1" si="108"/>
        <v>0</v>
      </c>
      <c r="AF118" s="58">
        <f t="shared" ca="1" si="108"/>
        <v>0</v>
      </c>
      <c r="AG118" s="58">
        <f t="shared" ca="1" si="108"/>
        <v>0</v>
      </c>
      <c r="AH118" s="58">
        <f t="shared" ca="1" si="108"/>
        <v>0</v>
      </c>
      <c r="AI118" s="58">
        <f t="shared" ca="1" si="108"/>
        <v>0</v>
      </c>
      <c r="AJ118" s="58">
        <f t="shared" ca="1" si="108"/>
        <v>0</v>
      </c>
      <c r="AK118" s="58">
        <f t="shared" ca="1" si="108"/>
        <v>0</v>
      </c>
      <c r="AL118" s="58">
        <f t="shared" ca="1" si="108"/>
        <v>0</v>
      </c>
      <c r="AM118" s="7"/>
    </row>
    <row r="119" spans="1:39" s="59" customFormat="1" outlineLevel="1">
      <c r="A119" s="96"/>
      <c r="D119" s="59" t="s">
        <v>111</v>
      </c>
      <c r="G119" s="67">
        <f t="shared" ref="G119:AA119" si="109">-G24</f>
        <v>3.3750000000000002E-2</v>
      </c>
      <c r="H119" s="67">
        <f t="shared" si="109"/>
        <v>3.3750000000000002E-2</v>
      </c>
      <c r="I119" s="67">
        <f t="shared" si="109"/>
        <v>3.3750000000000002E-2</v>
      </c>
      <c r="J119" s="67">
        <f t="shared" si="109"/>
        <v>3.3750000000000002E-2</v>
      </c>
      <c r="K119" s="67">
        <f t="shared" si="109"/>
        <v>8.0000000000000002E-3</v>
      </c>
      <c r="L119" s="67">
        <f t="shared" si="109"/>
        <v>-1.2999999999999999E-2</v>
      </c>
      <c r="M119" s="67">
        <f t="shared" si="109"/>
        <v>-2E-3</v>
      </c>
      <c r="N119" s="67">
        <f t="shared" si="109"/>
        <v>-0.378</v>
      </c>
      <c r="O119" s="67">
        <f t="shared" si="109"/>
        <v>0</v>
      </c>
      <c r="P119" s="67">
        <f t="shared" si="109"/>
        <v>0</v>
      </c>
      <c r="Q119" s="67">
        <f t="shared" si="109"/>
        <v>0</v>
      </c>
      <c r="R119" s="67">
        <f t="shared" si="109"/>
        <v>-0.37</v>
      </c>
      <c r="S119" s="67">
        <f t="shared" si="109"/>
        <v>0.11700000000000001</v>
      </c>
      <c r="T119" s="67">
        <f t="shared" si="109"/>
        <v>2.504</v>
      </c>
      <c r="U119" s="67">
        <f t="shared" si="109"/>
        <v>4.1870000000000003</v>
      </c>
      <c r="V119" s="67">
        <f t="shared" si="109"/>
        <v>-0.66300000000000003</v>
      </c>
      <c r="W119" s="67">
        <f t="shared" si="109"/>
        <v>1.5129999999999999</v>
      </c>
      <c r="X119" s="67">
        <f t="shared" si="109"/>
        <v>5.1029999999999998</v>
      </c>
      <c r="Y119" s="67">
        <f t="shared" si="109"/>
        <v>4.0620000000000003</v>
      </c>
      <c r="Z119" s="67">
        <f t="shared" si="109"/>
        <v>-19.416</v>
      </c>
      <c r="AA119" s="67">
        <f t="shared" si="109"/>
        <v>-6.0000000000000001E-3</v>
      </c>
      <c r="AB119" s="67">
        <f>-AB24</f>
        <v>1.839</v>
      </c>
      <c r="AC119" s="58">
        <f t="shared" ref="AC119:AL119" si="110">-AC117*AC121</f>
        <v>7.6740065103653565</v>
      </c>
      <c r="AD119" s="58">
        <f t="shared" ca="1" si="110"/>
        <v>8.2035712375627234</v>
      </c>
      <c r="AE119" s="58">
        <f t="shared" ca="1" si="110"/>
        <v>8.8125673047862865</v>
      </c>
      <c r="AF119" s="58">
        <f t="shared" ca="1" si="110"/>
        <v>9.4496304429766873</v>
      </c>
      <c r="AG119" s="58">
        <f t="shared" ca="1" si="110"/>
        <v>10.034118695847107</v>
      </c>
      <c r="AH119" s="58">
        <f t="shared" ca="1" si="110"/>
        <v>10.550182613843109</v>
      </c>
      <c r="AI119" s="58">
        <f t="shared" ca="1" si="110"/>
        <v>11.127692808929547</v>
      </c>
      <c r="AJ119" s="58">
        <f t="shared" ca="1" si="110"/>
        <v>11.572013378763163</v>
      </c>
      <c r="AK119" s="58">
        <f t="shared" ca="1" si="110"/>
        <v>11.886048220752853</v>
      </c>
      <c r="AL119" s="58">
        <f t="shared" ca="1" si="110"/>
        <v>11.369093517857349</v>
      </c>
      <c r="AM119" s="72"/>
    </row>
    <row r="120" spans="1:39" outlineLevel="1">
      <c r="A120" s="96"/>
      <c r="D120" s="69" t="s">
        <v>110</v>
      </c>
      <c r="G120" s="70">
        <f t="shared" ref="G120:Z120" si="111">IFERROR(-G118/G$117,"na")</f>
        <v>-0.11285339824002993</v>
      </c>
      <c r="H120" s="70">
        <f t="shared" si="111"/>
        <v>-0.1128093830809013</v>
      </c>
      <c r="I120" s="70">
        <f t="shared" si="111"/>
        <v>-0.10197568389057753</v>
      </c>
      <c r="J120" s="70">
        <f t="shared" si="111"/>
        <v>-0.11752246469833133</v>
      </c>
      <c r="K120" s="70">
        <f t="shared" si="111"/>
        <v>-1.5844914579091797E-2</v>
      </c>
      <c r="L120" s="70">
        <f t="shared" si="111"/>
        <v>-1.3900284762778124E-2</v>
      </c>
      <c r="M120" s="70">
        <f t="shared" si="111"/>
        <v>-1.1045459384648144E-2</v>
      </c>
      <c r="N120" s="70">
        <f t="shared" si="111"/>
        <v>1.1515849445420938E-2</v>
      </c>
      <c r="O120" s="70">
        <f t="shared" si="111"/>
        <v>-1.8690476190476181E-2</v>
      </c>
      <c r="P120" s="70">
        <f t="shared" si="111"/>
        <v>-2.0137702541802572E-2</v>
      </c>
      <c r="Q120" s="70">
        <f t="shared" si="111"/>
        <v>5.1625471812979428E-3</v>
      </c>
      <c r="R120" s="70">
        <f t="shared" si="111"/>
        <v>-9.2259634593730745E-3</v>
      </c>
      <c r="S120" s="70">
        <f t="shared" si="111"/>
        <v>6.6799661467778979E-3</v>
      </c>
      <c r="T120" s="70">
        <f t="shared" si="111"/>
        <v>-2.0161721226801561E-2</v>
      </c>
      <c r="U120" s="70">
        <f t="shared" si="111"/>
        <v>-2.2787935406379307E-2</v>
      </c>
      <c r="V120" s="70">
        <f t="shared" si="111"/>
        <v>1.436000472757357E-2</v>
      </c>
      <c r="W120" s="70">
        <f t="shared" si="111"/>
        <v>-1.6668300813805277E-2</v>
      </c>
      <c r="X120" s="70">
        <f t="shared" si="111"/>
        <v>-1.9914615770969361E-2</v>
      </c>
      <c r="Y120" s="70">
        <f t="shared" si="111"/>
        <v>-8.75667843883003E-3</v>
      </c>
      <c r="Z120" s="70">
        <f t="shared" si="111"/>
        <v>-2.0288073072193942E-2</v>
      </c>
      <c r="AA120" s="70">
        <f>IFERROR(-AA118/AA$117,"na")</f>
        <v>-8.9740775965079112E-3</v>
      </c>
      <c r="AB120" s="70">
        <f>IFERROR(-AB118/AB$117,"na")</f>
        <v>-2.6198063007204859E-2</v>
      </c>
      <c r="AC120" s="71">
        <v>0</v>
      </c>
      <c r="AD120" s="71">
        <v>0</v>
      </c>
      <c r="AE120" s="71">
        <v>0</v>
      </c>
      <c r="AF120" s="71">
        <v>0</v>
      </c>
      <c r="AG120" s="71">
        <v>0</v>
      </c>
      <c r="AH120" s="71">
        <v>0</v>
      </c>
      <c r="AI120" s="71">
        <v>0</v>
      </c>
      <c r="AJ120" s="71">
        <v>0</v>
      </c>
      <c r="AK120" s="71">
        <v>0</v>
      </c>
      <c r="AL120" s="71">
        <v>0</v>
      </c>
      <c r="AM120" s="7"/>
    </row>
    <row r="121" spans="1:39" s="59" customFormat="1" outlineLevel="1">
      <c r="A121" s="96"/>
      <c r="D121" s="69" t="s">
        <v>112</v>
      </c>
      <c r="G121" s="70">
        <f t="shared" ref="G121:Z121" si="112">IFERROR(-G119/G$117,"na")</f>
        <v>6.3190413780190979E-3</v>
      </c>
      <c r="H121" s="70">
        <f t="shared" si="112"/>
        <v>6.2338381972663441E-3</v>
      </c>
      <c r="I121" s="70">
        <f t="shared" si="112"/>
        <v>-6.8389057750759897E-3</v>
      </c>
      <c r="J121" s="70">
        <f t="shared" si="112"/>
        <v>8.664955070603348E-3</v>
      </c>
      <c r="K121" s="70">
        <f t="shared" si="112"/>
        <v>7.0815260688678408E-4</v>
      </c>
      <c r="L121" s="70">
        <f t="shared" si="112"/>
        <v>-6.2744340943095701E-4</v>
      </c>
      <c r="M121" s="70">
        <f t="shared" si="112"/>
        <v>-5.3231129564569366E-5</v>
      </c>
      <c r="N121" s="70">
        <f t="shared" si="112"/>
        <v>-2.2910479422995341E-2</v>
      </c>
      <c r="O121" s="70">
        <f t="shared" si="112"/>
        <v>0</v>
      </c>
      <c r="P121" s="70">
        <f t="shared" si="112"/>
        <v>0</v>
      </c>
      <c r="Q121" s="70">
        <f t="shared" si="112"/>
        <v>0</v>
      </c>
      <c r="R121" s="70">
        <f t="shared" si="112"/>
        <v>-1.3439395590425344E-2</v>
      </c>
      <c r="S121" s="70">
        <f t="shared" si="112"/>
        <v>3.5364526659412395E-3</v>
      </c>
      <c r="T121" s="70">
        <f t="shared" si="112"/>
        <v>8.9196024650019606E-2</v>
      </c>
      <c r="U121" s="70">
        <f t="shared" si="112"/>
        <v>0.13969705058054191</v>
      </c>
      <c r="V121" s="70">
        <f t="shared" si="112"/>
        <v>-1.9589882992554066E-2</v>
      </c>
      <c r="W121" s="70">
        <f t="shared" si="112"/>
        <v>3.7086969310716741E-2</v>
      </c>
      <c r="X121" s="70">
        <f t="shared" si="112"/>
        <v>0.12815168257157206</v>
      </c>
      <c r="Y121" s="70">
        <f t="shared" si="112"/>
        <v>3.6783482749252923E-2</v>
      </c>
      <c r="Z121" s="70">
        <f t="shared" si="112"/>
        <v>-0.34105041278763393</v>
      </c>
      <c r="AA121" s="70">
        <f>IFERROR(-AA119/AA$117,"na")</f>
        <v>-1.4631648255175944E-4</v>
      </c>
      <c r="AB121" s="70">
        <f>IFERROR(-AB119/AB$117,"na")</f>
        <v>2.8866529580736808E-2</v>
      </c>
      <c r="AC121" s="71">
        <v>0.11818181818181833</v>
      </c>
      <c r="AD121" s="71">
        <f t="shared" ref="AD121:AK121" ca="1" si="113">IFERROR(AVERAGE(AC121,AE121),0)</f>
        <v>0.12727272727272748</v>
      </c>
      <c r="AE121" s="71">
        <f t="shared" ca="1" si="113"/>
        <v>0.1363636363636366</v>
      </c>
      <c r="AF121" s="71">
        <f t="shared" ca="1" si="113"/>
        <v>0.14545454545454573</v>
      </c>
      <c r="AG121" s="71">
        <f t="shared" ca="1" si="113"/>
        <v>0.15454545454545482</v>
      </c>
      <c r="AH121" s="71">
        <f t="shared" ca="1" si="113"/>
        <v>0.16363636363636389</v>
      </c>
      <c r="AI121" s="71">
        <f t="shared" ca="1" si="113"/>
        <v>0.17272727272727295</v>
      </c>
      <c r="AJ121" s="71">
        <f t="shared" ca="1" si="113"/>
        <v>0.18181818181818199</v>
      </c>
      <c r="AK121" s="71">
        <f t="shared" ca="1" si="113"/>
        <v>0.190909090909091</v>
      </c>
      <c r="AL121" s="71">
        <v>0.2</v>
      </c>
      <c r="AM121" s="72"/>
    </row>
    <row r="122" spans="1:39" s="3" customFormat="1" outlineLevel="1">
      <c r="A122" s="96"/>
      <c r="D122" s="193" t="s">
        <v>113</v>
      </c>
      <c r="E122" s="193"/>
      <c r="F122" s="193"/>
      <c r="G122" s="211">
        <f t="shared" ref="G122:AL122" si="114">+G117+G118+G119</f>
        <v>-5.9099999999999993</v>
      </c>
      <c r="H122" s="211">
        <f t="shared" si="114"/>
        <v>-5.9910000000000023</v>
      </c>
      <c r="I122" s="211">
        <f t="shared" si="114"/>
        <v>5.4719999999999986</v>
      </c>
      <c r="J122" s="211">
        <f t="shared" si="114"/>
        <v>-4.3189999999999955</v>
      </c>
      <c r="K122" s="211">
        <f t="shared" si="114"/>
        <v>-11.468000000000002</v>
      </c>
      <c r="L122" s="211">
        <f t="shared" si="114"/>
        <v>-21.020000000000003</v>
      </c>
      <c r="M122" s="211">
        <f t="shared" si="114"/>
        <v>-37.988999999999997</v>
      </c>
      <c r="N122" s="211">
        <f t="shared" si="114"/>
        <v>-16.686999999999994</v>
      </c>
      <c r="O122" s="211">
        <f t="shared" si="114"/>
        <v>-17.114000000000008</v>
      </c>
      <c r="P122" s="211">
        <f t="shared" si="114"/>
        <v>-19.705999999999985</v>
      </c>
      <c r="Q122" s="211">
        <f t="shared" si="114"/>
        <v>-40.852999999999994</v>
      </c>
      <c r="R122" s="211">
        <f t="shared" si="114"/>
        <v>-28.15499999999999</v>
      </c>
      <c r="S122" s="211">
        <f t="shared" si="114"/>
        <v>-32.746000000000016</v>
      </c>
      <c r="T122" s="211">
        <f t="shared" si="114"/>
        <v>-26.134999999999991</v>
      </c>
      <c r="U122" s="211">
        <f t="shared" si="114"/>
        <v>-26.467999999999986</v>
      </c>
      <c r="V122" s="211">
        <f t="shared" si="114"/>
        <v>-34.021000000000008</v>
      </c>
      <c r="W122" s="211">
        <f t="shared" si="114"/>
        <v>-39.962999999999994</v>
      </c>
      <c r="X122" s="211">
        <f t="shared" si="114"/>
        <v>-35.510000000000005</v>
      </c>
      <c r="Y122" s="211">
        <f t="shared" si="114"/>
        <v>-107.33499999999999</v>
      </c>
      <c r="Z122" s="211">
        <f t="shared" si="114"/>
        <v>-77.501000000000005</v>
      </c>
      <c r="AA122" s="211">
        <f t="shared" si="114"/>
        <v>-41.381000000000007</v>
      </c>
      <c r="AB122" s="211">
        <f t="shared" si="114"/>
        <v>-63.537000000000006</v>
      </c>
      <c r="AC122" s="211">
        <f t="shared" si="114"/>
        <v>-57.259894731187572</v>
      </c>
      <c r="AD122" s="211">
        <f t="shared" ca="1" si="114"/>
        <v>-56.253059914715706</v>
      </c>
      <c r="AE122" s="211">
        <f t="shared" ca="1" si="114"/>
        <v>-55.812926263646375</v>
      </c>
      <c r="AF122" s="211">
        <f t="shared" ca="1" si="114"/>
        <v>-55.516578852487925</v>
      </c>
      <c r="AG122" s="211">
        <f t="shared" ca="1" si="114"/>
        <v>-54.892531689045832</v>
      </c>
      <c r="AH122" s="211">
        <f t="shared" ca="1" si="114"/>
        <v>-53.923155581864691</v>
      </c>
      <c r="AI122" s="211">
        <f t="shared" ca="1" si="114"/>
        <v>-53.295791874346698</v>
      </c>
      <c r="AJ122" s="211">
        <f t="shared" ca="1" si="114"/>
        <v>-52.074060204434176</v>
      </c>
      <c r="AK122" s="211">
        <f t="shared" ca="1" si="114"/>
        <v>-50.374204364143012</v>
      </c>
      <c r="AL122" s="211">
        <f t="shared" ca="1" si="114"/>
        <v>-45.47637407142939</v>
      </c>
      <c r="AM122" s="53"/>
    </row>
    <row r="123" spans="1:39" outlineLevel="1">
      <c r="A123" s="96" t="s">
        <v>398</v>
      </c>
      <c r="D123" s="59" t="s">
        <v>114</v>
      </c>
      <c r="G123" s="177"/>
      <c r="H123" s="177"/>
      <c r="I123" s="177"/>
      <c r="J123" s="177"/>
      <c r="K123" s="177"/>
      <c r="L123" s="177"/>
      <c r="M123" s="177"/>
      <c r="N123" s="177"/>
      <c r="O123" s="177"/>
      <c r="P123" s="177"/>
      <c r="Q123" s="177"/>
      <c r="R123" s="177"/>
      <c r="S123" s="177"/>
      <c r="T123" s="177"/>
      <c r="U123" s="177"/>
      <c r="V123" s="177"/>
      <c r="W123" s="177"/>
      <c r="X123" s="177"/>
      <c r="Y123" s="177"/>
      <c r="Z123" s="177"/>
      <c r="AA123" s="177"/>
      <c r="AB123" s="177"/>
      <c r="AC123" s="140">
        <f t="shared" ref="AC123:AL123" si="115">AB123</f>
        <v>0</v>
      </c>
      <c r="AD123" s="140">
        <f t="shared" si="115"/>
        <v>0</v>
      </c>
      <c r="AE123" s="140">
        <f t="shared" si="115"/>
        <v>0</v>
      </c>
      <c r="AF123" s="140">
        <f t="shared" si="115"/>
        <v>0</v>
      </c>
      <c r="AG123" s="140">
        <f t="shared" si="115"/>
        <v>0</v>
      </c>
      <c r="AH123" s="140">
        <f t="shared" si="115"/>
        <v>0</v>
      </c>
      <c r="AI123" s="140">
        <f t="shared" si="115"/>
        <v>0</v>
      </c>
      <c r="AJ123" s="140">
        <f t="shared" si="115"/>
        <v>0</v>
      </c>
      <c r="AK123" s="140">
        <f t="shared" si="115"/>
        <v>0</v>
      </c>
      <c r="AL123" s="140">
        <f t="shared" si="115"/>
        <v>0</v>
      </c>
      <c r="AM123" s="7"/>
    </row>
    <row r="124" spans="1:39" s="3" customFormat="1" outlineLevel="1">
      <c r="A124" s="96"/>
      <c r="D124" s="193" t="s">
        <v>115</v>
      </c>
      <c r="E124" s="193"/>
      <c r="F124" s="193"/>
      <c r="G124" s="211">
        <f t="shared" ref="G124:AL124" si="116">SUM(G122:G123)</f>
        <v>-5.9099999999999993</v>
      </c>
      <c r="H124" s="211">
        <f t="shared" si="116"/>
        <v>-5.9910000000000023</v>
      </c>
      <c r="I124" s="211">
        <f t="shared" si="116"/>
        <v>5.4719999999999986</v>
      </c>
      <c r="J124" s="211">
        <f t="shared" si="116"/>
        <v>-4.3189999999999955</v>
      </c>
      <c r="K124" s="211">
        <f t="shared" si="116"/>
        <v>-11.468000000000002</v>
      </c>
      <c r="L124" s="211">
        <f t="shared" si="116"/>
        <v>-21.020000000000003</v>
      </c>
      <c r="M124" s="211">
        <f t="shared" si="116"/>
        <v>-37.988999999999997</v>
      </c>
      <c r="N124" s="211">
        <f t="shared" si="116"/>
        <v>-16.686999999999994</v>
      </c>
      <c r="O124" s="211">
        <f t="shared" si="116"/>
        <v>-17.114000000000008</v>
      </c>
      <c r="P124" s="211">
        <f t="shared" si="116"/>
        <v>-19.705999999999985</v>
      </c>
      <c r="Q124" s="211">
        <f t="shared" si="116"/>
        <v>-40.852999999999994</v>
      </c>
      <c r="R124" s="211">
        <f t="shared" si="116"/>
        <v>-28.15499999999999</v>
      </c>
      <c r="S124" s="211">
        <f t="shared" si="116"/>
        <v>-32.746000000000016</v>
      </c>
      <c r="T124" s="211">
        <f t="shared" si="116"/>
        <v>-26.134999999999991</v>
      </c>
      <c r="U124" s="211">
        <f t="shared" si="116"/>
        <v>-26.467999999999986</v>
      </c>
      <c r="V124" s="211">
        <f t="shared" si="116"/>
        <v>-34.021000000000008</v>
      </c>
      <c r="W124" s="211">
        <f t="shared" si="116"/>
        <v>-39.962999999999994</v>
      </c>
      <c r="X124" s="211">
        <f t="shared" si="116"/>
        <v>-35.510000000000005</v>
      </c>
      <c r="Y124" s="211">
        <f t="shared" si="116"/>
        <v>-107.33499999999999</v>
      </c>
      <c r="Z124" s="211">
        <f t="shared" si="116"/>
        <v>-77.501000000000005</v>
      </c>
      <c r="AA124" s="211">
        <f t="shared" si="116"/>
        <v>-41.381000000000007</v>
      </c>
      <c r="AB124" s="211">
        <f t="shared" si="116"/>
        <v>-63.537000000000006</v>
      </c>
      <c r="AC124" s="211">
        <f t="shared" si="116"/>
        <v>-57.259894731187572</v>
      </c>
      <c r="AD124" s="211">
        <f t="shared" ca="1" si="116"/>
        <v>-56.253059914715706</v>
      </c>
      <c r="AE124" s="211">
        <f t="shared" ca="1" si="116"/>
        <v>-55.812926263646375</v>
      </c>
      <c r="AF124" s="211">
        <f t="shared" ca="1" si="116"/>
        <v>-55.516578852487925</v>
      </c>
      <c r="AG124" s="211">
        <f t="shared" ca="1" si="116"/>
        <v>-54.892531689045832</v>
      </c>
      <c r="AH124" s="211">
        <f t="shared" ca="1" si="116"/>
        <v>-53.923155581864691</v>
      </c>
      <c r="AI124" s="211">
        <f t="shared" ca="1" si="116"/>
        <v>-53.295791874346698</v>
      </c>
      <c r="AJ124" s="211">
        <f t="shared" ca="1" si="116"/>
        <v>-52.074060204434176</v>
      </c>
      <c r="AK124" s="211">
        <f t="shared" ca="1" si="116"/>
        <v>-50.374204364143012</v>
      </c>
      <c r="AL124" s="211">
        <f t="shared" ca="1" si="116"/>
        <v>-45.47637407142939</v>
      </c>
      <c r="AM124" s="53"/>
    </row>
    <row r="125" spans="1:39" outlineLevel="1">
      <c r="A125" s="96"/>
      <c r="G125" s="45"/>
      <c r="H125" s="45"/>
      <c r="I125" s="45"/>
      <c r="J125" s="45"/>
      <c r="K125" s="45"/>
      <c r="L125" s="45"/>
      <c r="M125" s="45"/>
      <c r="N125" s="45"/>
      <c r="O125" s="45"/>
      <c r="P125" s="45"/>
      <c r="Q125" s="45"/>
      <c r="R125" s="45"/>
      <c r="S125" s="45"/>
      <c r="T125" s="45"/>
      <c r="U125" s="45"/>
      <c r="V125" s="45"/>
      <c r="W125" s="45"/>
      <c r="X125" s="45"/>
      <c r="Y125" s="45"/>
      <c r="Z125" s="45"/>
      <c r="AA125" s="45"/>
      <c r="AB125" s="45"/>
      <c r="AC125" s="45"/>
      <c r="AD125" s="45"/>
      <c r="AE125" s="45"/>
      <c r="AF125" s="45"/>
      <c r="AG125" s="45"/>
      <c r="AH125" s="45"/>
      <c r="AI125" s="45"/>
      <c r="AJ125" s="45"/>
      <c r="AK125" s="45"/>
      <c r="AL125" s="45"/>
      <c r="AM125" s="7"/>
    </row>
    <row r="126" spans="1:39" s="3" customFormat="1" outlineLevel="1">
      <c r="A126" s="96" t="s">
        <v>156</v>
      </c>
      <c r="B126"/>
      <c r="C126"/>
      <c r="D126" s="59" t="s">
        <v>156</v>
      </c>
      <c r="E126"/>
      <c r="F126"/>
      <c r="G126" s="177"/>
      <c r="H126" s="177"/>
      <c r="I126" s="177"/>
      <c r="J126" s="177"/>
      <c r="K126" s="177">
        <v>78.677999999999997</v>
      </c>
      <c r="L126" s="177">
        <v>78.975999999999999</v>
      </c>
      <c r="M126" s="177">
        <v>81.578999999999994</v>
      </c>
      <c r="N126" s="177">
        <v>84.617999999999995</v>
      </c>
      <c r="O126" s="177">
        <v>85.078000000000003</v>
      </c>
      <c r="P126" s="177">
        <v>85.683000000000007</v>
      </c>
      <c r="Q126" s="177">
        <v>118.056</v>
      </c>
      <c r="R126" s="177">
        <v>294.41800000000001</v>
      </c>
      <c r="S126" s="177">
        <v>296.077</v>
      </c>
      <c r="T126" s="177">
        <v>299.32100000000003</v>
      </c>
      <c r="U126" s="177">
        <v>301.68900000000002</v>
      </c>
      <c r="V126" s="177">
        <v>303.81299999999999</v>
      </c>
      <c r="W126" s="177">
        <v>305.947</v>
      </c>
      <c r="X126" s="177">
        <v>308.26299999999998</v>
      </c>
      <c r="Y126" s="177">
        <v>314.54300000000001</v>
      </c>
      <c r="Z126" s="177">
        <v>320.33100000000002</v>
      </c>
      <c r="AA126" s="177">
        <v>323.334</v>
      </c>
      <c r="AB126" s="177">
        <v>325.197</v>
      </c>
      <c r="AC126" s="68">
        <f t="shared" ref="AC126:AL126" si="117">AVERAGE(AC217,AC219)</f>
        <v>327.69789544492659</v>
      </c>
      <c r="AD126" s="68">
        <f t="shared" si="117"/>
        <v>328.30189643319142</v>
      </c>
      <c r="AE126" s="68">
        <f t="shared" si="117"/>
        <v>328.91222359894732</v>
      </c>
      <c r="AF126" s="68">
        <f t="shared" si="117"/>
        <v>329.53132058097367</v>
      </c>
      <c r="AG126" s="68">
        <f t="shared" si="117"/>
        <v>330.16035002889475</v>
      </c>
      <c r="AH126" s="68">
        <f t="shared" si="117"/>
        <v>330.80066903916804</v>
      </c>
      <c r="AI126" s="68">
        <f t="shared" si="117"/>
        <v>331.45437791868596</v>
      </c>
      <c r="AJ126" s="68">
        <f t="shared" si="117"/>
        <v>332.12391122050246</v>
      </c>
      <c r="AK126" s="68">
        <f t="shared" si="117"/>
        <v>332.81162078920863</v>
      </c>
      <c r="AL126" s="68">
        <f t="shared" si="117"/>
        <v>333.52036092184653</v>
      </c>
      <c r="AM126" s="53"/>
    </row>
    <row r="127" spans="1:39" s="3" customFormat="1" outlineLevel="1">
      <c r="A127" s="96" t="s">
        <v>157</v>
      </c>
      <c r="B127"/>
      <c r="C127"/>
      <c r="D127" s="59" t="s">
        <v>157</v>
      </c>
      <c r="E127"/>
      <c r="F127"/>
      <c r="G127" s="177"/>
      <c r="H127" s="177"/>
      <c r="I127" s="177"/>
      <c r="J127" s="177"/>
      <c r="K127" s="177">
        <f t="shared" ref="K127:X127" si="118">K126</f>
        <v>78.677999999999997</v>
      </c>
      <c r="L127" s="177">
        <f t="shared" si="118"/>
        <v>78.975999999999999</v>
      </c>
      <c r="M127" s="177">
        <f t="shared" si="118"/>
        <v>81.578999999999994</v>
      </c>
      <c r="N127" s="177">
        <f t="shared" si="118"/>
        <v>84.617999999999995</v>
      </c>
      <c r="O127" s="177">
        <f t="shared" si="118"/>
        <v>85.078000000000003</v>
      </c>
      <c r="P127" s="177">
        <f t="shared" si="118"/>
        <v>85.683000000000007</v>
      </c>
      <c r="Q127" s="177">
        <f t="shared" si="118"/>
        <v>118.056</v>
      </c>
      <c r="R127" s="177">
        <f t="shared" si="118"/>
        <v>294.41800000000001</v>
      </c>
      <c r="S127" s="177">
        <f t="shared" si="118"/>
        <v>296.077</v>
      </c>
      <c r="T127" s="177">
        <f t="shared" si="118"/>
        <v>299.32100000000003</v>
      </c>
      <c r="U127" s="177">
        <f t="shared" si="118"/>
        <v>301.68900000000002</v>
      </c>
      <c r="V127" s="177">
        <f t="shared" si="118"/>
        <v>303.81299999999999</v>
      </c>
      <c r="W127" s="177">
        <f t="shared" si="118"/>
        <v>305.947</v>
      </c>
      <c r="X127" s="177">
        <f t="shared" si="118"/>
        <v>308.26299999999998</v>
      </c>
      <c r="Y127" s="177">
        <v>342.43900000000002</v>
      </c>
      <c r="Z127" s="177">
        <v>345.83800000000002</v>
      </c>
      <c r="AA127" s="177">
        <v>341.589</v>
      </c>
      <c r="AB127" s="177">
        <v>341.06299999999999</v>
      </c>
      <c r="AC127" s="68">
        <f t="shared" ref="AC127:AL127" si="119">(SUM(AA127:AB127)-SUM(AA126:AB126))/2+AC126</f>
        <v>344.75839544492663</v>
      </c>
      <c r="AD127" s="68">
        <f t="shared" si="119"/>
        <v>344.76514643319143</v>
      </c>
      <c r="AE127" s="68">
        <f t="shared" si="119"/>
        <v>345.67409859894735</v>
      </c>
      <c r="AF127" s="68">
        <f t="shared" si="119"/>
        <v>346.14388308097375</v>
      </c>
      <c r="AG127" s="68">
        <f t="shared" si="119"/>
        <v>346.84756877889481</v>
      </c>
      <c r="AH127" s="68">
        <f t="shared" si="119"/>
        <v>347.45055966416811</v>
      </c>
      <c r="AI127" s="68">
        <f t="shared" si="119"/>
        <v>348.12293260618605</v>
      </c>
      <c r="AJ127" s="68">
        <f t="shared" si="119"/>
        <v>348.78313387675252</v>
      </c>
      <c r="AK127" s="68">
        <f t="shared" si="119"/>
        <v>349.47550946108367</v>
      </c>
      <c r="AL127" s="68">
        <f t="shared" si="119"/>
        <v>350.18191658590911</v>
      </c>
      <c r="AM127" s="53"/>
    </row>
    <row r="128" spans="1:39" s="3" customFormat="1" outlineLevel="1">
      <c r="A128" s="96"/>
      <c r="B128" s="7"/>
      <c r="C128" s="7"/>
      <c r="D128" s="7"/>
      <c r="E128" s="7"/>
      <c r="F128" s="7"/>
      <c r="G128" s="7"/>
      <c r="H128" s="7"/>
      <c r="I128" s="7"/>
      <c r="J128" s="7"/>
      <c r="K128" s="7"/>
      <c r="L128" s="7"/>
      <c r="M128" s="7"/>
      <c r="N128" s="7"/>
      <c r="O128" s="7"/>
      <c r="P128" s="7"/>
      <c r="Q128" s="7"/>
      <c r="R128" s="7"/>
      <c r="S128" s="7"/>
      <c r="T128" s="7"/>
      <c r="U128" s="7"/>
      <c r="V128" s="7"/>
      <c r="W128" s="7"/>
      <c r="X128" s="7"/>
      <c r="Y128" s="7"/>
      <c r="Z128" s="7"/>
      <c r="AA128" s="7"/>
      <c r="AB128" s="7"/>
      <c r="AC128" s="7"/>
      <c r="AD128" s="7"/>
      <c r="AE128" s="7"/>
      <c r="AF128" s="7"/>
      <c r="AG128" s="7"/>
      <c r="AH128" s="7"/>
      <c r="AI128" s="7"/>
      <c r="AJ128" s="7"/>
      <c r="AK128" s="7"/>
      <c r="AL128" s="7"/>
      <c r="AM128" s="53"/>
    </row>
    <row r="129" spans="1:39" outlineLevel="1">
      <c r="A129" s="96"/>
      <c r="D129" t="s">
        <v>570</v>
      </c>
      <c r="G129" s="63"/>
      <c r="H129" s="63"/>
      <c r="I129" s="63"/>
      <c r="J129" s="63"/>
      <c r="K129" s="63">
        <f t="shared" ref="K129:AL129" si="120">+K127</f>
        <v>78.677999999999997</v>
      </c>
      <c r="L129" s="63">
        <f t="shared" si="120"/>
        <v>78.975999999999999</v>
      </c>
      <c r="M129" s="63">
        <f t="shared" si="120"/>
        <v>81.578999999999994</v>
      </c>
      <c r="N129" s="63">
        <f t="shared" si="120"/>
        <v>84.617999999999995</v>
      </c>
      <c r="O129" s="63">
        <f t="shared" si="120"/>
        <v>85.078000000000003</v>
      </c>
      <c r="P129" s="63">
        <f t="shared" si="120"/>
        <v>85.683000000000007</v>
      </c>
      <c r="Q129" s="63">
        <f t="shared" si="120"/>
        <v>118.056</v>
      </c>
      <c r="R129" s="63">
        <f t="shared" si="120"/>
        <v>294.41800000000001</v>
      </c>
      <c r="S129" s="63">
        <f t="shared" si="120"/>
        <v>296.077</v>
      </c>
      <c r="T129" s="63">
        <f t="shared" si="120"/>
        <v>299.32100000000003</v>
      </c>
      <c r="U129" s="63">
        <f t="shared" si="120"/>
        <v>301.68900000000002</v>
      </c>
      <c r="V129" s="63">
        <f t="shared" si="120"/>
        <v>303.81299999999999</v>
      </c>
      <c r="W129" s="63">
        <f t="shared" si="120"/>
        <v>305.947</v>
      </c>
      <c r="X129" s="63">
        <f t="shared" si="120"/>
        <v>308.26299999999998</v>
      </c>
      <c r="Y129" s="63">
        <f t="shared" si="120"/>
        <v>342.43900000000002</v>
      </c>
      <c r="Z129" s="63">
        <f t="shared" si="120"/>
        <v>345.83800000000002</v>
      </c>
      <c r="AA129" s="63">
        <f t="shared" si="120"/>
        <v>341.589</v>
      </c>
      <c r="AB129" s="63">
        <f t="shared" si="120"/>
        <v>341.06299999999999</v>
      </c>
      <c r="AC129" s="63">
        <f t="shared" si="120"/>
        <v>344.75839544492663</v>
      </c>
      <c r="AD129" s="63">
        <f t="shared" si="120"/>
        <v>344.76514643319143</v>
      </c>
      <c r="AE129" s="63">
        <f t="shared" si="120"/>
        <v>345.67409859894735</v>
      </c>
      <c r="AF129" s="63">
        <f t="shared" si="120"/>
        <v>346.14388308097375</v>
      </c>
      <c r="AG129" s="63">
        <f t="shared" si="120"/>
        <v>346.84756877889481</v>
      </c>
      <c r="AH129" s="63">
        <f t="shared" si="120"/>
        <v>347.45055966416811</v>
      </c>
      <c r="AI129" s="63">
        <f t="shared" si="120"/>
        <v>348.12293260618605</v>
      </c>
      <c r="AJ129" s="63">
        <f t="shared" si="120"/>
        <v>348.78313387675252</v>
      </c>
      <c r="AK129" s="63">
        <f t="shared" si="120"/>
        <v>349.47550946108367</v>
      </c>
      <c r="AL129" s="63">
        <f t="shared" si="120"/>
        <v>350.18191658590911</v>
      </c>
      <c r="AM129" s="7"/>
    </row>
    <row r="130" spans="1:39" outlineLevel="1">
      <c r="A130" s="96"/>
      <c r="D130" s="3" t="s">
        <v>118</v>
      </c>
      <c r="G130" s="75"/>
      <c r="H130" s="75"/>
      <c r="I130" s="75"/>
      <c r="J130" s="75"/>
      <c r="K130" s="75">
        <f t="shared" ref="K130:AL130" si="121">+K124/K129</f>
        <v>-0.14575866188769418</v>
      </c>
      <c r="L130" s="75">
        <f t="shared" si="121"/>
        <v>-0.26615680713128043</v>
      </c>
      <c r="M130" s="75">
        <f t="shared" si="121"/>
        <v>-0.465671312470121</v>
      </c>
      <c r="N130" s="75">
        <f t="shared" si="121"/>
        <v>-0.19720390460658482</v>
      </c>
      <c r="O130" s="75">
        <f t="shared" si="121"/>
        <v>-0.20115658572133815</v>
      </c>
      <c r="P130" s="75">
        <f t="shared" si="121"/>
        <v>-0.229987278690055</v>
      </c>
      <c r="Q130" s="75">
        <f t="shared" si="121"/>
        <v>-0.34604763840889063</v>
      </c>
      <c r="R130" s="75">
        <f t="shared" si="121"/>
        <v>-9.5629343314607082E-2</v>
      </c>
      <c r="S130" s="75">
        <f t="shared" si="121"/>
        <v>-0.11059960753452655</v>
      </c>
      <c r="T130" s="75">
        <f t="shared" si="121"/>
        <v>-8.7314288005185037E-2</v>
      </c>
      <c r="U130" s="75">
        <f t="shared" si="121"/>
        <v>-8.7732731388946841E-2</v>
      </c>
      <c r="V130" s="75">
        <f t="shared" si="121"/>
        <v>-0.11198006668575738</v>
      </c>
      <c r="W130" s="75">
        <f t="shared" si="121"/>
        <v>-0.13062066305601949</v>
      </c>
      <c r="X130" s="75">
        <f t="shared" si="121"/>
        <v>-0.11519384421743774</v>
      </c>
      <c r="Y130" s="75">
        <f t="shared" si="121"/>
        <v>-0.31344268614264142</v>
      </c>
      <c r="Z130" s="75">
        <f t="shared" si="121"/>
        <v>-0.22409625315899351</v>
      </c>
      <c r="AA130" s="75">
        <f t="shared" si="121"/>
        <v>-0.12114265974606912</v>
      </c>
      <c r="AB130" s="75">
        <f t="shared" si="121"/>
        <v>-0.18629109577995856</v>
      </c>
      <c r="AC130" s="75">
        <f t="shared" si="121"/>
        <v>-0.16608702061422184</v>
      </c>
      <c r="AD130" s="75">
        <f t="shared" ca="1" si="121"/>
        <v>-0.16316341862478961</v>
      </c>
      <c r="AE130" s="75">
        <f t="shared" ca="1" si="121"/>
        <v>-0.16146111753776723</v>
      </c>
      <c r="AF130" s="75">
        <f t="shared" ca="1" si="121"/>
        <v>-0.16038584405520429</v>
      </c>
      <c r="AG130" s="75">
        <f t="shared" ca="1" si="121"/>
        <v>-0.15826125546244846</v>
      </c>
      <c r="AH130" s="75">
        <f t="shared" ca="1" si="121"/>
        <v>-0.15519662893617056</v>
      </c>
      <c r="AI130" s="75">
        <f t="shared" ca="1" si="121"/>
        <v>-0.15309474579957519</v>
      </c>
      <c r="AJ130" s="75">
        <f t="shared" ca="1" si="121"/>
        <v>-0.14930211683583097</v>
      </c>
      <c r="AK130" s="75">
        <f t="shared" ca="1" si="121"/>
        <v>-0.14414230182201795</v>
      </c>
      <c r="AL130" s="75">
        <f t="shared" ca="1" si="121"/>
        <v>-0.12986499849792446</v>
      </c>
      <c r="AM130" s="45"/>
    </row>
    <row r="131" spans="1:39" outlineLevel="1">
      <c r="A131" s="96"/>
      <c r="D131" t="s">
        <v>119</v>
      </c>
      <c r="G131" s="76"/>
      <c r="H131" s="76"/>
      <c r="I131" s="76"/>
      <c r="J131" s="76"/>
      <c r="K131" s="76" t="str">
        <f t="shared" ref="K131:AL131" si="122">IFERROR(IF(G130&lt;0,"na",IF(OR(K130/G130-1&lt;-1,K130/G130-1&gt;2),"na",K130/G130-1)),"na")</f>
        <v>na</v>
      </c>
      <c r="L131" s="76" t="str">
        <f t="shared" si="122"/>
        <v>na</v>
      </c>
      <c r="M131" s="76" t="str">
        <f t="shared" si="122"/>
        <v>na</v>
      </c>
      <c r="N131" s="76" t="str">
        <f t="shared" si="122"/>
        <v>na</v>
      </c>
      <c r="O131" s="76" t="str">
        <f t="shared" si="122"/>
        <v>na</v>
      </c>
      <c r="P131" s="76" t="str">
        <f t="shared" si="122"/>
        <v>na</v>
      </c>
      <c r="Q131" s="76" t="str">
        <f t="shared" si="122"/>
        <v>na</v>
      </c>
      <c r="R131" s="76" t="str">
        <f t="shared" si="122"/>
        <v>na</v>
      </c>
      <c r="S131" s="76" t="str">
        <f t="shared" si="122"/>
        <v>na</v>
      </c>
      <c r="T131" s="76" t="str">
        <f t="shared" si="122"/>
        <v>na</v>
      </c>
      <c r="U131" s="76" t="str">
        <f t="shared" si="122"/>
        <v>na</v>
      </c>
      <c r="V131" s="76" t="str">
        <f t="shared" si="122"/>
        <v>na</v>
      </c>
      <c r="W131" s="76" t="str">
        <f t="shared" si="122"/>
        <v>na</v>
      </c>
      <c r="X131" s="76" t="str">
        <f t="shared" si="122"/>
        <v>na</v>
      </c>
      <c r="Y131" s="76" t="str">
        <f t="shared" si="122"/>
        <v>na</v>
      </c>
      <c r="Z131" s="76" t="str">
        <f t="shared" si="122"/>
        <v>na</v>
      </c>
      <c r="AA131" s="76" t="str">
        <f t="shared" si="122"/>
        <v>na</v>
      </c>
      <c r="AB131" s="76" t="str">
        <f t="shared" si="122"/>
        <v>na</v>
      </c>
      <c r="AC131" s="76" t="str">
        <f t="shared" si="122"/>
        <v>na</v>
      </c>
      <c r="AD131" s="76" t="str">
        <f t="shared" si="122"/>
        <v>na</v>
      </c>
      <c r="AE131" s="76" t="str">
        <f t="shared" si="122"/>
        <v>na</v>
      </c>
      <c r="AF131" s="76" t="str">
        <f t="shared" si="122"/>
        <v>na</v>
      </c>
      <c r="AG131" s="76" t="str">
        <f t="shared" si="122"/>
        <v>na</v>
      </c>
      <c r="AH131" s="76" t="str">
        <f t="shared" ca="1" si="122"/>
        <v>na</v>
      </c>
      <c r="AI131" s="76" t="str">
        <f t="shared" ca="1" si="122"/>
        <v>na</v>
      </c>
      <c r="AJ131" s="76" t="str">
        <f t="shared" ca="1" si="122"/>
        <v>na</v>
      </c>
      <c r="AK131" s="76" t="str">
        <f t="shared" ca="1" si="122"/>
        <v>na</v>
      </c>
      <c r="AL131" s="76" t="str">
        <f t="shared" ca="1" si="122"/>
        <v>na</v>
      </c>
      <c r="AM131" s="45"/>
    </row>
    <row r="132" spans="1:39">
      <c r="A132" s="96"/>
      <c r="G132" s="76"/>
      <c r="H132" s="76"/>
      <c r="I132" s="76"/>
      <c r="J132" s="76"/>
      <c r="K132" s="76"/>
      <c r="L132" s="76"/>
      <c r="M132" s="76"/>
      <c r="N132" s="76"/>
      <c r="O132" s="76"/>
      <c r="P132" s="76"/>
      <c r="Q132" s="76"/>
      <c r="R132" s="76"/>
      <c r="S132" s="76"/>
      <c r="T132" s="76"/>
      <c r="U132" s="76"/>
      <c r="V132" s="76"/>
      <c r="W132" s="76"/>
      <c r="X132" s="76"/>
      <c r="Y132" s="76"/>
      <c r="Z132" s="76"/>
      <c r="AA132" s="76"/>
      <c r="AB132" s="76"/>
      <c r="AC132" s="76"/>
      <c r="AD132" s="76"/>
      <c r="AE132" s="76"/>
      <c r="AF132" s="76"/>
      <c r="AG132" s="76"/>
      <c r="AH132" s="76"/>
      <c r="AI132" s="76"/>
      <c r="AJ132" s="76"/>
      <c r="AK132" s="76"/>
      <c r="AL132" s="76"/>
      <c r="AM132" s="7"/>
    </row>
    <row r="133" spans="1:39">
      <c r="A133" s="96"/>
      <c r="C133" s="90"/>
      <c r="D133" s="91" t="s">
        <v>120</v>
      </c>
      <c r="E133" s="90"/>
      <c r="F133" s="90"/>
      <c r="G133" s="90"/>
      <c r="H133" s="90"/>
      <c r="I133" s="90"/>
      <c r="J133" s="90"/>
      <c r="K133" s="90"/>
      <c r="L133" s="90"/>
      <c r="M133" s="90"/>
      <c r="N133" s="90"/>
      <c r="O133" s="90"/>
      <c r="P133" s="90"/>
      <c r="Q133" s="90"/>
      <c r="R133" s="90"/>
      <c r="S133" s="90"/>
      <c r="T133" s="90"/>
      <c r="U133" s="90"/>
      <c r="V133" s="90"/>
      <c r="W133" s="90"/>
      <c r="X133" s="90"/>
      <c r="Y133" s="90"/>
      <c r="Z133" s="90"/>
      <c r="AA133" s="90"/>
      <c r="AB133" s="90"/>
      <c r="AC133" s="90"/>
      <c r="AD133" s="90"/>
      <c r="AE133" s="90"/>
      <c r="AF133" s="90"/>
      <c r="AG133" s="90"/>
      <c r="AH133" s="90"/>
      <c r="AI133" s="90"/>
      <c r="AJ133" s="90"/>
      <c r="AK133" s="90"/>
      <c r="AL133" s="90"/>
    </row>
    <row r="134" spans="1:39" ht="5.0999999999999996" customHeight="1">
      <c r="A134" s="96"/>
      <c r="B134" s="52"/>
      <c r="C134" s="52"/>
      <c r="D134" s="52"/>
      <c r="E134" s="52"/>
      <c r="F134" s="52"/>
      <c r="G134" s="52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  <c r="Z134" s="52"/>
      <c r="AA134" s="52"/>
      <c r="AB134" s="52"/>
      <c r="AC134" s="52"/>
      <c r="AD134" s="52"/>
      <c r="AE134" s="52"/>
      <c r="AF134" s="52"/>
      <c r="AG134" s="52"/>
      <c r="AH134" s="52"/>
      <c r="AI134" s="52"/>
      <c r="AJ134" s="52"/>
      <c r="AK134" s="52"/>
      <c r="AL134" s="52"/>
      <c r="AM134" s="7"/>
    </row>
    <row r="135" spans="1:39" outlineLevel="1">
      <c r="A135" s="96"/>
      <c r="D135" t="s">
        <v>113</v>
      </c>
      <c r="G135" s="7"/>
      <c r="H135" s="7"/>
      <c r="I135" s="7"/>
      <c r="J135" s="7"/>
      <c r="K135" s="7">
        <f t="shared" ref="K135:AL135" si="123">+K122</f>
        <v>-11.468000000000002</v>
      </c>
      <c r="L135" s="7">
        <f t="shared" si="123"/>
        <v>-21.020000000000003</v>
      </c>
      <c r="M135" s="7">
        <f t="shared" si="123"/>
        <v>-37.988999999999997</v>
      </c>
      <c r="N135" s="7">
        <f t="shared" si="123"/>
        <v>-16.686999999999994</v>
      </c>
      <c r="O135" s="7">
        <f t="shared" si="123"/>
        <v>-17.114000000000008</v>
      </c>
      <c r="P135" s="7">
        <f t="shared" si="123"/>
        <v>-19.705999999999985</v>
      </c>
      <c r="Q135" s="7">
        <f t="shared" si="123"/>
        <v>-40.852999999999994</v>
      </c>
      <c r="R135" s="7">
        <f t="shared" si="123"/>
        <v>-28.15499999999999</v>
      </c>
      <c r="S135" s="7">
        <f t="shared" si="123"/>
        <v>-32.746000000000016</v>
      </c>
      <c r="T135" s="7">
        <f t="shared" si="123"/>
        <v>-26.134999999999991</v>
      </c>
      <c r="U135" s="7">
        <f t="shared" si="123"/>
        <v>-26.467999999999986</v>
      </c>
      <c r="V135" s="7">
        <f t="shared" si="123"/>
        <v>-34.021000000000008</v>
      </c>
      <c r="W135" s="7">
        <f t="shared" si="123"/>
        <v>-39.962999999999994</v>
      </c>
      <c r="X135" s="7">
        <f t="shared" si="123"/>
        <v>-35.510000000000005</v>
      </c>
      <c r="Y135" s="7">
        <f t="shared" si="123"/>
        <v>-107.33499999999999</v>
      </c>
      <c r="Z135" s="7">
        <f t="shared" si="123"/>
        <v>-77.501000000000005</v>
      </c>
      <c r="AA135" s="7">
        <f t="shared" si="123"/>
        <v>-41.381000000000007</v>
      </c>
      <c r="AB135" s="7">
        <f t="shared" si="123"/>
        <v>-63.537000000000006</v>
      </c>
      <c r="AC135" s="7">
        <f t="shared" si="123"/>
        <v>-57.259894731187572</v>
      </c>
      <c r="AD135" s="7">
        <f t="shared" ca="1" si="123"/>
        <v>-56.253059914715706</v>
      </c>
      <c r="AE135" s="7">
        <f t="shared" ca="1" si="123"/>
        <v>-55.812926263646375</v>
      </c>
      <c r="AF135" s="7">
        <f t="shared" ca="1" si="123"/>
        <v>-55.516578852487925</v>
      </c>
      <c r="AG135" s="7">
        <f t="shared" ca="1" si="123"/>
        <v>-54.892531689045832</v>
      </c>
      <c r="AH135" s="7">
        <f t="shared" ca="1" si="123"/>
        <v>-53.923155581864691</v>
      </c>
      <c r="AI135" s="7">
        <f t="shared" ca="1" si="123"/>
        <v>-53.295791874346698</v>
      </c>
      <c r="AJ135" s="7">
        <f t="shared" ca="1" si="123"/>
        <v>-52.074060204434176</v>
      </c>
      <c r="AK135" s="7">
        <f t="shared" ca="1" si="123"/>
        <v>-50.374204364143012</v>
      </c>
      <c r="AL135" s="7">
        <f t="shared" ca="1" si="123"/>
        <v>-45.47637407142939</v>
      </c>
      <c r="AM135" s="7"/>
    </row>
    <row r="136" spans="1:39" outlineLevel="1">
      <c r="A136" s="96"/>
      <c r="D136" s="59" t="s">
        <v>7</v>
      </c>
      <c r="G136" s="7"/>
      <c r="H136" s="7"/>
      <c r="I136" s="7"/>
      <c r="J136" s="7"/>
      <c r="K136" s="7">
        <f t="shared" ref="K136:AL136" si="124">-K111-K140</f>
        <v>3.8759999999999994</v>
      </c>
      <c r="L136" s="7">
        <f t="shared" si="124"/>
        <v>4.4020000000000001</v>
      </c>
      <c r="M136" s="7">
        <f t="shared" si="124"/>
        <v>5.1189999999999998</v>
      </c>
      <c r="N136" s="7">
        <f t="shared" si="124"/>
        <v>5.5079999999999991</v>
      </c>
      <c r="O136" s="7">
        <f t="shared" si="124"/>
        <v>6.1700000000000008</v>
      </c>
      <c r="P136" s="7">
        <f t="shared" si="124"/>
        <v>6.9899999999999993</v>
      </c>
      <c r="Q136" s="7">
        <f t="shared" si="124"/>
        <v>7.7629999999999999</v>
      </c>
      <c r="R136" s="7">
        <f t="shared" si="124"/>
        <v>8.5559999999999938</v>
      </c>
      <c r="S136" s="7">
        <f t="shared" si="124"/>
        <v>10.563000000000001</v>
      </c>
      <c r="T136" s="7">
        <f t="shared" si="124"/>
        <v>11.55</v>
      </c>
      <c r="U136" s="7">
        <f t="shared" si="124"/>
        <v>12.915999999999997</v>
      </c>
      <c r="V136" s="7">
        <f t="shared" si="124"/>
        <v>14.358000000000001</v>
      </c>
      <c r="W136" s="7">
        <f t="shared" si="124"/>
        <v>15.218</v>
      </c>
      <c r="X136" s="7">
        <f t="shared" si="124"/>
        <v>16.027000000000001</v>
      </c>
      <c r="Y136" s="7">
        <f t="shared" si="124"/>
        <v>17.029999999999998</v>
      </c>
      <c r="Z136" s="7">
        <f t="shared" si="124"/>
        <v>18.331999999999994</v>
      </c>
      <c r="AA136" s="7">
        <f t="shared" si="124"/>
        <v>20.014000000000003</v>
      </c>
      <c r="AB136" s="7">
        <f t="shared" si="124"/>
        <v>25.338000000000001</v>
      </c>
      <c r="AC136" s="7">
        <f t="shared" si="124"/>
        <v>29.256</v>
      </c>
      <c r="AD136" s="7">
        <f t="shared" si="124"/>
        <v>30.723359999999992</v>
      </c>
      <c r="AE136" s="7">
        <f t="shared" si="124"/>
        <v>32.259319079999997</v>
      </c>
      <c r="AF136" s="7">
        <f t="shared" si="124"/>
        <v>33.865689246179997</v>
      </c>
      <c r="AG136" s="7">
        <f t="shared" si="124"/>
        <v>35.544232800146887</v>
      </c>
      <c r="AH136" s="7">
        <f t="shared" si="124"/>
        <v>37.296654069755249</v>
      </c>
      <c r="AI136" s="7">
        <f t="shared" si="124"/>
        <v>39.124590861178987</v>
      </c>
      <c r="AJ136" s="7">
        <f t="shared" si="124"/>
        <v>41.029605653974428</v>
      </c>
      <c r="AK136" s="7">
        <f t="shared" si="124"/>
        <v>42.071176563529519</v>
      </c>
      <c r="AL136" s="7">
        <f t="shared" si="124"/>
        <v>40.276688097960104</v>
      </c>
      <c r="AM136" s="7"/>
    </row>
    <row r="137" spans="1:39" outlineLevel="1">
      <c r="A137" s="96"/>
      <c r="D137" s="59" t="s">
        <v>121</v>
      </c>
      <c r="G137" s="7"/>
      <c r="H137" s="7"/>
      <c r="I137" s="7"/>
      <c r="J137" s="7"/>
      <c r="K137" s="7">
        <f t="shared" ref="K137:AL137" si="125">-K119</f>
        <v>-8.0000000000000002E-3</v>
      </c>
      <c r="L137" s="7">
        <f t="shared" si="125"/>
        <v>1.2999999999999999E-2</v>
      </c>
      <c r="M137" s="7">
        <f t="shared" si="125"/>
        <v>2E-3</v>
      </c>
      <c r="N137" s="7">
        <f t="shared" si="125"/>
        <v>0.378</v>
      </c>
      <c r="O137" s="7">
        <f t="shared" si="125"/>
        <v>0</v>
      </c>
      <c r="P137" s="7">
        <f t="shared" si="125"/>
        <v>0</v>
      </c>
      <c r="Q137" s="7">
        <f t="shared" si="125"/>
        <v>0</v>
      </c>
      <c r="R137" s="7">
        <f t="shared" si="125"/>
        <v>0.37</v>
      </c>
      <c r="S137" s="7">
        <f t="shared" si="125"/>
        <v>-0.11700000000000001</v>
      </c>
      <c r="T137" s="7">
        <f t="shared" si="125"/>
        <v>-2.504</v>
      </c>
      <c r="U137" s="7">
        <f t="shared" si="125"/>
        <v>-4.1870000000000003</v>
      </c>
      <c r="V137" s="7">
        <f t="shared" si="125"/>
        <v>0.66300000000000003</v>
      </c>
      <c r="W137" s="7">
        <f t="shared" si="125"/>
        <v>-1.5129999999999999</v>
      </c>
      <c r="X137" s="7">
        <f t="shared" si="125"/>
        <v>-5.1029999999999998</v>
      </c>
      <c r="Y137" s="7">
        <f t="shared" si="125"/>
        <v>-4.0620000000000003</v>
      </c>
      <c r="Z137" s="7">
        <f t="shared" si="125"/>
        <v>19.416</v>
      </c>
      <c r="AA137" s="7">
        <f t="shared" si="125"/>
        <v>6.0000000000000001E-3</v>
      </c>
      <c r="AB137" s="7">
        <f t="shared" si="125"/>
        <v>-1.839</v>
      </c>
      <c r="AC137" s="7">
        <f t="shared" si="125"/>
        <v>-7.6740065103653565</v>
      </c>
      <c r="AD137" s="7">
        <f t="shared" ca="1" si="125"/>
        <v>-8.2035712375627234</v>
      </c>
      <c r="AE137" s="7">
        <f t="shared" ca="1" si="125"/>
        <v>-8.8125673047862865</v>
      </c>
      <c r="AF137" s="7">
        <f t="shared" ca="1" si="125"/>
        <v>-9.4496304429766873</v>
      </c>
      <c r="AG137" s="7">
        <f t="shared" ca="1" si="125"/>
        <v>-10.034118695847107</v>
      </c>
      <c r="AH137" s="7">
        <f t="shared" ca="1" si="125"/>
        <v>-10.550182613843109</v>
      </c>
      <c r="AI137" s="7">
        <f t="shared" ca="1" si="125"/>
        <v>-11.127692808929547</v>
      </c>
      <c r="AJ137" s="7">
        <f t="shared" ca="1" si="125"/>
        <v>-11.572013378763163</v>
      </c>
      <c r="AK137" s="7">
        <f t="shared" ca="1" si="125"/>
        <v>-11.886048220752853</v>
      </c>
      <c r="AL137" s="7">
        <f t="shared" ca="1" si="125"/>
        <v>-11.369093517857349</v>
      </c>
      <c r="AM137" s="7"/>
    </row>
    <row r="138" spans="1:39" outlineLevel="1">
      <c r="A138" s="96" t="s">
        <v>399</v>
      </c>
      <c r="D138" s="59" t="s">
        <v>122</v>
      </c>
      <c r="G138" s="177"/>
      <c r="H138" s="177"/>
      <c r="I138" s="177"/>
      <c r="J138" s="177"/>
      <c r="K138" s="177">
        <v>0.78900000000000003</v>
      </c>
      <c r="L138" s="177">
        <v>1.06</v>
      </c>
      <c r="M138" s="177">
        <v>24.436</v>
      </c>
      <c r="N138" s="177">
        <v>1.0620000000000001</v>
      </c>
      <c r="O138" s="177">
        <v>1.0569999999999999</v>
      </c>
      <c r="P138" s="177">
        <v>1.044</v>
      </c>
      <c r="Q138" s="177">
        <v>22.911000000000001</v>
      </c>
      <c r="R138" s="177">
        <v>11.615</v>
      </c>
      <c r="S138" s="177">
        <v>12.897</v>
      </c>
      <c r="T138" s="177">
        <v>12.449</v>
      </c>
      <c r="U138" s="177">
        <v>14.744999999999999</v>
      </c>
      <c r="V138" s="177">
        <v>16.242999999999999</v>
      </c>
      <c r="W138" s="177">
        <v>18.042000000000002</v>
      </c>
      <c r="X138" s="177">
        <v>20.547000000000001</v>
      </c>
      <c r="Y138" s="177">
        <v>23.048999999999999</v>
      </c>
      <c r="Z138" s="177">
        <v>28.498000000000001</v>
      </c>
      <c r="AA138" s="177">
        <v>33.965000000000003</v>
      </c>
      <c r="AB138" s="177">
        <v>54.814999999999998</v>
      </c>
      <c r="AC138" s="7">
        <f t="shared" ref="AC138:AL138" si="126">SUM(AC12,AC14:AC16)*AC38</f>
        <v>36.107453391191896</v>
      </c>
      <c r="AD138" s="7">
        <f t="shared" si="126"/>
        <v>37.033824608836262</v>
      </c>
      <c r="AE138" s="7">
        <f t="shared" si="126"/>
        <v>38.254992121535572</v>
      </c>
      <c r="AF138" s="7">
        <f t="shared" si="126"/>
        <v>40.137156556278995</v>
      </c>
      <c r="AG138" s="7">
        <f t="shared" si="126"/>
        <v>41.152883198395401</v>
      </c>
      <c r="AH138" s="7">
        <f t="shared" si="126"/>
        <v>42.775199530409516</v>
      </c>
      <c r="AI138" s="7">
        <f t="shared" si="126"/>
        <v>43.539671858360315</v>
      </c>
      <c r="AJ138" s="7">
        <f t="shared" si="126"/>
        <v>45.406272358823735</v>
      </c>
      <c r="AK138" s="7">
        <f t="shared" si="126"/>
        <v>46.200649163827151</v>
      </c>
      <c r="AL138" s="7">
        <f t="shared" si="126"/>
        <v>47.723559268655329</v>
      </c>
      <c r="AM138" s="7"/>
    </row>
    <row r="139" spans="1:39" outlineLevel="1">
      <c r="A139" s="96" t="s">
        <v>400</v>
      </c>
      <c r="D139" s="59" t="s">
        <v>226</v>
      </c>
      <c r="G139" s="177"/>
      <c r="H139" s="177"/>
      <c r="I139" s="177"/>
      <c r="J139" s="177"/>
      <c r="K139" s="177">
        <v>0</v>
      </c>
      <c r="L139" s="177">
        <v>0</v>
      </c>
      <c r="M139" s="177">
        <v>0</v>
      </c>
      <c r="N139" s="177">
        <v>0</v>
      </c>
      <c r="O139" s="177">
        <v>0</v>
      </c>
      <c r="P139" s="177">
        <v>0</v>
      </c>
      <c r="Q139" s="177">
        <v>0</v>
      </c>
      <c r="R139" s="177">
        <v>0</v>
      </c>
      <c r="S139" s="177">
        <v>4.5430000000000001</v>
      </c>
      <c r="T139" s="177">
        <v>4.7889999999999997</v>
      </c>
      <c r="U139" s="177">
        <v>4.8019999999999996</v>
      </c>
      <c r="V139" s="177">
        <v>5.6310000000000002</v>
      </c>
      <c r="W139" s="177">
        <v>5.3460000000000001</v>
      </c>
      <c r="X139" s="177">
        <v>5.6580000000000004</v>
      </c>
      <c r="Y139" s="177">
        <v>6.7359999999999998</v>
      </c>
      <c r="Z139" s="177">
        <v>7.351</v>
      </c>
      <c r="AA139" s="177">
        <v>8.61</v>
      </c>
      <c r="AB139" s="177">
        <v>9.4960000000000004</v>
      </c>
      <c r="AC139" s="7">
        <f t="shared" ref="AC139:AL139" si="127">-AC279</f>
        <v>8.6950657894736842</v>
      </c>
      <c r="AD139" s="7">
        <f t="shared" si="127"/>
        <v>10.06677872882188</v>
      </c>
      <c r="AE139" s="7">
        <f t="shared" si="127"/>
        <v>9.5245308932575039</v>
      </c>
      <c r="AF139" s="7">
        <f t="shared" si="127"/>
        <v>10.986135080460643</v>
      </c>
      <c r="AG139" s="7">
        <f t="shared" si="127"/>
        <v>10.83116001756011</v>
      </c>
      <c r="AH139" s="7">
        <f t="shared" si="127"/>
        <v>11.855039928612804</v>
      </c>
      <c r="AI139" s="7">
        <f t="shared" si="127"/>
        <v>12.06790999973561</v>
      </c>
      <c r="AJ139" s="7">
        <f t="shared" si="127"/>
        <v>12.607922033718411</v>
      </c>
      <c r="AK139" s="7">
        <f t="shared" si="127"/>
        <v>13.479515113785881</v>
      </c>
      <c r="AL139" s="7">
        <f t="shared" si="127"/>
        <v>13.440180762262084</v>
      </c>
      <c r="AM139" s="7"/>
    </row>
    <row r="140" spans="1:39" outlineLevel="1">
      <c r="A140" s="96" t="s">
        <v>401</v>
      </c>
      <c r="D140" s="59" t="s">
        <v>367</v>
      </c>
      <c r="G140" s="177"/>
      <c r="H140" s="177"/>
      <c r="I140" s="177"/>
      <c r="J140" s="177"/>
      <c r="K140" s="177">
        <v>1.5449999999999999</v>
      </c>
      <c r="L140" s="177">
        <v>1.593</v>
      </c>
      <c r="M140" s="177">
        <v>1.8520000000000001</v>
      </c>
      <c r="N140" s="177">
        <v>2.0699999999999998</v>
      </c>
      <c r="O140" s="177">
        <v>2.319</v>
      </c>
      <c r="P140" s="177">
        <v>2.585</v>
      </c>
      <c r="Q140" s="177">
        <v>2.8180000000000001</v>
      </c>
      <c r="R140" s="177">
        <v>3.0990000000000002</v>
      </c>
      <c r="S140" s="177">
        <v>3.4990000000000001</v>
      </c>
      <c r="T140" s="177">
        <v>3.9630000000000001</v>
      </c>
      <c r="U140" s="177">
        <v>4.6230000000000002</v>
      </c>
      <c r="V140" s="177">
        <v>5.2389999999999999</v>
      </c>
      <c r="W140" s="177">
        <v>6.06</v>
      </c>
      <c r="X140" s="177">
        <v>6.8550000000000004</v>
      </c>
      <c r="Y140" s="177">
        <v>7.7729999999999997</v>
      </c>
      <c r="Z140" s="177">
        <v>8.5790000000000006</v>
      </c>
      <c r="AA140" s="177">
        <v>9.6620000000000008</v>
      </c>
      <c r="AB140" s="177">
        <v>10.555999999999999</v>
      </c>
      <c r="AC140" s="7">
        <f t="shared" ref="AC140:AL140" si="128">-AC302</f>
        <v>10.732180851063831</v>
      </c>
      <c r="AD140" s="7">
        <f t="shared" si="128"/>
        <v>11.512302012555978</v>
      </c>
      <c r="AE140" s="7">
        <f t="shared" si="128"/>
        <v>12.139979094905534</v>
      </c>
      <c r="AF140" s="7">
        <f t="shared" si="128"/>
        <v>12.839520578180977</v>
      </c>
      <c r="AG140" s="7">
        <f t="shared" si="128"/>
        <v>13.801910736850875</v>
      </c>
      <c r="AH140" s="7">
        <f t="shared" si="128"/>
        <v>14.508835487516668</v>
      </c>
      <c r="AI140" s="7">
        <f t="shared" si="128"/>
        <v>15.473567613229608</v>
      </c>
      <c r="AJ140" s="7">
        <f t="shared" si="128"/>
        <v>16.148597786106766</v>
      </c>
      <c r="AK140" s="7">
        <f t="shared" si="128"/>
        <v>17.281236301001858</v>
      </c>
      <c r="AL140" s="7">
        <f t="shared" si="128"/>
        <v>18.059205368056755</v>
      </c>
      <c r="AM140" s="7"/>
    </row>
    <row r="141" spans="1:39" outlineLevel="1">
      <c r="A141" s="96" t="s">
        <v>402</v>
      </c>
      <c r="D141" s="59" t="s">
        <v>366</v>
      </c>
      <c r="G141" s="177"/>
      <c r="H141" s="177"/>
      <c r="I141" s="177"/>
      <c r="J141" s="177"/>
      <c r="K141" s="177">
        <v>1.4999999999999999E-2</v>
      </c>
      <c r="L141" s="177">
        <v>-2.1000000000000001E-2</v>
      </c>
      <c r="M141" s="177">
        <v>-7.1999999999999995E-2</v>
      </c>
      <c r="N141" s="177">
        <v>-0.49199999999999999</v>
      </c>
      <c r="O141" s="177">
        <v>-0.51800000000000002</v>
      </c>
      <c r="P141" s="177">
        <v>-0.33400000000000002</v>
      </c>
      <c r="Q141" s="177">
        <v>-0.28499999999999998</v>
      </c>
      <c r="R141" s="177">
        <v>-0.66400000000000003</v>
      </c>
      <c r="S141" s="177">
        <v>-0.45600000000000002</v>
      </c>
      <c r="T141" s="177">
        <v>8.8999999999999996E-2</v>
      </c>
      <c r="U141" s="177">
        <f>13.232-(8.562+4.055)</f>
        <v>0.61500000000000021</v>
      </c>
      <c r="V141" s="177">
        <v>1.3939999999999999</v>
      </c>
      <c r="W141" s="177">
        <v>1.879</v>
      </c>
      <c r="X141" s="177">
        <v>1.9850000000000001</v>
      </c>
      <c r="Y141" s="177">
        <v>2.14</v>
      </c>
      <c r="Z141" s="177">
        <v>2.3530000000000002</v>
      </c>
      <c r="AA141" s="177">
        <v>2.1949999999999998</v>
      </c>
      <c r="AB141" s="177">
        <v>1.603</v>
      </c>
      <c r="AC141" s="68">
        <v>0</v>
      </c>
      <c r="AD141" s="68">
        <v>0</v>
      </c>
      <c r="AE141" s="68">
        <v>0</v>
      </c>
      <c r="AF141" s="68">
        <v>0</v>
      </c>
      <c r="AG141" s="68">
        <v>0</v>
      </c>
      <c r="AH141" s="68">
        <v>0</v>
      </c>
      <c r="AI141" s="68">
        <v>0</v>
      </c>
      <c r="AJ141" s="68">
        <v>0</v>
      </c>
      <c r="AK141" s="68">
        <v>0</v>
      </c>
      <c r="AL141" s="68">
        <v>0</v>
      </c>
      <c r="AM141" s="7"/>
    </row>
    <row r="142" spans="1:39" outlineLevel="1">
      <c r="A142" s="96" t="s">
        <v>403</v>
      </c>
      <c r="D142" s="59" t="s">
        <v>368</v>
      </c>
      <c r="G142" s="177"/>
      <c r="H142" s="177"/>
      <c r="I142" s="177"/>
      <c r="J142" s="177"/>
      <c r="K142" s="177">
        <v>0.375</v>
      </c>
      <c r="L142" s="177">
        <v>0.53400000000000003</v>
      </c>
      <c r="M142" s="177">
        <v>0</v>
      </c>
      <c r="N142" s="177">
        <v>0.17100000000000001</v>
      </c>
      <c r="O142" s="177">
        <v>0.25900000000000001</v>
      </c>
      <c r="P142" s="177">
        <v>0.192</v>
      </c>
      <c r="Q142" s="177">
        <v>0.41</v>
      </c>
      <c r="R142" s="177">
        <v>1.627</v>
      </c>
      <c r="S142" s="177">
        <v>2.2090000000000001</v>
      </c>
      <c r="T142" s="177">
        <v>0.28399999999999997</v>
      </c>
      <c r="U142" s="177">
        <v>0.30099999999999999</v>
      </c>
      <c r="V142" s="177">
        <v>0.57399999999999995</v>
      </c>
      <c r="W142" s="177">
        <v>1.47</v>
      </c>
      <c r="X142" s="177">
        <v>0.53900000000000003</v>
      </c>
      <c r="Y142" s="177">
        <v>0.90200000000000002</v>
      </c>
      <c r="Z142" s="177">
        <v>0.89300000000000002</v>
      </c>
      <c r="AA142" s="177">
        <v>0.96799999999999997</v>
      </c>
      <c r="AB142" s="177">
        <v>1.042</v>
      </c>
      <c r="AC142" s="68">
        <v>0</v>
      </c>
      <c r="AD142" s="68">
        <v>0</v>
      </c>
      <c r="AE142" s="68">
        <v>0</v>
      </c>
      <c r="AF142" s="68">
        <v>0</v>
      </c>
      <c r="AG142" s="68">
        <v>0</v>
      </c>
      <c r="AH142" s="68">
        <v>0</v>
      </c>
      <c r="AI142" s="68">
        <v>0</v>
      </c>
      <c r="AJ142" s="68">
        <v>0</v>
      </c>
      <c r="AK142" s="68">
        <v>0</v>
      </c>
      <c r="AL142" s="68">
        <v>0</v>
      </c>
      <c r="AM142" s="7"/>
    </row>
    <row r="143" spans="1:39" outlineLevel="1">
      <c r="A143" s="96" t="s">
        <v>404</v>
      </c>
      <c r="D143" s="59" t="s">
        <v>123</v>
      </c>
      <c r="G143" s="177"/>
      <c r="H143" s="177"/>
      <c r="I143" s="177"/>
      <c r="J143" s="177"/>
      <c r="K143" s="177">
        <f>0.137-0.022</f>
        <v>0.11500000000000002</v>
      </c>
      <c r="L143" s="177">
        <f>0.011+0.002</f>
        <v>1.2999999999999999E-2</v>
      </c>
      <c r="M143" s="177">
        <f>1.039+0.082</f>
        <v>1.121</v>
      </c>
      <c r="N143" s="177">
        <f>0.033-0.016</f>
        <v>1.7000000000000001E-2</v>
      </c>
      <c r="O143" s="177">
        <f>0.118+0.004</f>
        <v>0.122</v>
      </c>
      <c r="P143" s="177">
        <f>0.209+0.005</f>
        <v>0.214</v>
      </c>
      <c r="Q143" s="177">
        <f>1.19+0.018</f>
        <v>1.208</v>
      </c>
      <c r="R143" s="177">
        <v>0.27700000000000002</v>
      </c>
      <c r="S143" s="177">
        <f>-S247-0.197</f>
        <v>-0.19700000000000001</v>
      </c>
      <c r="T143" s="177">
        <f>-T247+0.102</f>
        <v>4.4050000000000002</v>
      </c>
      <c r="U143" s="177">
        <f>-U247+0.022</f>
        <v>8.5839999999999996</v>
      </c>
      <c r="V143" s="177">
        <f>-V247+0.074</f>
        <v>8.8379999999999992</v>
      </c>
      <c r="W143" s="177">
        <f>-W247+0.079</f>
        <v>9.0500000000000007</v>
      </c>
      <c r="X143" s="177">
        <f>-X247+0.005</f>
        <v>9.1880000000000006</v>
      </c>
      <c r="Y143" s="177">
        <f>-Y247+0.027+72.234-29.353</f>
        <v>55.241999999999997</v>
      </c>
      <c r="Z143" s="177">
        <f>-Z247+0.4</f>
        <v>16.085999999999999</v>
      </c>
      <c r="AA143" s="177">
        <f>-AA247+0.113</f>
        <v>1.2829999999999999</v>
      </c>
      <c r="AB143" s="177">
        <f>-AB247+0.151</f>
        <v>1.3129999999999999</v>
      </c>
      <c r="AC143" s="7">
        <f t="shared" ref="AC143:AL143" si="129">-AC247</f>
        <v>13.323860499999999</v>
      </c>
      <c r="AD143" s="7">
        <f t="shared" si="129"/>
        <v>13.614338626013787</v>
      </c>
      <c r="AE143" s="7">
        <f t="shared" si="129"/>
        <v>13.660002083979986</v>
      </c>
      <c r="AF143" s="7">
        <f t="shared" si="129"/>
        <v>13.964951362680461</v>
      </c>
      <c r="AG143" s="7">
        <f t="shared" si="129"/>
        <v>14.063630671136499</v>
      </c>
      <c r="AH143" s="7">
        <f t="shared" si="129"/>
        <v>14.315456816349164</v>
      </c>
      <c r="AI143" s="7">
        <f t="shared" si="129"/>
        <v>14.464641012477196</v>
      </c>
      <c r="AJ143" s="7">
        <f t="shared" si="129"/>
        <v>14.657360015873833</v>
      </c>
      <c r="AK143" s="7">
        <f t="shared" si="129"/>
        <v>14.894557401953474</v>
      </c>
      <c r="AL143" s="7">
        <f t="shared" si="129"/>
        <v>15.016079141653206</v>
      </c>
      <c r="AM143" s="7"/>
    </row>
    <row r="144" spans="1:39" outlineLevel="1">
      <c r="A144" s="96" t="s">
        <v>405</v>
      </c>
      <c r="D144" s="59" t="s">
        <v>365</v>
      </c>
      <c r="G144" s="177"/>
      <c r="H144" s="177"/>
      <c r="I144" s="177"/>
      <c r="J144" s="177"/>
      <c r="K144" s="177">
        <v>0</v>
      </c>
      <c r="L144" s="177">
        <v>0</v>
      </c>
      <c r="M144" s="177">
        <v>0</v>
      </c>
      <c r="N144" s="177">
        <v>0</v>
      </c>
      <c r="O144" s="177">
        <v>0</v>
      </c>
      <c r="P144" s="177">
        <v>0</v>
      </c>
      <c r="Q144" s="177">
        <v>0</v>
      </c>
      <c r="R144" s="177">
        <v>0</v>
      </c>
      <c r="S144" s="177">
        <v>-4.8040000000000003</v>
      </c>
      <c r="T144" s="177">
        <v>-5.4009999999999998</v>
      </c>
      <c r="U144" s="177">
        <v>-4.9260000000000002</v>
      </c>
      <c r="V144" s="177">
        <v>-5.5869999999999997</v>
      </c>
      <c r="W144" s="177">
        <v>-5.3520000000000003</v>
      </c>
      <c r="X144" s="177">
        <v>-5.0190000000000001</v>
      </c>
      <c r="Y144" s="177">
        <v>-5.944</v>
      </c>
      <c r="Z144" s="177">
        <v>-6.7560000000000002</v>
      </c>
      <c r="AA144" s="177">
        <v>-9.4550000000000001</v>
      </c>
      <c r="AB144" s="177">
        <v>-11.068</v>
      </c>
      <c r="AC144" s="63">
        <f t="shared" ref="AC144:AL144" si="130">AC284</f>
        <v>-8.6950657894736842</v>
      </c>
      <c r="AD144" s="63">
        <f t="shared" si="130"/>
        <v>-10.06677872882188</v>
      </c>
      <c r="AE144" s="63">
        <f t="shared" si="130"/>
        <v>-9.5245308932575039</v>
      </c>
      <c r="AF144" s="63">
        <f t="shared" si="130"/>
        <v>-10.986135080460643</v>
      </c>
      <c r="AG144" s="63">
        <f t="shared" si="130"/>
        <v>-10.83116001756011</v>
      </c>
      <c r="AH144" s="63">
        <f t="shared" si="130"/>
        <v>-11.855039928612804</v>
      </c>
      <c r="AI144" s="63">
        <f t="shared" si="130"/>
        <v>-12.06790999973561</v>
      </c>
      <c r="AJ144" s="63">
        <f t="shared" si="130"/>
        <v>-12.607922033718411</v>
      </c>
      <c r="AK144" s="63">
        <f t="shared" si="130"/>
        <v>-13.479515113785881</v>
      </c>
      <c r="AL144" s="63">
        <f t="shared" si="130"/>
        <v>-13.440180762262084</v>
      </c>
      <c r="AM144" s="7"/>
    </row>
    <row r="145" spans="1:39" s="3" customFormat="1" outlineLevel="1">
      <c r="A145" s="96"/>
      <c r="D145" s="193" t="s">
        <v>125</v>
      </c>
      <c r="E145" s="193"/>
      <c r="F145" s="193"/>
      <c r="G145" s="211"/>
      <c r="H145" s="211"/>
      <c r="I145" s="211"/>
      <c r="J145" s="211"/>
      <c r="K145" s="211">
        <f t="shared" ref="K145:Z145" si="131">SUM(K135:K144)</f>
        <v>-4.7610000000000028</v>
      </c>
      <c r="L145" s="211">
        <f t="shared" si="131"/>
        <v>-13.426</v>
      </c>
      <c r="M145" s="211">
        <f t="shared" si="131"/>
        <v>-5.5309999999999953</v>
      </c>
      <c r="N145" s="211">
        <f t="shared" si="131"/>
        <v>-7.9729999999999936</v>
      </c>
      <c r="O145" s="211">
        <f t="shared" si="131"/>
        <v>-7.7050000000000054</v>
      </c>
      <c r="P145" s="211">
        <f t="shared" si="131"/>
        <v>-9.0149999999999846</v>
      </c>
      <c r="Q145" s="211">
        <f t="shared" si="131"/>
        <v>-6.0279999999999951</v>
      </c>
      <c r="R145" s="211">
        <f t="shared" si="131"/>
        <v>-3.274999999999995</v>
      </c>
      <c r="S145" s="211">
        <f t="shared" si="131"/>
        <v>-4.6090000000000142</v>
      </c>
      <c r="T145" s="211">
        <f t="shared" si="131"/>
        <v>3.4890000000000079</v>
      </c>
      <c r="U145" s="211">
        <f t="shared" si="131"/>
        <v>11.005000000000008</v>
      </c>
      <c r="V145" s="211">
        <f t="shared" si="131"/>
        <v>13.33199999999999</v>
      </c>
      <c r="W145" s="211">
        <f t="shared" si="131"/>
        <v>10.237000000000005</v>
      </c>
      <c r="X145" s="211">
        <f t="shared" si="131"/>
        <v>15.166999999999996</v>
      </c>
      <c r="Y145" s="211">
        <f t="shared" si="131"/>
        <v>-4.4689999999999843</v>
      </c>
      <c r="Z145" s="211">
        <f t="shared" si="131"/>
        <v>17.250999999999987</v>
      </c>
      <c r="AA145" s="211">
        <f>SUM(AA135:AA144)</f>
        <v>25.867000000000004</v>
      </c>
      <c r="AB145" s="211">
        <f t="shared" ref="AB145:AL145" si="132">SUM(AB135:AB144)</f>
        <v>27.719000000000001</v>
      </c>
      <c r="AC145" s="211">
        <f t="shared" si="132"/>
        <v>24.485593500702795</v>
      </c>
      <c r="AD145" s="211">
        <f t="shared" ca="1" si="132"/>
        <v>28.427194095127597</v>
      </c>
      <c r="AE145" s="211">
        <f t="shared" ca="1" si="132"/>
        <v>31.688798811988434</v>
      </c>
      <c r="AF145" s="211">
        <f t="shared" ca="1" si="132"/>
        <v>35.841108447855824</v>
      </c>
      <c r="AG145" s="211">
        <f t="shared" ca="1" si="132"/>
        <v>39.636007021636722</v>
      </c>
      <c r="AH145" s="211">
        <f t="shared" ca="1" si="132"/>
        <v>44.422807708322793</v>
      </c>
      <c r="AI145" s="211">
        <f t="shared" ca="1" si="132"/>
        <v>48.178986661969859</v>
      </c>
      <c r="AJ145" s="211">
        <f t="shared" ca="1" si="132"/>
        <v>53.595762231581432</v>
      </c>
      <c r="AK145" s="211">
        <f t="shared" ca="1" si="132"/>
        <v>58.187366845416136</v>
      </c>
      <c r="AL145" s="211">
        <f t="shared" ca="1" si="132"/>
        <v>64.230064287038644</v>
      </c>
      <c r="AM145" s="53"/>
    </row>
    <row r="146" spans="1:39" outlineLevel="1">
      <c r="A146" s="96" t="s">
        <v>406</v>
      </c>
      <c r="D146" s="59" t="s">
        <v>347</v>
      </c>
      <c r="G146" s="177"/>
      <c r="H146" s="177"/>
      <c r="I146" s="177"/>
      <c r="J146" s="177"/>
      <c r="K146" s="177">
        <v>-2.6019999999999999</v>
      </c>
      <c r="L146" s="177">
        <v>-2.8039999999999998</v>
      </c>
      <c r="M146" s="177">
        <v>-3.2330000000000001</v>
      </c>
      <c r="N146" s="177">
        <v>-3.5960000000000001</v>
      </c>
      <c r="O146" s="177">
        <v>-4.2249999999999996</v>
      </c>
      <c r="P146" s="177">
        <v>-4.2210000000000001</v>
      </c>
      <c r="Q146" s="177">
        <v>-4.4770000000000003</v>
      </c>
      <c r="R146" s="177">
        <v>-7.1420000000000003</v>
      </c>
      <c r="S146" s="177">
        <v>-6.4859999999999998</v>
      </c>
      <c r="T146" s="177">
        <v>-9.6720000000000006</v>
      </c>
      <c r="U146" s="177">
        <v>-8.4570000000000007</v>
      </c>
      <c r="V146" s="177">
        <v>-11.7</v>
      </c>
      <c r="W146" s="177">
        <v>-10.866</v>
      </c>
      <c r="X146" s="177">
        <v>-14.46</v>
      </c>
      <c r="Y146" s="177">
        <v>-12.792999999999999</v>
      </c>
      <c r="Z146" s="177">
        <v>-17.292000000000002</v>
      </c>
      <c r="AA146" s="177">
        <v>-15.608000000000001</v>
      </c>
      <c r="AB146" s="177">
        <v>-14.996</v>
      </c>
      <c r="AC146" s="63">
        <f t="shared" ref="AC146:AL146" si="133">-AC301</f>
        <v>-16.598691985484777</v>
      </c>
      <c r="AD146" s="63">
        <f t="shared" si="133"/>
        <v>-16.232433671824637</v>
      </c>
      <c r="AE146" s="63">
        <f t="shared" si="133"/>
        <v>-17.400531049136873</v>
      </c>
      <c r="AF146" s="63">
        <f t="shared" si="133"/>
        <v>-20.07669457137861</v>
      </c>
      <c r="AG146" s="63">
        <f t="shared" si="133"/>
        <v>-19.117984861857636</v>
      </c>
      <c r="AH146" s="63">
        <f t="shared" si="133"/>
        <v>-21.763621072877982</v>
      </c>
      <c r="AI146" s="63">
        <f t="shared" si="133"/>
        <v>-20.549794513265837</v>
      </c>
      <c r="AJ146" s="63">
        <f t="shared" si="133"/>
        <v>-24.666039418117833</v>
      </c>
      <c r="AK146" s="63">
        <f t="shared" si="133"/>
        <v>-23.13156368525469</v>
      </c>
      <c r="AL146" s="63">
        <f t="shared" si="133"/>
        <v>-26.466139614941511</v>
      </c>
      <c r="AM146" s="7"/>
    </row>
    <row r="147" spans="1:39" outlineLevel="1">
      <c r="A147" s="96" t="s">
        <v>407</v>
      </c>
      <c r="D147" s="59" t="s">
        <v>350</v>
      </c>
      <c r="G147" s="177"/>
      <c r="H147" s="177"/>
      <c r="I147" s="177"/>
      <c r="J147" s="177"/>
      <c r="K147" s="177">
        <v>6.5960000000000001</v>
      </c>
      <c r="L147" s="177">
        <v>-0.46700000000000003</v>
      </c>
      <c r="M147" s="177">
        <v>-0.86599999999999999</v>
      </c>
      <c r="N147" s="177">
        <v>-0.36</v>
      </c>
      <c r="O147" s="177">
        <v>7.4</v>
      </c>
      <c r="P147" s="177">
        <v>3.327</v>
      </c>
      <c r="Q147" s="177">
        <v>2.887</v>
      </c>
      <c r="R147" s="177">
        <v>0.996</v>
      </c>
      <c r="S147" s="177">
        <v>6.4450000000000003</v>
      </c>
      <c r="T147" s="177">
        <v>6.9260000000000002</v>
      </c>
      <c r="U147" s="177">
        <v>5.0540000000000003</v>
      </c>
      <c r="V147" s="177">
        <v>6.7640000000000002</v>
      </c>
      <c r="W147" s="177">
        <v>14.646000000000001</v>
      </c>
      <c r="X147" s="177">
        <v>13.074999999999999</v>
      </c>
      <c r="Y147" s="177">
        <v>12.419</v>
      </c>
      <c r="Z147" s="177">
        <v>24.25</v>
      </c>
      <c r="AA147" s="177">
        <v>16.001000000000001</v>
      </c>
      <c r="AB147" s="177">
        <v>18.475999999999999</v>
      </c>
      <c r="AC147" s="63">
        <f t="shared" ref="AC147:AL147" si="134">AC311</f>
        <v>11.399910260346445</v>
      </c>
      <c r="AD147" s="63">
        <f t="shared" si="134"/>
        <v>8.9576852654506922</v>
      </c>
      <c r="AE147" s="63">
        <f t="shared" si="134"/>
        <v>9.9693148961140423</v>
      </c>
      <c r="AF147" s="63">
        <f t="shared" si="134"/>
        <v>13.830253501589084</v>
      </c>
      <c r="AG147" s="63">
        <f t="shared" si="134"/>
        <v>9.9091187067155602</v>
      </c>
      <c r="AH147" s="63">
        <f t="shared" si="134"/>
        <v>13.663008455901775</v>
      </c>
      <c r="AI147" s="63">
        <f t="shared" si="134"/>
        <v>9.2508017597707521</v>
      </c>
      <c r="AJ147" s="63">
        <f t="shared" si="134"/>
        <v>15.929902087052028</v>
      </c>
      <c r="AK147" s="63">
        <f t="shared" si="134"/>
        <v>10.564065980565744</v>
      </c>
      <c r="AL147" s="63">
        <f t="shared" si="134"/>
        <v>15.448966623632771</v>
      </c>
      <c r="AM147" s="7"/>
    </row>
    <row r="148" spans="1:39" outlineLevel="1">
      <c r="A148" s="96" t="s">
        <v>408</v>
      </c>
      <c r="D148" s="59" t="s">
        <v>124</v>
      </c>
      <c r="G148" s="177"/>
      <c r="H148" s="177"/>
      <c r="I148" s="177"/>
      <c r="J148" s="177"/>
      <c r="K148" s="177">
        <f>-10.245+2.392-1.293-0.259+1.961+6.225+0.003+0.541</f>
        <v>-0.67499999999999949</v>
      </c>
      <c r="L148" s="177">
        <f>-3.612+0.196-0.392+0.031+5.278-1.188+0.016+0.711</f>
        <v>1.04</v>
      </c>
      <c r="M148" s="177">
        <f>-1.412-0.244-1.608-2.202+0.028+1.156</f>
        <v>-4.2820000000000009</v>
      </c>
      <c r="N148" s="177">
        <f>0.511-0.186-2.649-0.124-0.651+1.741-0.001+1.018</f>
        <v>-0.34099999999999997</v>
      </c>
      <c r="O148" s="177">
        <f>-5.616+0.18-0.121-0.148-2.553+1.022+2.076</f>
        <v>-5.1599999999999984</v>
      </c>
      <c r="P148" s="177">
        <f>0.394-0.333-0.193-1.225+7.44-0.102+1.061</f>
        <v>7.0419999999999998</v>
      </c>
      <c r="Q148" s="177">
        <f>-2.689+0.235-7.211-0.313-5.881+4.732+0.959</f>
        <v>-10.168000000000003</v>
      </c>
      <c r="R148" s="177">
        <f>-3.289-0.593-0.096+0.111-0.334+6.682-1.634</f>
        <v>0.84700000000000086</v>
      </c>
      <c r="S148" s="177">
        <f>-8.12+0.284-1.086-0.658+1.507+0.04-1.593</f>
        <v>-9.6259999999999994</v>
      </c>
      <c r="T148" s="177">
        <f>-4.152-0.445+0.915-0.236+2.826+4.139+0.197</f>
        <v>3.2440000000000002</v>
      </c>
      <c r="U148" s="177">
        <f>-5.438+0.138-5.96-0.036+0.315+4.366+0.986</f>
        <v>-5.6290000000000004</v>
      </c>
      <c r="V148" s="177">
        <f>-15.29-1.452-5.503-1.338-2.958+8.53+0.802</f>
        <v>-17.208999999999996</v>
      </c>
      <c r="W148" s="177">
        <f>-9.211-0.122+0.614+1.361+6.181+10.119+0.535</f>
        <v>9.4770000000000003</v>
      </c>
      <c r="X148" s="177">
        <f>-5.152-1.589-2.079+0.229+0.586+0.817+0.861</f>
        <v>-6.3270000000000008</v>
      </c>
      <c r="Y148" s="177">
        <f>-9.754+0.2+2.188-0.128-0.947+11.211-4.845</f>
        <v>-2.0749999999999984</v>
      </c>
      <c r="Z148" s="177">
        <f>-11.731-1.03-3.118+0.073-3.358+36.75-1.178</f>
        <v>16.408000000000001</v>
      </c>
      <c r="AA148" s="177">
        <f>-30.775-0.25-6.775-0.085+1.862-25.427-0.277</f>
        <v>-61.726999999999997</v>
      </c>
      <c r="AB148" s="177">
        <f>3.828-0.866+1.708+0.456+6.312-5.052+0.666</f>
        <v>7.0520000000000014</v>
      </c>
      <c r="AC148" s="63">
        <f t="shared" ref="AC148:AL148" si="135">SUM(AB176:AB178)-SUM(AC176:AC178)+SUM(AC189,AC192)-SUM(AB189,AB192)</f>
        <v>11.441698454280356</v>
      </c>
      <c r="AD148" s="63">
        <f t="shared" si="135"/>
        <v>-0.71919575835229921</v>
      </c>
      <c r="AE148" s="63">
        <f t="shared" si="135"/>
        <v>-0.80321579069675408</v>
      </c>
      <c r="AF148" s="63">
        <f t="shared" si="135"/>
        <v>-1.0911974253207291</v>
      </c>
      <c r="AG148" s="63">
        <f t="shared" si="135"/>
        <v>-0.83157051822070116</v>
      </c>
      <c r="AH148" s="63">
        <f t="shared" si="135"/>
        <v>-1.1179940160267563</v>
      </c>
      <c r="AI148" s="63">
        <f t="shared" si="135"/>
        <v>-0.81943626945098913</v>
      </c>
      <c r="AJ148" s="63">
        <f t="shared" si="135"/>
        <v>-1.325922549223975</v>
      </c>
      <c r="AK148" s="63">
        <f t="shared" si="135"/>
        <v>-0.95610513925441865</v>
      </c>
      <c r="AL148" s="63">
        <f t="shared" si="135"/>
        <v>-1.3416756910306162</v>
      </c>
      <c r="AM148" s="7"/>
    </row>
    <row r="149" spans="1:39" s="3" customFormat="1" outlineLevel="1">
      <c r="A149" s="96"/>
      <c r="D149" s="193" t="s">
        <v>191</v>
      </c>
      <c r="E149" s="193"/>
      <c r="F149" s="193"/>
      <c r="G149" s="211"/>
      <c r="H149" s="211"/>
      <c r="I149" s="211"/>
      <c r="J149" s="211"/>
      <c r="K149" s="211">
        <f t="shared" ref="K149:Z149" si="136">K145+SUM(K146:K148)</f>
        <v>-1.4420000000000019</v>
      </c>
      <c r="L149" s="211">
        <f t="shared" si="136"/>
        <v>-15.657</v>
      </c>
      <c r="M149" s="211">
        <f t="shared" si="136"/>
        <v>-13.911999999999995</v>
      </c>
      <c r="N149" s="211">
        <f t="shared" si="136"/>
        <v>-12.269999999999992</v>
      </c>
      <c r="O149" s="211">
        <f t="shared" si="136"/>
        <v>-9.6900000000000031</v>
      </c>
      <c r="P149" s="211">
        <f t="shared" si="136"/>
        <v>-2.8669999999999849</v>
      </c>
      <c r="Q149" s="211">
        <f t="shared" si="136"/>
        <v>-17.785999999999998</v>
      </c>
      <c r="R149" s="211">
        <f t="shared" si="136"/>
        <v>-8.5739999999999945</v>
      </c>
      <c r="S149" s="211">
        <f t="shared" si="136"/>
        <v>-14.276000000000012</v>
      </c>
      <c r="T149" s="211">
        <f t="shared" si="136"/>
        <v>3.9870000000000076</v>
      </c>
      <c r="U149" s="211">
        <f t="shared" si="136"/>
        <v>1.9730000000000079</v>
      </c>
      <c r="V149" s="211">
        <f t="shared" si="136"/>
        <v>-8.8130000000000059</v>
      </c>
      <c r="W149" s="211">
        <f t="shared" si="136"/>
        <v>23.494000000000007</v>
      </c>
      <c r="X149" s="211">
        <f t="shared" si="136"/>
        <v>7.4549999999999939</v>
      </c>
      <c r="Y149" s="211">
        <f t="shared" si="136"/>
        <v>-6.9179999999999815</v>
      </c>
      <c r="Z149" s="211">
        <f t="shared" si="136"/>
        <v>40.61699999999999</v>
      </c>
      <c r="AA149" s="211">
        <f>AA145+SUM(AA146:AA148)</f>
        <v>-35.466999999999992</v>
      </c>
      <c r="AB149" s="211">
        <f t="shared" ref="AB149:AL149" si="137">AB145+SUM(AB146:AB148)</f>
        <v>38.251000000000005</v>
      </c>
      <c r="AC149" s="211">
        <f t="shared" si="137"/>
        <v>30.728510229844819</v>
      </c>
      <c r="AD149" s="211">
        <f t="shared" ca="1" si="137"/>
        <v>20.433249930401352</v>
      </c>
      <c r="AE149" s="211">
        <f t="shared" ca="1" si="137"/>
        <v>23.454366868268849</v>
      </c>
      <c r="AF149" s="211">
        <f t="shared" ca="1" si="137"/>
        <v>28.503469952745569</v>
      </c>
      <c r="AG149" s="211">
        <f t="shared" ca="1" si="137"/>
        <v>29.595570348273945</v>
      </c>
      <c r="AH149" s="211">
        <f t="shared" ca="1" si="137"/>
        <v>35.20420107531983</v>
      </c>
      <c r="AI149" s="211">
        <f t="shared" ca="1" si="137"/>
        <v>36.060557639023784</v>
      </c>
      <c r="AJ149" s="211">
        <f t="shared" ca="1" si="137"/>
        <v>43.533702351291652</v>
      </c>
      <c r="AK149" s="211">
        <f t="shared" ca="1" si="137"/>
        <v>44.663764001472771</v>
      </c>
      <c r="AL149" s="211">
        <f t="shared" ca="1" si="137"/>
        <v>51.871215604699287</v>
      </c>
      <c r="AM149" s="53"/>
    </row>
    <row r="150" spans="1:39" outlineLevel="1">
      <c r="A150" s="96"/>
      <c r="D150" t="s">
        <v>193</v>
      </c>
      <c r="G150" s="213"/>
      <c r="H150" s="213"/>
      <c r="I150" s="213"/>
      <c r="J150" s="213"/>
      <c r="K150" s="213">
        <f t="shared" ref="K150:T150" si="138">IFERROR(+K149/K129,"na")</f>
        <v>-1.8327868019014235E-2</v>
      </c>
      <c r="L150" s="213">
        <f t="shared" si="138"/>
        <v>-0.19825010129659643</v>
      </c>
      <c r="M150" s="213">
        <f t="shared" si="138"/>
        <v>-0.17053408352639768</v>
      </c>
      <c r="N150" s="213">
        <f t="shared" si="138"/>
        <v>-0.1450046089484506</v>
      </c>
      <c r="O150" s="213">
        <f t="shared" si="138"/>
        <v>-0.11389548414396204</v>
      </c>
      <c r="P150" s="155">
        <f t="shared" si="138"/>
        <v>-3.3460546432781117E-2</v>
      </c>
      <c r="Q150" s="155">
        <f t="shared" si="138"/>
        <v>-0.1506573151724605</v>
      </c>
      <c r="R150" s="155">
        <f t="shared" si="138"/>
        <v>-2.9121860755796161E-2</v>
      </c>
      <c r="S150" s="155">
        <f t="shared" si="138"/>
        <v>-4.8217186745339938E-2</v>
      </c>
      <c r="T150" s="155">
        <f t="shared" si="138"/>
        <v>1.3320147934825846E-2</v>
      </c>
      <c r="U150" s="155">
        <f t="shared" ref="U150:AL150" si="139">+U149/U129</f>
        <v>6.5398473262200732E-3</v>
      </c>
      <c r="V150" s="155">
        <f t="shared" si="139"/>
        <v>-2.9007975300596112E-2</v>
      </c>
      <c r="W150" s="155">
        <f t="shared" si="139"/>
        <v>7.6791078193281861E-2</v>
      </c>
      <c r="X150" s="155">
        <f t="shared" si="139"/>
        <v>2.4183894920895451E-2</v>
      </c>
      <c r="Y150" s="155">
        <f t="shared" si="139"/>
        <v>-2.0202138191035428E-2</v>
      </c>
      <c r="Z150" s="155">
        <f t="shared" si="139"/>
        <v>0.11744516218576324</v>
      </c>
      <c r="AA150" s="155">
        <f t="shared" si="139"/>
        <v>-0.10382945586655305</v>
      </c>
      <c r="AB150" s="155">
        <f t="shared" si="139"/>
        <v>0.11215230030815423</v>
      </c>
      <c r="AC150" s="155">
        <f t="shared" si="139"/>
        <v>8.9130564000300144E-2</v>
      </c>
      <c r="AD150" s="155">
        <f t="shared" ca="1" si="139"/>
        <v>5.9267156618921471E-2</v>
      </c>
      <c r="AE150" s="155">
        <f t="shared" ca="1" si="139"/>
        <v>6.7851097213623493E-2</v>
      </c>
      <c r="AF150" s="155">
        <f t="shared" ca="1" si="139"/>
        <v>8.2345727733336038E-2</v>
      </c>
      <c r="AG150" s="155">
        <f t="shared" ca="1" si="139"/>
        <v>8.5327310935081849E-2</v>
      </c>
      <c r="AH150" s="155">
        <f t="shared" ca="1" si="139"/>
        <v>0.10132146890005533</v>
      </c>
      <c r="AI150" s="155">
        <f t="shared" ca="1" si="139"/>
        <v>0.10358569993955921</v>
      </c>
      <c r="AJ150" s="155">
        <f t="shared" ca="1" si="139"/>
        <v>0.12481596190564337</v>
      </c>
      <c r="AK150" s="155">
        <f t="shared" ca="1" si="139"/>
        <v>0.12780227166804192</v>
      </c>
      <c r="AL150" s="155">
        <f t="shared" ca="1" si="139"/>
        <v>0.14812648268767434</v>
      </c>
      <c r="AM150" s="7"/>
    </row>
    <row r="151" spans="1:39" outlineLevel="1">
      <c r="A151" s="96"/>
      <c r="G151" s="68"/>
      <c r="H151" s="160"/>
      <c r="I151" s="68"/>
      <c r="J151" s="68"/>
      <c r="K151" s="160">
        <v>-1.4419999999999999</v>
      </c>
      <c r="L151" s="160">
        <v>-15.657</v>
      </c>
      <c r="M151" s="160">
        <v>-13.912000000000001</v>
      </c>
      <c r="N151" s="160">
        <v>-12.27</v>
      </c>
      <c r="O151" s="160">
        <v>-9.69</v>
      </c>
      <c r="P151" s="160">
        <v>-2.867</v>
      </c>
      <c r="Q151" s="160">
        <v>-17.786000000000001</v>
      </c>
      <c r="R151" s="160">
        <v>-8.5739999999999998</v>
      </c>
      <c r="S151" s="160">
        <v>-14.276</v>
      </c>
      <c r="T151" s="160">
        <v>3.9870000000000001</v>
      </c>
      <c r="U151" s="160">
        <v>1.9730000000000001</v>
      </c>
      <c r="V151" s="160">
        <v>-8.8130000000000006</v>
      </c>
      <c r="W151" s="160">
        <v>23.494</v>
      </c>
      <c r="X151" s="160">
        <v>7.4550000000000001</v>
      </c>
      <c r="Y151" s="160">
        <v>-6.9180000000000001</v>
      </c>
      <c r="Z151" s="160">
        <v>40.616999999999997</v>
      </c>
      <c r="AA151" s="160">
        <v>-35.466999999999999</v>
      </c>
      <c r="AB151" s="160">
        <v>38.250999999999998</v>
      </c>
      <c r="AC151" s="7"/>
      <c r="AD151" s="7"/>
      <c r="AE151" s="7"/>
      <c r="AF151" s="7"/>
      <c r="AG151" s="7"/>
      <c r="AH151" s="7"/>
      <c r="AI151" s="7"/>
      <c r="AJ151" s="7"/>
      <c r="AK151" s="7"/>
      <c r="AL151" s="7"/>
      <c r="AM151" s="7"/>
    </row>
    <row r="152" spans="1:39" outlineLevel="1">
      <c r="A152" s="96"/>
      <c r="G152" s="68"/>
      <c r="H152" s="160"/>
      <c r="I152" s="68"/>
      <c r="J152" s="68"/>
      <c r="K152" s="160" t="b">
        <f t="shared" ref="K152:AB152" si="140">ABS(K151-K149)&lt;0.001</f>
        <v>1</v>
      </c>
      <c r="L152" s="160" t="b">
        <f t="shared" si="140"/>
        <v>1</v>
      </c>
      <c r="M152" s="160" t="b">
        <f t="shared" si="140"/>
        <v>1</v>
      </c>
      <c r="N152" s="160" t="b">
        <f t="shared" si="140"/>
        <v>1</v>
      </c>
      <c r="O152" s="160" t="b">
        <f t="shared" si="140"/>
        <v>1</v>
      </c>
      <c r="P152" s="160" t="b">
        <f t="shared" si="140"/>
        <v>1</v>
      </c>
      <c r="Q152" s="160" t="b">
        <f t="shared" si="140"/>
        <v>1</v>
      </c>
      <c r="R152" s="160" t="b">
        <f t="shared" si="140"/>
        <v>1</v>
      </c>
      <c r="S152" s="160" t="b">
        <f t="shared" si="140"/>
        <v>1</v>
      </c>
      <c r="T152" s="160" t="b">
        <f t="shared" si="140"/>
        <v>1</v>
      </c>
      <c r="U152" s="160" t="b">
        <f t="shared" si="140"/>
        <v>1</v>
      </c>
      <c r="V152" s="160" t="b">
        <f t="shared" si="140"/>
        <v>1</v>
      </c>
      <c r="W152" s="160" t="b">
        <f t="shared" si="140"/>
        <v>1</v>
      </c>
      <c r="X152" s="160" t="b">
        <f t="shared" si="140"/>
        <v>1</v>
      </c>
      <c r="Y152" s="160" t="b">
        <f t="shared" si="140"/>
        <v>1</v>
      </c>
      <c r="Z152" s="160" t="b">
        <f t="shared" si="140"/>
        <v>1</v>
      </c>
      <c r="AA152" s="160" t="b">
        <f t="shared" si="140"/>
        <v>1</v>
      </c>
      <c r="AB152" s="160" t="b">
        <f t="shared" si="140"/>
        <v>1</v>
      </c>
      <c r="AC152" s="7"/>
      <c r="AD152" s="7"/>
      <c r="AE152" s="7"/>
      <c r="AF152" s="7"/>
      <c r="AG152" s="7"/>
      <c r="AH152" s="7"/>
      <c r="AI152" s="7"/>
      <c r="AJ152" s="7"/>
      <c r="AK152" s="7"/>
      <c r="AL152" s="7"/>
      <c r="AM152" s="7"/>
    </row>
    <row r="153" spans="1:39" outlineLevel="1">
      <c r="A153" s="96"/>
      <c r="G153" s="68"/>
      <c r="H153" s="160"/>
      <c r="I153" s="68"/>
      <c r="J153" s="68"/>
      <c r="K153" s="68"/>
      <c r="L153" s="160"/>
      <c r="M153" s="68"/>
      <c r="N153" s="160"/>
      <c r="O153" s="160"/>
      <c r="P153" s="68"/>
      <c r="Q153" s="68"/>
      <c r="R153" s="160"/>
      <c r="S153" s="160"/>
      <c r="T153" s="68"/>
      <c r="U153" s="45"/>
      <c r="V153" s="7"/>
      <c r="W153" s="7"/>
      <c r="X153" s="7"/>
      <c r="Y153" s="7"/>
      <c r="Z153" s="7"/>
      <c r="AA153" s="160"/>
      <c r="AB153" s="7"/>
      <c r="AC153" s="7"/>
      <c r="AD153" s="7"/>
      <c r="AE153" s="7"/>
      <c r="AF153" s="7"/>
      <c r="AG153" s="7"/>
      <c r="AH153" s="7"/>
      <c r="AI153" s="7"/>
      <c r="AJ153" s="7"/>
      <c r="AK153" s="7"/>
      <c r="AL153" s="7"/>
      <c r="AM153" s="7"/>
    </row>
    <row r="154" spans="1:39" outlineLevel="1">
      <c r="A154" s="96" t="s">
        <v>410</v>
      </c>
      <c r="D154" s="59" t="s">
        <v>126</v>
      </c>
      <c r="G154" s="177"/>
      <c r="H154" s="177"/>
      <c r="I154" s="177"/>
      <c r="J154" s="177"/>
      <c r="K154" s="177">
        <v>-3.8220000000000001</v>
      </c>
      <c r="L154" s="177">
        <v>-2.4849999999999999</v>
      </c>
      <c r="M154" s="177">
        <v>-6.2</v>
      </c>
      <c r="N154" s="177">
        <v>-12.959</v>
      </c>
      <c r="O154" s="177">
        <v>-9.0359999999999996</v>
      </c>
      <c r="P154" s="177">
        <v>-9.9540000000000006</v>
      </c>
      <c r="Q154" s="177">
        <v>-11.991</v>
      </c>
      <c r="R154" s="177">
        <v>-12.308</v>
      </c>
      <c r="S154" s="177">
        <v>-11.404999999999999</v>
      </c>
      <c r="T154" s="177">
        <v>-19.2</v>
      </c>
      <c r="U154" s="177">
        <v>-15.356999999999999</v>
      </c>
      <c r="V154" s="177">
        <v>-10.413</v>
      </c>
      <c r="W154" s="177">
        <v>-22.268000000000001</v>
      </c>
      <c r="X154" s="177">
        <v>-13.571999999999999</v>
      </c>
      <c r="Y154" s="177">
        <v>-28.812000000000001</v>
      </c>
      <c r="Z154" s="177">
        <v>-28.334</v>
      </c>
      <c r="AA154" s="177">
        <v>-24.481000000000002</v>
      </c>
      <c r="AB154" s="177">
        <v>-37.084000000000003</v>
      </c>
      <c r="AC154" s="63">
        <f t="shared" ref="AC154:AL154" si="141">-AC268-AC294-AC155</f>
        <v>-33.651456000000003</v>
      </c>
      <c r="AD154" s="63">
        <f t="shared" si="141"/>
        <v>-35.792318343599995</v>
      </c>
      <c r="AE154" s="63">
        <f t="shared" si="141"/>
        <v>-38.02388707107356</v>
      </c>
      <c r="AF154" s="63">
        <f t="shared" si="141"/>
        <v>-40.347499649991526</v>
      </c>
      <c r="AG154" s="63">
        <f t="shared" si="141"/>
        <v>-42.764352421405619</v>
      </c>
      <c r="AH154" s="63">
        <f t="shared" si="141"/>
        <v>-45.275489478931362</v>
      </c>
      <c r="AI154" s="63">
        <f t="shared" si="141"/>
        <v>-47.881791518396575</v>
      </c>
      <c r="AJ154" s="63">
        <f t="shared" si="141"/>
        <v>-50.583964706569397</v>
      </c>
      <c r="AK154" s="63">
        <f t="shared" si="141"/>
        <v>-53.382529620098509</v>
      </c>
      <c r="AL154" s="63">
        <f t="shared" si="141"/>
        <v>-56.277810308257237</v>
      </c>
      <c r="AM154" s="7"/>
    </row>
    <row r="155" spans="1:39" outlineLevel="1">
      <c r="A155" s="96" t="s">
        <v>411</v>
      </c>
      <c r="D155" s="59" t="s">
        <v>334</v>
      </c>
      <c r="G155" s="177"/>
      <c r="H155" s="177"/>
      <c r="I155" s="177"/>
      <c r="J155" s="177"/>
      <c r="K155" s="177">
        <v>-1.859</v>
      </c>
      <c r="L155" s="177">
        <v>-1.7569999999999999</v>
      </c>
      <c r="M155" s="177">
        <v>-2.0289999999999999</v>
      </c>
      <c r="N155" s="177">
        <v>-3.7280000000000002</v>
      </c>
      <c r="O155" s="177">
        <v>-3.3969999999999998</v>
      </c>
      <c r="P155" s="177">
        <v>-4.0739999999999998</v>
      </c>
      <c r="Q155" s="177">
        <v>-3.8610000000000002</v>
      </c>
      <c r="R155" s="177">
        <v>-2.6579999999999999</v>
      </c>
      <c r="S155" s="177">
        <v>-4.9219999999999997</v>
      </c>
      <c r="T155" s="177">
        <v>-4.9409999999999998</v>
      </c>
      <c r="U155" s="177">
        <v>-4.47</v>
      </c>
      <c r="V155" s="177">
        <v>-4.2539999999999996</v>
      </c>
      <c r="W155" s="177">
        <v>-3.4449999999999998</v>
      </c>
      <c r="X155" s="177">
        <v>-3.6579999999999999</v>
      </c>
      <c r="Y155" s="177">
        <v>-4.0019999999999998</v>
      </c>
      <c r="Z155" s="177">
        <v>-3.6469999999999998</v>
      </c>
      <c r="AA155" s="177">
        <v>-4.4530000000000003</v>
      </c>
      <c r="AB155" s="177">
        <v>-5.5810000000000004</v>
      </c>
      <c r="AC155" s="63">
        <f t="shared" ref="AC155:AL155" si="142">(-AC268)*AC275</f>
        <v>-5.4781440000000012</v>
      </c>
      <c r="AD155" s="63">
        <f t="shared" si="142"/>
        <v>-5.4906324563999993</v>
      </c>
      <c r="AE155" s="63">
        <f t="shared" si="142"/>
        <v>-5.4991336707264278</v>
      </c>
      <c r="AF155" s="63">
        <f t="shared" si="142"/>
        <v>-5.503625135857412</v>
      </c>
      <c r="AG155" s="63">
        <f t="shared" si="142"/>
        <v>-5.5040930748249837</v>
      </c>
      <c r="AH155" s="63">
        <f t="shared" si="142"/>
        <v>-5.5005325050612113</v>
      </c>
      <c r="AI155" s="63">
        <f t="shared" si="142"/>
        <v>-5.4929472707367326</v>
      </c>
      <c r="AJ155" s="63">
        <f t="shared" si="142"/>
        <v>-5.4813500429560031</v>
      </c>
      <c r="AK155" s="63">
        <f t="shared" si="142"/>
        <v>-5.4657622877369132</v>
      </c>
      <c r="AL155" s="63">
        <f t="shared" si="142"/>
        <v>-5.4462142018666002</v>
      </c>
      <c r="AM155" s="7"/>
    </row>
    <row r="156" spans="1:39" outlineLevel="1">
      <c r="A156" s="96" t="s">
        <v>412</v>
      </c>
      <c r="D156" s="59" t="s">
        <v>221</v>
      </c>
      <c r="G156" s="177"/>
      <c r="H156" s="177"/>
      <c r="I156" s="177"/>
      <c r="J156" s="177"/>
      <c r="K156" s="177">
        <v>0</v>
      </c>
      <c r="L156" s="177">
        <v>0</v>
      </c>
      <c r="M156" s="177">
        <v>0</v>
      </c>
      <c r="N156" s="177">
        <v>0</v>
      </c>
      <c r="O156" s="177">
        <v>0</v>
      </c>
      <c r="P156" s="177">
        <v>0</v>
      </c>
      <c r="Q156" s="177">
        <v>0</v>
      </c>
      <c r="R156" s="177">
        <v>0</v>
      </c>
      <c r="S156" s="177">
        <v>-13.638999999999999</v>
      </c>
      <c r="T156" s="177">
        <v>-5.1999999999999998E-2</v>
      </c>
      <c r="U156" s="177">
        <v>0</v>
      </c>
      <c r="V156" s="177">
        <v>-0.25</v>
      </c>
      <c r="W156" s="177">
        <v>0</v>
      </c>
      <c r="X156" s="177">
        <v>0</v>
      </c>
      <c r="Y156" s="177">
        <v>0</v>
      </c>
      <c r="Z156" s="177">
        <v>-5.6050000000000004</v>
      </c>
      <c r="AA156" s="177">
        <v>-4.38</v>
      </c>
      <c r="AB156" s="177">
        <v>-82.561000000000007</v>
      </c>
      <c r="AC156" s="245">
        <v>0</v>
      </c>
      <c r="AD156" s="245">
        <v>0</v>
      </c>
      <c r="AE156" s="245">
        <v>0</v>
      </c>
      <c r="AF156" s="245">
        <v>0</v>
      </c>
      <c r="AG156" s="245">
        <v>0</v>
      </c>
      <c r="AH156" s="245">
        <v>0</v>
      </c>
      <c r="AI156" s="245">
        <v>0</v>
      </c>
      <c r="AJ156" s="245">
        <v>0</v>
      </c>
      <c r="AK156" s="245">
        <v>0</v>
      </c>
      <c r="AL156" s="245">
        <v>0</v>
      </c>
      <c r="AM156" s="7"/>
    </row>
    <row r="157" spans="1:39" outlineLevel="1">
      <c r="A157" s="96" t="s">
        <v>413</v>
      </c>
      <c r="D157" s="59" t="s">
        <v>363</v>
      </c>
      <c r="G157" s="177"/>
      <c r="H157" s="177"/>
      <c r="I157" s="177"/>
      <c r="J157" s="177"/>
      <c r="K157" s="177">
        <f>-4.167+17.215</f>
        <v>13.048</v>
      </c>
      <c r="L157" s="177">
        <f>-0.996+13.44</f>
        <v>12.443999999999999</v>
      </c>
      <c r="M157" s="177">
        <f>-81.952+12.3</f>
        <v>-69.652000000000001</v>
      </c>
      <c r="N157" s="177">
        <f>-58.154+16.294</f>
        <v>-41.86</v>
      </c>
      <c r="O157" s="177">
        <f>-14.856+1.978+40.498</f>
        <v>27.619999999999997</v>
      </c>
      <c r="P157" s="177">
        <f>-30.287+56.95</f>
        <v>26.663000000000004</v>
      </c>
      <c r="Q157" s="177">
        <f>-111.932+34.95</f>
        <v>-76.981999999999999</v>
      </c>
      <c r="R157" s="177">
        <f>-380.307+42.6</f>
        <v>-337.70699999999999</v>
      </c>
      <c r="S157" s="177">
        <f>-110.609+131.58</f>
        <v>20.971000000000018</v>
      </c>
      <c r="T157" s="177">
        <f>-468.828+192.252</f>
        <v>-276.57599999999996</v>
      </c>
      <c r="U157" s="177">
        <f>-376.71+191.212</f>
        <v>-185.49799999999999</v>
      </c>
      <c r="V157" s="177">
        <f>-310.868+325.204</f>
        <v>14.336000000000013</v>
      </c>
      <c r="W157" s="177">
        <f>-188.377+261.822</f>
        <v>73.444999999999993</v>
      </c>
      <c r="X157" s="177">
        <f>-192.828+252.522</f>
        <v>59.693999999999988</v>
      </c>
      <c r="Y157" s="177">
        <f>-679.678+15.756+251.96</f>
        <v>-411.96199999999999</v>
      </c>
      <c r="Z157" s="177">
        <f>-528.382+9.958+201.215</f>
        <v>-317.20899999999995</v>
      </c>
      <c r="AA157" s="177">
        <f>-264.541+187.048</f>
        <v>-77.492999999999995</v>
      </c>
      <c r="AB157" s="177">
        <f>-157.833+226.988</f>
        <v>69.155000000000001</v>
      </c>
      <c r="AC157" s="63">
        <f t="shared" ref="AC157:AL157" si="143">-(AC175-AB175)</f>
        <v>0</v>
      </c>
      <c r="AD157" s="63">
        <f t="shared" si="143"/>
        <v>0</v>
      </c>
      <c r="AE157" s="63">
        <f t="shared" si="143"/>
        <v>0</v>
      </c>
      <c r="AF157" s="63">
        <f t="shared" si="143"/>
        <v>0</v>
      </c>
      <c r="AG157" s="63">
        <f t="shared" si="143"/>
        <v>0</v>
      </c>
      <c r="AH157" s="63">
        <f t="shared" si="143"/>
        <v>0</v>
      </c>
      <c r="AI157" s="63">
        <f t="shared" si="143"/>
        <v>0</v>
      </c>
      <c r="AJ157" s="63">
        <f t="shared" si="143"/>
        <v>0</v>
      </c>
      <c r="AK157" s="63">
        <f t="shared" si="143"/>
        <v>0</v>
      </c>
      <c r="AL157" s="63">
        <f t="shared" si="143"/>
        <v>0</v>
      </c>
      <c r="AM157" s="7"/>
    </row>
    <row r="158" spans="1:39" outlineLevel="1">
      <c r="A158" s="96" t="s">
        <v>442</v>
      </c>
      <c r="D158" s="59" t="s">
        <v>123</v>
      </c>
      <c r="G158" s="177"/>
      <c r="H158" s="177"/>
      <c r="I158" s="177"/>
      <c r="J158" s="177"/>
      <c r="K158" s="177">
        <v>2.9000000000000001E-2</v>
      </c>
      <c r="L158" s="177">
        <v>6.0000000000000001E-3</v>
      </c>
      <c r="M158" s="177">
        <v>7.0000000000000001E-3</v>
      </c>
      <c r="N158" s="177">
        <v>2.1999999999999999E-2</v>
      </c>
      <c r="O158" s="177">
        <v>2.1999999999999999E-2</v>
      </c>
      <c r="P158" s="177">
        <v>3.0000000000000001E-3</v>
      </c>
      <c r="Q158" s="177">
        <v>5.0000000000000001E-3</v>
      </c>
      <c r="R158" s="177">
        <v>1.4E-2</v>
      </c>
      <c r="S158" s="177">
        <v>0.223</v>
      </c>
      <c r="T158" s="177">
        <v>0</v>
      </c>
      <c r="U158" s="177">
        <v>0.17199999999999999</v>
      </c>
      <c r="V158" s="177">
        <v>2E-3</v>
      </c>
      <c r="W158" s="177">
        <v>4.3999999999999997E-2</v>
      </c>
      <c r="X158" s="177">
        <v>6.0000000000000001E-3</v>
      </c>
      <c r="Y158" s="177">
        <v>3.0000000000000001E-3</v>
      </c>
      <c r="Z158" s="177">
        <v>0</v>
      </c>
      <c r="AA158" s="177">
        <v>2E-3</v>
      </c>
      <c r="AB158" s="177">
        <v>2.3E-2</v>
      </c>
      <c r="AC158" s="68">
        <v>0</v>
      </c>
      <c r="AD158" s="68">
        <v>0</v>
      </c>
      <c r="AE158" s="68">
        <v>0</v>
      </c>
      <c r="AF158" s="68">
        <v>0</v>
      </c>
      <c r="AG158" s="68">
        <v>0</v>
      </c>
      <c r="AH158" s="68">
        <v>0</v>
      </c>
      <c r="AI158" s="68">
        <v>0</v>
      </c>
      <c r="AJ158" s="68">
        <v>0</v>
      </c>
      <c r="AK158" s="68">
        <v>0</v>
      </c>
      <c r="AL158" s="68">
        <v>0</v>
      </c>
      <c r="AM158" s="7"/>
    </row>
    <row r="159" spans="1:39" s="3" customFormat="1" outlineLevel="1">
      <c r="A159" s="96"/>
      <c r="D159" s="193" t="s">
        <v>128</v>
      </c>
      <c r="E159" s="193"/>
      <c r="F159" s="193"/>
      <c r="G159" s="211"/>
      <c r="H159" s="211"/>
      <c r="I159" s="211"/>
      <c r="J159" s="211"/>
      <c r="K159" s="211">
        <f t="shared" ref="K159:AL159" si="144">SUM(K154:K158)</f>
        <v>7.3959999999999999</v>
      </c>
      <c r="L159" s="211">
        <f t="shared" si="144"/>
        <v>8.2079999999999984</v>
      </c>
      <c r="M159" s="211">
        <f t="shared" si="144"/>
        <v>-77.873999999999995</v>
      </c>
      <c r="N159" s="211">
        <f t="shared" si="144"/>
        <v>-58.524999999999999</v>
      </c>
      <c r="O159" s="211">
        <f t="shared" si="144"/>
        <v>15.208999999999998</v>
      </c>
      <c r="P159" s="211">
        <f t="shared" si="144"/>
        <v>12.638000000000003</v>
      </c>
      <c r="Q159" s="211">
        <f t="shared" si="144"/>
        <v>-92.829000000000008</v>
      </c>
      <c r="R159" s="211">
        <f t="shared" si="144"/>
        <v>-352.65899999999999</v>
      </c>
      <c r="S159" s="211">
        <f t="shared" si="144"/>
        <v>-8.7719999999999789</v>
      </c>
      <c r="T159" s="211">
        <f t="shared" si="144"/>
        <v>-300.76899999999995</v>
      </c>
      <c r="U159" s="211">
        <f t="shared" si="144"/>
        <v>-205.15299999999999</v>
      </c>
      <c r="V159" s="211">
        <f t="shared" si="144"/>
        <v>-0.57899999999998708</v>
      </c>
      <c r="W159" s="211">
        <f t="shared" si="144"/>
        <v>47.775999999999989</v>
      </c>
      <c r="X159" s="211">
        <f t="shared" si="144"/>
        <v>42.469999999999985</v>
      </c>
      <c r="Y159" s="211">
        <f t="shared" si="144"/>
        <v>-444.77300000000002</v>
      </c>
      <c r="Z159" s="211">
        <f t="shared" si="144"/>
        <v>-354.79499999999996</v>
      </c>
      <c r="AA159" s="211">
        <f t="shared" si="144"/>
        <v>-110.80499999999999</v>
      </c>
      <c r="AB159" s="211">
        <f t="shared" si="144"/>
        <v>-56.048000000000009</v>
      </c>
      <c r="AC159" s="211">
        <f t="shared" si="144"/>
        <v>-39.129600000000003</v>
      </c>
      <c r="AD159" s="211">
        <f t="shared" si="144"/>
        <v>-41.282950799999995</v>
      </c>
      <c r="AE159" s="211">
        <f t="shared" si="144"/>
        <v>-43.523020741799989</v>
      </c>
      <c r="AF159" s="211">
        <f t="shared" si="144"/>
        <v>-45.851124785848938</v>
      </c>
      <c r="AG159" s="211">
        <f t="shared" si="144"/>
        <v>-48.268445496230605</v>
      </c>
      <c r="AH159" s="211">
        <f t="shared" si="144"/>
        <v>-50.776021983992571</v>
      </c>
      <c r="AI159" s="211">
        <f t="shared" si="144"/>
        <v>-53.37473878913331</v>
      </c>
      <c r="AJ159" s="211">
        <f t="shared" si="144"/>
        <v>-56.065314749525399</v>
      </c>
      <c r="AK159" s="211">
        <f t="shared" si="144"/>
        <v>-58.848291907835424</v>
      </c>
      <c r="AL159" s="211">
        <f t="shared" si="144"/>
        <v>-61.72402451012384</v>
      </c>
      <c r="AM159" s="53"/>
    </row>
    <row r="160" spans="1:39" outlineLevel="1">
      <c r="A160" s="96"/>
      <c r="G160" s="7"/>
      <c r="H160" s="7"/>
      <c r="I160" s="7"/>
      <c r="J160" s="7"/>
      <c r="K160" s="7"/>
      <c r="L160" s="7"/>
      <c r="M160" s="7"/>
      <c r="N160" s="7"/>
      <c r="O160" s="7"/>
      <c r="P160" s="7"/>
      <c r="Q160" s="7"/>
      <c r="R160" s="7"/>
      <c r="S160" s="7"/>
      <c r="T160" s="7"/>
      <c r="U160" s="7"/>
      <c r="V160" s="7"/>
      <c r="W160" s="7"/>
      <c r="X160" s="7"/>
      <c r="Y160" s="7"/>
      <c r="Z160" s="7"/>
      <c r="AA160" s="7"/>
      <c r="AB160" s="7"/>
      <c r="AC160" s="7"/>
      <c r="AD160" s="7"/>
      <c r="AE160" s="7"/>
      <c r="AF160" s="7"/>
      <c r="AG160" s="7"/>
      <c r="AH160" s="7"/>
      <c r="AI160" s="7"/>
      <c r="AJ160" s="7"/>
      <c r="AK160" s="7"/>
      <c r="AL160" s="7"/>
      <c r="AM160" s="7"/>
    </row>
    <row r="161" spans="1:39" outlineLevel="1">
      <c r="A161" s="96" t="s">
        <v>440</v>
      </c>
      <c r="D161" s="59" t="s">
        <v>129</v>
      </c>
      <c r="G161" s="177"/>
      <c r="H161" s="177"/>
      <c r="I161" s="177"/>
      <c r="J161" s="177"/>
      <c r="K161" s="177">
        <v>-8.7999999999999995E-2</v>
      </c>
      <c r="L161" s="177">
        <v>-8.7999999999999995E-2</v>
      </c>
      <c r="M161" s="177">
        <v>-0.09</v>
      </c>
      <c r="N161" s="177">
        <v>-0.09</v>
      </c>
      <c r="O161" s="177">
        <v>-0.09</v>
      </c>
      <c r="P161" s="177">
        <v>-9.1999999999999998E-2</v>
      </c>
      <c r="Q161" s="177">
        <v>-3.5999999999999997E-2</v>
      </c>
      <c r="R161" s="177">
        <v>-3.6999999999999998E-2</v>
      </c>
      <c r="S161" s="177">
        <v>-0.2</v>
      </c>
      <c r="T161" s="177">
        <f>575-67.333-12.52</f>
        <v>495.14700000000005</v>
      </c>
      <c r="U161" s="177">
        <v>-2.1999999999999999E-2</v>
      </c>
      <c r="V161" s="177">
        <v>0</v>
      </c>
      <c r="W161" s="177">
        <v>0</v>
      </c>
      <c r="X161" s="177">
        <v>0</v>
      </c>
      <c r="Y161" s="177">
        <f>1293.75-86.293-370.647-18.76</f>
        <v>818.05</v>
      </c>
      <c r="Z161" s="177">
        <v>-1.0369999999999999</v>
      </c>
      <c r="AA161" s="177">
        <v>-16.571000000000002</v>
      </c>
      <c r="AB161" s="177">
        <v>0</v>
      </c>
      <c r="AC161" s="7">
        <f t="shared" ref="AC161:AL161" si="145">AC228-AB228+AC247</f>
        <v>-8.8817841970012523E-14</v>
      </c>
      <c r="AD161" s="7">
        <f t="shared" si="145"/>
        <v>-8.1712414612411521E-14</v>
      </c>
      <c r="AE161" s="7">
        <f t="shared" si="145"/>
        <v>1.0302869668521453E-13</v>
      </c>
      <c r="AF161" s="7">
        <f t="shared" si="145"/>
        <v>3.3750779948604759E-14</v>
      </c>
      <c r="AG161" s="7">
        <f t="shared" si="145"/>
        <v>-1.9539925233402755E-14</v>
      </c>
      <c r="AH161" s="7">
        <f t="shared" si="145"/>
        <v>-9.4146912488213275E-14</v>
      </c>
      <c r="AI161" s="7">
        <f t="shared" si="145"/>
        <v>-3.730349362740526E-14</v>
      </c>
      <c r="AJ161" s="7">
        <f t="shared" si="145"/>
        <v>-4.0856207306205761E-14</v>
      </c>
      <c r="AK161" s="7">
        <f t="shared" si="145"/>
        <v>6.0396132539608516E-14</v>
      </c>
      <c r="AL161" s="7">
        <f t="shared" si="145"/>
        <v>-9.7699626167013776E-14</v>
      </c>
      <c r="AM161" s="7"/>
    </row>
    <row r="162" spans="1:39" outlineLevel="1">
      <c r="A162" s="96" t="s">
        <v>439</v>
      </c>
      <c r="D162" s="59" t="s">
        <v>201</v>
      </c>
      <c r="G162" s="177"/>
      <c r="H162" s="177"/>
      <c r="I162" s="177"/>
      <c r="J162" s="177"/>
      <c r="K162" s="177">
        <f>0.354+1.123-0.032</f>
        <v>1.4449999999999998</v>
      </c>
      <c r="L162" s="177">
        <f>0.242+1.585-0.012</f>
        <v>1.8149999999999999</v>
      </c>
      <c r="M162" s="177">
        <f>3.721+11.817-0.004</f>
        <v>15.534000000000001</v>
      </c>
      <c r="N162" s="177">
        <f>0.095-0.017</f>
        <v>7.8E-2</v>
      </c>
      <c r="O162" s="177">
        <f>0.681+1.638-0.004</f>
        <v>2.3149999999999999</v>
      </c>
      <c r="P162" s="177">
        <f>0.386+0.536-0.084</f>
        <v>0.83800000000000008</v>
      </c>
      <c r="Q162" s="177">
        <f>570.544+1.832+0.697-0.067</f>
        <v>573.00599999999997</v>
      </c>
      <c r="R162" s="177">
        <f>0.159+0.038-0.128</f>
        <v>6.9000000000000006E-2</v>
      </c>
      <c r="S162" s="177">
        <f>2.675+0.032-0.07</f>
        <v>2.637</v>
      </c>
      <c r="T162" s="177">
        <f>1.66+0.048-0.031+5.447</f>
        <v>7.1240000000000006</v>
      </c>
      <c r="U162" s="177">
        <f>1.389+0.1-0.012</f>
        <v>1.4770000000000001</v>
      </c>
      <c r="V162" s="177">
        <f>1.733+0.061-0.044+5.476</f>
        <v>7.226</v>
      </c>
      <c r="W162" s="177">
        <f>7.964+0.095-0.15</f>
        <v>7.9090000000000007</v>
      </c>
      <c r="X162" s="177">
        <f>3.555-0.019+7.174</f>
        <v>10.71</v>
      </c>
      <c r="Y162" s="177">
        <f>5.283-0.019</f>
        <v>5.2640000000000002</v>
      </c>
      <c r="Z162" s="177">
        <f>4.583+0.02-0.001+7.81</f>
        <v>12.411999999999999</v>
      </c>
      <c r="AA162" s="177">
        <f>3.006+0.062-0.003</f>
        <v>3.0649999999999995</v>
      </c>
      <c r="AB162" s="177">
        <f>2.971+8.688</f>
        <v>11.659000000000001</v>
      </c>
      <c r="AC162" s="68">
        <v>0</v>
      </c>
      <c r="AD162" s="68">
        <v>0</v>
      </c>
      <c r="AE162" s="68">
        <v>0</v>
      </c>
      <c r="AF162" s="68">
        <v>0</v>
      </c>
      <c r="AG162" s="68">
        <v>0</v>
      </c>
      <c r="AH162" s="68">
        <v>0</v>
      </c>
      <c r="AI162" s="68">
        <v>0</v>
      </c>
      <c r="AJ162" s="68">
        <v>0</v>
      </c>
      <c r="AK162" s="68">
        <v>0</v>
      </c>
      <c r="AL162" s="68">
        <v>0</v>
      </c>
      <c r="AM162" s="68"/>
    </row>
    <row r="163" spans="1:39" outlineLevel="1">
      <c r="A163" s="96" t="s">
        <v>438</v>
      </c>
      <c r="D163" s="59" t="s">
        <v>130</v>
      </c>
      <c r="G163" s="177"/>
      <c r="H163" s="177"/>
      <c r="I163" s="177"/>
      <c r="J163" s="177"/>
      <c r="K163" s="177">
        <v>0</v>
      </c>
      <c r="L163" s="177">
        <v>0</v>
      </c>
      <c r="M163" s="177">
        <v>0</v>
      </c>
      <c r="N163" s="177">
        <v>0</v>
      </c>
      <c r="O163" s="177">
        <v>0</v>
      </c>
      <c r="P163" s="177">
        <v>0</v>
      </c>
      <c r="Q163" s="177">
        <v>0</v>
      </c>
      <c r="R163" s="177">
        <v>0</v>
      </c>
      <c r="S163" s="177">
        <v>0</v>
      </c>
      <c r="T163" s="177">
        <v>0</v>
      </c>
      <c r="U163" s="177">
        <v>0</v>
      </c>
      <c r="V163" s="177">
        <v>0</v>
      </c>
      <c r="W163" s="177">
        <v>0</v>
      </c>
      <c r="X163" s="177">
        <v>0</v>
      </c>
      <c r="Y163" s="177">
        <v>0</v>
      </c>
      <c r="Z163" s="177">
        <v>0</v>
      </c>
      <c r="AA163" s="177">
        <v>0</v>
      </c>
      <c r="AB163" s="177">
        <f t="shared" ref="AB163:AL163" si="146">AA163</f>
        <v>0</v>
      </c>
      <c r="AC163" s="68">
        <f t="shared" si="146"/>
        <v>0</v>
      </c>
      <c r="AD163" s="68">
        <f t="shared" si="146"/>
        <v>0</v>
      </c>
      <c r="AE163" s="68">
        <f t="shared" si="146"/>
        <v>0</v>
      </c>
      <c r="AF163" s="68">
        <f t="shared" si="146"/>
        <v>0</v>
      </c>
      <c r="AG163" s="68">
        <f t="shared" si="146"/>
        <v>0</v>
      </c>
      <c r="AH163" s="68">
        <f t="shared" si="146"/>
        <v>0</v>
      </c>
      <c r="AI163" s="68">
        <f t="shared" si="146"/>
        <v>0</v>
      </c>
      <c r="AJ163" s="68">
        <f t="shared" si="146"/>
        <v>0</v>
      </c>
      <c r="AK163" s="68">
        <f t="shared" si="146"/>
        <v>0</v>
      </c>
      <c r="AL163" s="68">
        <f t="shared" si="146"/>
        <v>0</v>
      </c>
      <c r="AM163" s="7"/>
    </row>
    <row r="164" spans="1:39" outlineLevel="1">
      <c r="A164" s="96" t="s">
        <v>443</v>
      </c>
      <c r="D164" s="59" t="s">
        <v>123</v>
      </c>
      <c r="G164" s="177"/>
      <c r="H164" s="177"/>
      <c r="I164" s="177"/>
      <c r="J164" s="177"/>
      <c r="K164" s="177">
        <v>3.9E-2</v>
      </c>
      <c r="L164" s="177">
        <v>0.04</v>
      </c>
      <c r="M164" s="177">
        <f>149.975+0.028</f>
        <v>150.00299999999999</v>
      </c>
      <c r="N164" s="177">
        <v>2.3E-2</v>
      </c>
      <c r="O164" s="177">
        <v>2.3E-2</v>
      </c>
      <c r="P164" s="177">
        <f>0.024-0.969</f>
        <v>-0.94499999999999995</v>
      </c>
      <c r="Q164" s="177">
        <f>0.011-2.765</f>
        <v>-2.754</v>
      </c>
      <c r="R164" s="177">
        <f>0.005-1.534</f>
        <v>-1.5290000000000001</v>
      </c>
      <c r="S164" s="177">
        <v>-7.1150000000000002</v>
      </c>
      <c r="T164" s="177">
        <f>-0.193-0.376</f>
        <v>-0.56899999999999995</v>
      </c>
      <c r="U164" s="177">
        <v>-0.29899999999999999</v>
      </c>
      <c r="V164" s="177">
        <v>-0.49399999999999999</v>
      </c>
      <c r="W164" s="177">
        <v>-0.53</v>
      </c>
      <c r="X164" s="177">
        <v>-0.56000000000000005</v>
      </c>
      <c r="Y164" s="177">
        <f>-0.943-2.188</f>
        <v>-3.1310000000000002</v>
      </c>
      <c r="Z164" s="177">
        <v>-1.601</v>
      </c>
      <c r="AA164" s="177">
        <v>-0.748</v>
      </c>
      <c r="AB164" s="177">
        <v>-0.51600000000000001</v>
      </c>
      <c r="AC164" s="68">
        <v>0</v>
      </c>
      <c r="AD164" s="68">
        <v>0</v>
      </c>
      <c r="AE164" s="68">
        <v>0</v>
      </c>
      <c r="AF164" s="68">
        <v>0</v>
      </c>
      <c r="AG164" s="68">
        <v>0</v>
      </c>
      <c r="AH164" s="68">
        <v>0</v>
      </c>
      <c r="AI164" s="68">
        <v>0</v>
      </c>
      <c r="AJ164" s="68">
        <v>0</v>
      </c>
      <c r="AK164" s="68">
        <v>0</v>
      </c>
      <c r="AL164" s="68">
        <v>0</v>
      </c>
      <c r="AM164" s="7"/>
    </row>
    <row r="165" spans="1:39" s="3" customFormat="1" outlineLevel="1">
      <c r="A165" s="96"/>
      <c r="D165" s="193" t="s">
        <v>131</v>
      </c>
      <c r="E165" s="193"/>
      <c r="F165" s="193"/>
      <c r="G165" s="211"/>
      <c r="H165" s="211"/>
      <c r="I165" s="211"/>
      <c r="J165" s="211"/>
      <c r="K165" s="211">
        <f t="shared" ref="K165:AL165" si="147">SUM(K161:K164)</f>
        <v>1.3959999999999997</v>
      </c>
      <c r="L165" s="211">
        <f t="shared" si="147"/>
        <v>1.7669999999999999</v>
      </c>
      <c r="M165" s="211">
        <f t="shared" si="147"/>
        <v>165.44699999999997</v>
      </c>
      <c r="N165" s="211">
        <f t="shared" si="147"/>
        <v>1.1000000000000003E-2</v>
      </c>
      <c r="O165" s="211">
        <f t="shared" si="147"/>
        <v>2.2480000000000002</v>
      </c>
      <c r="P165" s="211">
        <f t="shared" si="147"/>
        <v>-0.19899999999999984</v>
      </c>
      <c r="Q165" s="211">
        <f t="shared" si="147"/>
        <v>570.21600000000001</v>
      </c>
      <c r="R165" s="211">
        <f t="shared" si="147"/>
        <v>-1.4970000000000001</v>
      </c>
      <c r="S165" s="211">
        <f t="shared" si="147"/>
        <v>-4.6780000000000008</v>
      </c>
      <c r="T165" s="211">
        <f t="shared" si="147"/>
        <v>501.70200000000006</v>
      </c>
      <c r="U165" s="211">
        <f t="shared" si="147"/>
        <v>1.1560000000000001</v>
      </c>
      <c r="V165" s="211">
        <f t="shared" si="147"/>
        <v>6.7320000000000002</v>
      </c>
      <c r="W165" s="211">
        <f t="shared" si="147"/>
        <v>7.3790000000000004</v>
      </c>
      <c r="X165" s="211">
        <f t="shared" si="147"/>
        <v>10.15</v>
      </c>
      <c r="Y165" s="211">
        <f t="shared" si="147"/>
        <v>820.18299999999999</v>
      </c>
      <c r="Z165" s="211">
        <f t="shared" si="147"/>
        <v>9.7740000000000009</v>
      </c>
      <c r="AA165" s="211">
        <f t="shared" si="147"/>
        <v>-14.254000000000001</v>
      </c>
      <c r="AB165" s="211">
        <f t="shared" si="147"/>
        <v>11.143000000000001</v>
      </c>
      <c r="AC165" s="211">
        <f t="shared" si="147"/>
        <v>-8.8817841970012523E-14</v>
      </c>
      <c r="AD165" s="211">
        <f t="shared" si="147"/>
        <v>-8.1712414612411521E-14</v>
      </c>
      <c r="AE165" s="211">
        <f t="shared" si="147"/>
        <v>1.0302869668521453E-13</v>
      </c>
      <c r="AF165" s="211">
        <f t="shared" si="147"/>
        <v>3.3750779948604759E-14</v>
      </c>
      <c r="AG165" s="211">
        <f t="shared" si="147"/>
        <v>-1.9539925233402755E-14</v>
      </c>
      <c r="AH165" s="211">
        <f t="shared" si="147"/>
        <v>-9.4146912488213275E-14</v>
      </c>
      <c r="AI165" s="211">
        <f t="shared" si="147"/>
        <v>-3.730349362740526E-14</v>
      </c>
      <c r="AJ165" s="211">
        <f t="shared" si="147"/>
        <v>-4.0856207306205761E-14</v>
      </c>
      <c r="AK165" s="211">
        <f t="shared" si="147"/>
        <v>6.0396132539608516E-14</v>
      </c>
      <c r="AL165" s="211">
        <f t="shared" si="147"/>
        <v>-9.7699626167013776E-14</v>
      </c>
      <c r="AM165" s="53"/>
    </row>
    <row r="166" spans="1:39" outlineLevel="1">
      <c r="A166" s="96"/>
      <c r="G166" s="45"/>
      <c r="H166" s="45"/>
      <c r="I166" s="45"/>
      <c r="J166" s="45"/>
      <c r="K166" s="45"/>
      <c r="L166" s="45"/>
      <c r="M166" s="45"/>
      <c r="N166" s="45"/>
      <c r="O166" s="45"/>
      <c r="P166" s="45"/>
      <c r="Q166" s="45"/>
      <c r="R166" s="45"/>
      <c r="S166" s="45"/>
      <c r="T166" s="7"/>
      <c r="U166" s="45"/>
      <c r="V166" s="7"/>
      <c r="W166" s="7"/>
      <c r="X166" s="7"/>
      <c r="Y166" s="7"/>
      <c r="Z166" s="7"/>
      <c r="AA166" s="7"/>
      <c r="AB166" s="7"/>
      <c r="AC166" s="7"/>
      <c r="AD166" s="7"/>
      <c r="AE166" s="7"/>
      <c r="AF166" s="7"/>
      <c r="AG166" s="7"/>
      <c r="AH166" s="7"/>
      <c r="AI166" s="7"/>
      <c r="AJ166" s="7"/>
      <c r="AK166" s="7"/>
      <c r="AL166" s="7"/>
      <c r="AM166" s="7"/>
    </row>
    <row r="167" spans="1:39" outlineLevel="1">
      <c r="A167" s="96" t="s">
        <v>132</v>
      </c>
      <c r="D167" s="59" t="s">
        <v>132</v>
      </c>
      <c r="G167" s="177"/>
      <c r="H167" s="177"/>
      <c r="I167" s="177"/>
      <c r="J167" s="177"/>
      <c r="K167" s="177">
        <v>0</v>
      </c>
      <c r="L167" s="177">
        <v>0</v>
      </c>
      <c r="M167" s="177">
        <v>0</v>
      </c>
      <c r="N167" s="177">
        <v>0</v>
      </c>
      <c r="O167" s="177">
        <v>0</v>
      </c>
      <c r="P167" s="177">
        <v>0</v>
      </c>
      <c r="Q167" s="177">
        <v>0</v>
      </c>
      <c r="R167" s="177">
        <v>0</v>
      </c>
      <c r="S167" s="177">
        <v>0</v>
      </c>
      <c r="T167" s="177">
        <v>0</v>
      </c>
      <c r="U167" s="177">
        <v>0</v>
      </c>
      <c r="V167" s="177">
        <v>0</v>
      </c>
      <c r="W167" s="177">
        <v>0</v>
      </c>
      <c r="X167" s="177">
        <v>0</v>
      </c>
      <c r="Y167" s="177">
        <v>0</v>
      </c>
      <c r="Z167" s="177">
        <v>0</v>
      </c>
      <c r="AA167" s="177">
        <v>0</v>
      </c>
      <c r="AB167" s="177">
        <v>0</v>
      </c>
      <c r="AC167" s="68">
        <v>0</v>
      </c>
      <c r="AD167" s="68">
        <v>0</v>
      </c>
      <c r="AE167" s="68">
        <v>0</v>
      </c>
      <c r="AF167" s="68">
        <v>0</v>
      </c>
      <c r="AG167" s="68">
        <v>0</v>
      </c>
      <c r="AH167" s="68">
        <v>0</v>
      </c>
      <c r="AI167" s="68">
        <v>0</v>
      </c>
      <c r="AJ167" s="68">
        <v>0</v>
      </c>
      <c r="AK167" s="68">
        <v>0</v>
      </c>
      <c r="AL167" s="68">
        <v>0</v>
      </c>
      <c r="AM167" s="7"/>
    </row>
    <row r="168" spans="1:39" s="3" customFormat="1" outlineLevel="1">
      <c r="A168" s="96"/>
      <c r="D168" s="193" t="s">
        <v>133</v>
      </c>
      <c r="E168" s="193"/>
      <c r="F168" s="193"/>
      <c r="G168" s="211"/>
      <c r="H168" s="211"/>
      <c r="I168" s="211"/>
      <c r="J168" s="211"/>
      <c r="K168" s="211">
        <f t="shared" ref="K168:AL168" si="148">SUM(K167,K165,K159,K149)</f>
        <v>7.3499999999999979</v>
      </c>
      <c r="L168" s="211">
        <f t="shared" si="148"/>
        <v>-5.6820000000000022</v>
      </c>
      <c r="M168" s="211">
        <f t="shared" si="148"/>
        <v>73.660999999999987</v>
      </c>
      <c r="N168" s="211">
        <f t="shared" si="148"/>
        <v>-70.783999999999992</v>
      </c>
      <c r="O168" s="211">
        <f t="shared" si="148"/>
        <v>7.7669999999999941</v>
      </c>
      <c r="P168" s="212">
        <f t="shared" si="148"/>
        <v>9.5720000000000187</v>
      </c>
      <c r="Q168" s="211">
        <f t="shared" si="148"/>
        <v>459.601</v>
      </c>
      <c r="R168" s="211">
        <f t="shared" si="148"/>
        <v>-362.73</v>
      </c>
      <c r="S168" s="211">
        <f t="shared" si="148"/>
        <v>-27.725999999999992</v>
      </c>
      <c r="T168" s="211">
        <f t="shared" si="148"/>
        <v>204.9200000000001</v>
      </c>
      <c r="U168" s="211">
        <f t="shared" si="148"/>
        <v>-202.02399999999997</v>
      </c>
      <c r="V168" s="211">
        <f t="shared" si="148"/>
        <v>-2.659999999999993</v>
      </c>
      <c r="W168" s="211">
        <f t="shared" si="148"/>
        <v>78.649000000000001</v>
      </c>
      <c r="X168" s="211">
        <f t="shared" si="148"/>
        <v>60.074999999999974</v>
      </c>
      <c r="Y168" s="211">
        <f t="shared" si="148"/>
        <v>368.49199999999996</v>
      </c>
      <c r="Z168" s="211">
        <f t="shared" si="148"/>
        <v>-304.404</v>
      </c>
      <c r="AA168" s="211">
        <f t="shared" si="148"/>
        <v>-160.52599999999998</v>
      </c>
      <c r="AB168" s="211">
        <f t="shared" si="148"/>
        <v>-6.6540000000000035</v>
      </c>
      <c r="AC168" s="211">
        <f t="shared" si="148"/>
        <v>-8.4010897701552771</v>
      </c>
      <c r="AD168" s="211">
        <f t="shared" ca="1" si="148"/>
        <v>-20.849700869598728</v>
      </c>
      <c r="AE168" s="211">
        <f t="shared" ca="1" si="148"/>
        <v>-20.068653873531034</v>
      </c>
      <c r="AF168" s="211">
        <f t="shared" ca="1" si="148"/>
        <v>-17.347654833103334</v>
      </c>
      <c r="AG168" s="211">
        <f t="shared" ca="1" si="148"/>
        <v>-18.672875147956681</v>
      </c>
      <c r="AH168" s="211">
        <f t="shared" ca="1" si="148"/>
        <v>-15.571820908672834</v>
      </c>
      <c r="AI168" s="211">
        <f t="shared" ca="1" si="148"/>
        <v>-17.314181150109562</v>
      </c>
      <c r="AJ168" s="211">
        <f t="shared" ca="1" si="148"/>
        <v>-12.53161239823379</v>
      </c>
      <c r="AK168" s="211">
        <f t="shared" ca="1" si="148"/>
        <v>-14.18452790636259</v>
      </c>
      <c r="AL168" s="211">
        <f t="shared" ca="1" si="148"/>
        <v>-9.8528089054246522</v>
      </c>
      <c r="AM168" s="53"/>
    </row>
    <row r="169" spans="1:39">
      <c r="A169" s="96"/>
      <c r="G169" s="7"/>
      <c r="H169" s="7"/>
      <c r="I169" s="7"/>
      <c r="J169" s="7"/>
      <c r="K169" s="160">
        <v>7.35</v>
      </c>
      <c r="L169" s="160">
        <v>-5.6820000000000004</v>
      </c>
      <c r="M169" s="160">
        <v>73.661000000000001</v>
      </c>
      <c r="N169" s="160">
        <v>-70.784000000000006</v>
      </c>
      <c r="O169" s="160">
        <v>7.7670000000000003</v>
      </c>
      <c r="P169" s="160">
        <v>9.5719999999999992</v>
      </c>
      <c r="Q169" s="160">
        <v>459.601</v>
      </c>
      <c r="R169" s="160">
        <v>-362.73</v>
      </c>
      <c r="S169" s="160">
        <v>-27.725999999999999</v>
      </c>
      <c r="T169" s="160">
        <v>204.92</v>
      </c>
      <c r="U169" s="160">
        <v>-202.024</v>
      </c>
      <c r="V169" s="160">
        <v>-2.66</v>
      </c>
      <c r="W169" s="160">
        <v>78.649000000000001</v>
      </c>
      <c r="X169" s="160">
        <v>60.075000000000003</v>
      </c>
      <c r="Y169" s="160">
        <v>368.49200000000002</v>
      </c>
      <c r="Z169" s="160">
        <v>-304.404</v>
      </c>
      <c r="AA169" s="160">
        <v>-160.52600000000001</v>
      </c>
      <c r="AB169" s="160">
        <v>-6.6539999999999999</v>
      </c>
      <c r="AC169" s="7"/>
      <c r="AD169" s="7"/>
      <c r="AE169" s="7"/>
      <c r="AF169" s="7"/>
      <c r="AG169" s="7"/>
      <c r="AH169" s="7"/>
      <c r="AI169" s="7"/>
      <c r="AJ169" s="7"/>
      <c r="AK169" s="7"/>
      <c r="AL169" s="7"/>
      <c r="AM169" s="7"/>
    </row>
    <row r="170" spans="1:39">
      <c r="A170" s="96"/>
      <c r="G170" s="7"/>
      <c r="H170" s="7"/>
      <c r="I170" s="7"/>
      <c r="J170" s="7"/>
      <c r="K170" s="160" t="b">
        <f t="shared" ref="K170:Z170" si="149">ABS(K168-K169)&lt;0.001</f>
        <v>1</v>
      </c>
      <c r="L170" s="160" t="b">
        <f t="shared" si="149"/>
        <v>1</v>
      </c>
      <c r="M170" s="160" t="b">
        <f t="shared" si="149"/>
        <v>1</v>
      </c>
      <c r="N170" s="160" t="b">
        <f t="shared" si="149"/>
        <v>1</v>
      </c>
      <c r="O170" s="160" t="b">
        <f t="shared" si="149"/>
        <v>1</v>
      </c>
      <c r="P170" s="160" t="b">
        <f t="shared" si="149"/>
        <v>1</v>
      </c>
      <c r="Q170" s="160" t="b">
        <f t="shared" si="149"/>
        <v>1</v>
      </c>
      <c r="R170" s="160" t="b">
        <f t="shared" si="149"/>
        <v>1</v>
      </c>
      <c r="S170" s="160" t="b">
        <f t="shared" si="149"/>
        <v>1</v>
      </c>
      <c r="T170" s="160" t="b">
        <f t="shared" si="149"/>
        <v>1</v>
      </c>
      <c r="U170" s="160" t="b">
        <f t="shared" si="149"/>
        <v>1</v>
      </c>
      <c r="V170" s="160" t="b">
        <f t="shared" si="149"/>
        <v>1</v>
      </c>
      <c r="W170" s="160" t="b">
        <f t="shared" si="149"/>
        <v>1</v>
      </c>
      <c r="X170" s="160" t="b">
        <f t="shared" si="149"/>
        <v>1</v>
      </c>
      <c r="Y170" s="160" t="b">
        <f t="shared" si="149"/>
        <v>1</v>
      </c>
      <c r="Z170" s="160" t="b">
        <f t="shared" si="149"/>
        <v>1</v>
      </c>
      <c r="AA170" s="160" t="b">
        <f>ABS(AA168-AA169)&lt;0.001</f>
        <v>1</v>
      </c>
      <c r="AB170" s="160" t="b">
        <f>ABS(AB168-AB169)&lt;0.001</f>
        <v>1</v>
      </c>
      <c r="AC170" s="7"/>
      <c r="AD170" s="7"/>
      <c r="AE170" s="7"/>
      <c r="AF170" s="7"/>
      <c r="AG170" s="248"/>
      <c r="AH170" s="247"/>
      <c r="AI170" s="247"/>
      <c r="AJ170" s="247"/>
      <c r="AK170" s="7"/>
      <c r="AL170" s="7"/>
      <c r="AM170" s="7"/>
    </row>
    <row r="171" spans="1:39">
      <c r="A171" s="96"/>
      <c r="G171" s="7"/>
      <c r="H171" s="7"/>
      <c r="I171" s="7"/>
      <c r="J171" s="7"/>
      <c r="K171" s="57"/>
      <c r="L171" s="57"/>
      <c r="M171" s="57"/>
      <c r="N171" s="57"/>
      <c r="O171" s="57"/>
      <c r="P171" s="57"/>
      <c r="Q171" s="57"/>
      <c r="R171" s="57"/>
      <c r="S171" s="57"/>
      <c r="T171" s="57"/>
      <c r="U171" s="7"/>
      <c r="V171" s="7"/>
      <c r="W171" s="7"/>
      <c r="X171" s="7"/>
      <c r="Y171" s="7"/>
      <c r="Z171" s="7"/>
      <c r="AA171" s="7"/>
      <c r="AB171" s="7"/>
      <c r="AC171" s="7"/>
      <c r="AD171" s="7"/>
      <c r="AE171" s="7"/>
      <c r="AF171" s="7"/>
      <c r="AG171" s="248"/>
      <c r="AH171" s="247"/>
      <c r="AI171" s="247"/>
      <c r="AJ171" s="247"/>
      <c r="AK171" s="7"/>
      <c r="AL171" s="7"/>
      <c r="AM171" s="7"/>
    </row>
    <row r="172" spans="1:39">
      <c r="A172" s="96"/>
      <c r="C172" s="90"/>
      <c r="D172" s="91" t="s">
        <v>134</v>
      </c>
      <c r="E172" s="90"/>
      <c r="F172" s="90"/>
      <c r="G172" s="90"/>
      <c r="H172" s="90"/>
      <c r="I172" s="90"/>
      <c r="J172" s="90"/>
      <c r="K172" s="90"/>
      <c r="L172" s="90"/>
      <c r="M172" s="90"/>
      <c r="N172" s="153"/>
      <c r="O172" s="153"/>
      <c r="P172" s="153"/>
      <c r="Q172" s="153"/>
      <c r="R172" s="153"/>
      <c r="S172" s="153"/>
      <c r="T172" s="153"/>
      <c r="U172" s="153"/>
      <c r="V172" s="153"/>
      <c r="W172" s="153"/>
      <c r="X172" s="153"/>
      <c r="Y172" s="153"/>
      <c r="Z172" s="90"/>
      <c r="AA172" s="90"/>
      <c r="AB172" s="90"/>
      <c r="AC172" s="90"/>
      <c r="AD172" s="90"/>
      <c r="AE172" s="90"/>
      <c r="AF172" s="90"/>
      <c r="AG172" s="90"/>
      <c r="AH172" s="90"/>
      <c r="AI172" s="90"/>
      <c r="AJ172" s="90"/>
      <c r="AK172" s="90"/>
      <c r="AL172" s="90"/>
    </row>
    <row r="173" spans="1:39" ht="5.0999999999999996" customHeight="1">
      <c r="A173" s="96"/>
      <c r="B173" s="52"/>
      <c r="C173" s="52"/>
      <c r="D173" s="52"/>
      <c r="E173" s="52"/>
      <c r="F173" s="52"/>
      <c r="G173" s="52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  <c r="Z173" s="52"/>
      <c r="AA173" s="52"/>
      <c r="AB173" s="52"/>
      <c r="AC173" s="52"/>
      <c r="AD173" s="52"/>
      <c r="AE173" s="52"/>
      <c r="AF173" s="52"/>
      <c r="AG173" s="52"/>
      <c r="AH173" s="52"/>
      <c r="AI173" s="52"/>
      <c r="AJ173" s="52"/>
      <c r="AK173" s="52"/>
      <c r="AL173" s="52"/>
      <c r="AM173" s="7"/>
    </row>
    <row r="174" spans="1:39" outlineLevel="1">
      <c r="A174" s="96" t="s">
        <v>414</v>
      </c>
      <c r="D174" s="59" t="s">
        <v>216</v>
      </c>
      <c r="G174" s="177"/>
      <c r="H174" s="177"/>
      <c r="I174" s="177"/>
      <c r="J174" s="177"/>
      <c r="K174" s="177">
        <v>31.794</v>
      </c>
      <c r="L174" s="177">
        <v>22.986999999999998</v>
      </c>
      <c r="M174" s="177">
        <v>95.838999999999999</v>
      </c>
      <c r="N174" s="177">
        <v>25.055</v>
      </c>
      <c r="O174" s="177">
        <v>32.822000000000003</v>
      </c>
      <c r="P174" s="177">
        <v>42.393999999999998</v>
      </c>
      <c r="Q174" s="177">
        <v>501.70600000000002</v>
      </c>
      <c r="R174" s="177">
        <v>138.976</v>
      </c>
      <c r="S174" s="177">
        <v>109.063</v>
      </c>
      <c r="T174" s="177">
        <v>313.983</v>
      </c>
      <c r="U174" s="177">
        <v>111.959</v>
      </c>
      <c r="V174" s="177">
        <v>108.895</v>
      </c>
      <c r="W174" s="177">
        <v>187.476</v>
      </c>
      <c r="X174" s="177">
        <v>247.55099999999999</v>
      </c>
      <c r="Y174" s="177">
        <v>618.23099999999999</v>
      </c>
      <c r="Z174" s="177">
        <v>313.77699999999999</v>
      </c>
      <c r="AA174" s="177">
        <v>151.976</v>
      </c>
      <c r="AB174" s="177">
        <v>142.67500000000001</v>
      </c>
      <c r="AC174" s="7">
        <f t="shared" ref="AC174:AL174" si="150">AB174+AC168</f>
        <v>134.27391022984474</v>
      </c>
      <c r="AD174" s="7">
        <f t="shared" ca="1" si="150"/>
        <v>113.42420936024601</v>
      </c>
      <c r="AE174" s="7">
        <f t="shared" ca="1" si="150"/>
        <v>93.355555486714977</v>
      </c>
      <c r="AF174" s="7">
        <f t="shared" ca="1" si="150"/>
        <v>76.007900653611642</v>
      </c>
      <c r="AG174" s="7">
        <f t="shared" ca="1" si="150"/>
        <v>57.335025505654961</v>
      </c>
      <c r="AH174" s="7">
        <f t="shared" ca="1" si="150"/>
        <v>41.763204596982128</v>
      </c>
      <c r="AI174" s="7">
        <f t="shared" ca="1" si="150"/>
        <v>24.449023446872566</v>
      </c>
      <c r="AJ174" s="7">
        <f t="shared" ca="1" si="150"/>
        <v>11.917411048638776</v>
      </c>
      <c r="AK174" s="7">
        <f t="shared" ca="1" si="150"/>
        <v>-2.2671168577238134</v>
      </c>
      <c r="AL174" s="7">
        <f t="shared" ca="1" si="150"/>
        <v>-12.119925763148466</v>
      </c>
      <c r="AM174" s="7"/>
    </row>
    <row r="175" spans="1:39" outlineLevel="1">
      <c r="A175" s="96" t="s">
        <v>415</v>
      </c>
      <c r="D175" s="59" t="s">
        <v>344</v>
      </c>
      <c r="G175" s="177"/>
      <c r="H175" s="177"/>
      <c r="I175" s="177"/>
      <c r="J175" s="177"/>
      <c r="K175" s="177">
        <v>35.905000000000001</v>
      </c>
      <c r="L175" s="177">
        <v>23.518999999999998</v>
      </c>
      <c r="M175" s="177">
        <v>93.242000000000004</v>
      </c>
      <c r="N175" s="177">
        <v>135.602</v>
      </c>
      <c r="O175" s="177">
        <v>108.572</v>
      </c>
      <c r="P175" s="177">
        <v>82.293999999999997</v>
      </c>
      <c r="Q175" s="177">
        <v>143.399</v>
      </c>
      <c r="R175" s="177">
        <v>497.97199999999998</v>
      </c>
      <c r="S175" s="177">
        <v>478.791</v>
      </c>
      <c r="T175" s="177">
        <v>755.10799999999995</v>
      </c>
      <c r="U175" s="177">
        <v>939.33799999999997</v>
      </c>
      <c r="V175" s="177">
        <v>923.20100000000002</v>
      </c>
      <c r="W175" s="177">
        <v>847.74800000000005</v>
      </c>
      <c r="X175" s="177">
        <v>785.99099999999999</v>
      </c>
      <c r="Y175" s="177">
        <v>1195.646</v>
      </c>
      <c r="Z175" s="177">
        <v>1508.066</v>
      </c>
      <c r="AA175" s="177">
        <v>1573.2639999999999</v>
      </c>
      <c r="AB175" s="177">
        <v>1499.173</v>
      </c>
      <c r="AC175" s="7">
        <f t="shared" ref="AC175:AL175" si="151">AC234</f>
        <v>1499.173</v>
      </c>
      <c r="AD175" s="7">
        <f t="shared" si="151"/>
        <v>1499.173</v>
      </c>
      <c r="AE175" s="7">
        <f t="shared" si="151"/>
        <v>1499.173</v>
      </c>
      <c r="AF175" s="7">
        <f t="shared" si="151"/>
        <v>1499.173</v>
      </c>
      <c r="AG175" s="7">
        <f t="shared" si="151"/>
        <v>1499.173</v>
      </c>
      <c r="AH175" s="7">
        <f t="shared" si="151"/>
        <v>1499.173</v>
      </c>
      <c r="AI175" s="7">
        <f t="shared" si="151"/>
        <v>1499.173</v>
      </c>
      <c r="AJ175" s="7">
        <f t="shared" si="151"/>
        <v>1499.173</v>
      </c>
      <c r="AK175" s="7">
        <f t="shared" si="151"/>
        <v>1499.173</v>
      </c>
      <c r="AL175" s="7">
        <f t="shared" si="151"/>
        <v>1499.173</v>
      </c>
      <c r="AM175" s="7"/>
    </row>
    <row r="176" spans="1:39" outlineLevel="1">
      <c r="A176" s="96" t="s">
        <v>416</v>
      </c>
      <c r="D176" s="59" t="s">
        <v>345</v>
      </c>
      <c r="G176" s="177"/>
      <c r="H176" s="177"/>
      <c r="I176" s="177"/>
      <c r="J176" s="177"/>
      <c r="K176" s="177">
        <v>21.346</v>
      </c>
      <c r="L176" s="177">
        <v>24.423999999999999</v>
      </c>
      <c r="M176" s="177">
        <v>25.837</v>
      </c>
      <c r="N176" s="177">
        <v>25.155000000000001</v>
      </c>
      <c r="O176" s="177">
        <v>30.510999999999999</v>
      </c>
      <c r="P176" s="177">
        <v>29.925999999999998</v>
      </c>
      <c r="Q176" s="177">
        <v>32.204999999999998</v>
      </c>
      <c r="R176" s="177">
        <v>33.866999999999997</v>
      </c>
      <c r="S176" s="177">
        <v>39.777999999999999</v>
      </c>
      <c r="T176" s="177">
        <v>43.646000000000001</v>
      </c>
      <c r="U176" s="177">
        <v>48.783000000000001</v>
      </c>
      <c r="V176" s="177">
        <v>63.499000000000002</v>
      </c>
      <c r="W176" s="177">
        <v>71.239999999999995</v>
      </c>
      <c r="X176" s="177">
        <v>75.852999999999994</v>
      </c>
      <c r="Y176" s="177">
        <v>84.704999999999998</v>
      </c>
      <c r="Z176" s="177">
        <v>95.543000000000006</v>
      </c>
      <c r="AA176" s="177">
        <v>125.35</v>
      </c>
      <c r="AB176" s="177">
        <v>122.114</v>
      </c>
      <c r="AC176" s="7">
        <f t="shared" ref="AC176:AL176" si="152">AB176+AC$211*AB176/SUM(AB$176,AB$178)</f>
        <v>113.84389886028073</v>
      </c>
      <c r="AD176" s="7">
        <f t="shared" si="152"/>
        <v>114.09674688258927</v>
      </c>
      <c r="AE176" s="7">
        <f t="shared" si="152"/>
        <v>114.37978579728905</v>
      </c>
      <c r="AF176" s="7">
        <f t="shared" si="152"/>
        <v>114.7589435907981</v>
      </c>
      <c r="AG176" s="7">
        <f t="shared" si="152"/>
        <v>115.05968333866691</v>
      </c>
      <c r="AH176" s="7">
        <f t="shared" si="152"/>
        <v>115.45763357395469</v>
      </c>
      <c r="AI176" s="7">
        <f t="shared" si="152"/>
        <v>115.76359448123515</v>
      </c>
      <c r="AJ176" s="7">
        <f t="shared" si="152"/>
        <v>116.24068605412613</v>
      </c>
      <c r="AK176" s="7">
        <f t="shared" si="152"/>
        <v>116.6019715770628</v>
      </c>
      <c r="AL176" s="7">
        <f t="shared" si="152"/>
        <v>117.09726790878727</v>
      </c>
      <c r="AM176" s="7"/>
    </row>
    <row r="177" spans="1:39" outlineLevel="1">
      <c r="A177" s="96" t="s">
        <v>417</v>
      </c>
      <c r="D177" s="59" t="s">
        <v>346</v>
      </c>
      <c r="G177" s="177"/>
      <c r="H177" s="177"/>
      <c r="I177" s="177"/>
      <c r="J177" s="177"/>
      <c r="K177" s="177">
        <v>1.3180000000000001</v>
      </c>
      <c r="L177" s="177">
        <v>1.1220000000000001</v>
      </c>
      <c r="M177" s="177">
        <v>1.3660000000000001</v>
      </c>
      <c r="N177" s="177">
        <v>1.552</v>
      </c>
      <c r="O177" s="177">
        <v>1.3720000000000001</v>
      </c>
      <c r="P177" s="177">
        <v>1.7050000000000001</v>
      </c>
      <c r="Q177" s="177">
        <v>1.47</v>
      </c>
      <c r="R177" s="177">
        <v>2.0630000000000002</v>
      </c>
      <c r="S177" s="177">
        <v>1.7789999999999999</v>
      </c>
      <c r="T177" s="177">
        <v>2.2240000000000002</v>
      </c>
      <c r="U177" s="177">
        <v>2.0859999999999999</v>
      </c>
      <c r="V177" s="177">
        <v>3.5379999999999998</v>
      </c>
      <c r="W177" s="177">
        <v>3.66</v>
      </c>
      <c r="X177" s="177">
        <v>5.2489999999999997</v>
      </c>
      <c r="Y177" s="177">
        <v>5.0490000000000004</v>
      </c>
      <c r="Z177" s="177">
        <v>6.0789999999999997</v>
      </c>
      <c r="AA177" s="177">
        <v>6.3289999999999997</v>
      </c>
      <c r="AB177" s="177">
        <v>7.1950000000000003</v>
      </c>
      <c r="AC177" s="7">
        <f t="shared" ref="AC177:AL177" si="153">AC307</f>
        <v>6.9258008907536759</v>
      </c>
      <c r="AD177" s="7">
        <f t="shared" si="153"/>
        <v>7.3034114234951693</v>
      </c>
      <c r="AE177" s="7">
        <f t="shared" si="153"/>
        <v>7.7242555798336756</v>
      </c>
      <c r="AF177" s="7">
        <f t="shared" si="153"/>
        <v>8.3032294992894862</v>
      </c>
      <c r="AG177" s="7">
        <f t="shared" si="153"/>
        <v>8.7285154292900273</v>
      </c>
      <c r="AH177" s="7">
        <f t="shared" si="153"/>
        <v>9.3088982761189332</v>
      </c>
      <c r="AI177" s="7">
        <f t="shared" si="153"/>
        <v>9.7149964281218306</v>
      </c>
      <c r="AJ177" s="7">
        <f t="shared" si="153"/>
        <v>10.396391758682716</v>
      </c>
      <c r="AK177" s="7">
        <f t="shared" si="153"/>
        <v>10.864417949422943</v>
      </c>
      <c r="AL177" s="7">
        <f t="shared" si="153"/>
        <v>11.536972689173725</v>
      </c>
      <c r="AM177" s="7"/>
    </row>
    <row r="178" spans="1:39" outlineLevel="1">
      <c r="A178" s="96" t="s">
        <v>418</v>
      </c>
      <c r="D178" s="59" t="s">
        <v>123</v>
      </c>
      <c r="G178" s="177"/>
      <c r="H178" s="177"/>
      <c r="I178" s="177"/>
      <c r="J178" s="177"/>
      <c r="K178" s="177">
        <v>4.7240000000000002</v>
      </c>
      <c r="L178" s="177">
        <v>5.1159999999999997</v>
      </c>
      <c r="M178" s="177">
        <v>6.7240000000000002</v>
      </c>
      <c r="N178" s="177">
        <v>9.3729999999999993</v>
      </c>
      <c r="O178" s="177">
        <v>9.4939999999999998</v>
      </c>
      <c r="P178" s="177">
        <v>9.6869999999999994</v>
      </c>
      <c r="Q178" s="177">
        <v>16.898</v>
      </c>
      <c r="R178" s="177">
        <v>16.994</v>
      </c>
      <c r="S178" s="177">
        <v>18.193000000000001</v>
      </c>
      <c r="T178" s="177">
        <v>17.163</v>
      </c>
      <c r="U178" s="177">
        <f>2.187+23.026</f>
        <v>25.213000000000001</v>
      </c>
      <c r="V178" s="177">
        <f>2.591+28.23</f>
        <v>30.821000000000002</v>
      </c>
      <c r="W178" s="177">
        <f>2.659+27.085</f>
        <v>29.744</v>
      </c>
      <c r="X178" s="177">
        <f>2.659+28.65</f>
        <v>31.308999999999997</v>
      </c>
      <c r="Y178" s="177">
        <f>0.471+26.475</f>
        <v>26.946000000000002</v>
      </c>
      <c r="Z178" s="177">
        <f>0.521+29.433</f>
        <v>29.954000000000001</v>
      </c>
      <c r="AA178" s="177">
        <f>35.404+2.487</f>
        <v>37.891000000000005</v>
      </c>
      <c r="AB178" s="177">
        <f>9.357+33.499</f>
        <v>42.856000000000002</v>
      </c>
      <c r="AC178" s="7">
        <f t="shared" ref="AC178:AL178" si="154">AB178+AC$211*AB178/SUM(AB$176,AB$178)</f>
        <v>39.95360179468522</v>
      </c>
      <c r="AD178" s="7">
        <f t="shared" si="154"/>
        <v>40.0423389979875</v>
      </c>
      <c r="AE178" s="7">
        <f t="shared" si="154"/>
        <v>40.141671717645963</v>
      </c>
      <c r="AF178" s="7">
        <f t="shared" si="154"/>
        <v>40.274737430001828</v>
      </c>
      <c r="AG178" s="7">
        <f t="shared" si="154"/>
        <v>40.380282270353185</v>
      </c>
      <c r="AH178" s="7">
        <f t="shared" si="154"/>
        <v>40.519943204263242</v>
      </c>
      <c r="AI178" s="7">
        <f t="shared" si="154"/>
        <v>40.627320414430883</v>
      </c>
      <c r="AJ178" s="7">
        <f t="shared" si="154"/>
        <v>40.794756060202999</v>
      </c>
      <c r="AK178" s="7">
        <f t="shared" si="154"/>
        <v>40.921549485780524</v>
      </c>
      <c r="AL178" s="7">
        <f t="shared" si="154"/>
        <v>41.095374105335885</v>
      </c>
      <c r="AM178" s="7"/>
    </row>
    <row r="179" spans="1:39" s="3" customFormat="1" outlineLevel="1">
      <c r="A179" s="96"/>
      <c r="D179" s="193" t="s">
        <v>135</v>
      </c>
      <c r="E179" s="193"/>
      <c r="F179" s="193"/>
      <c r="G179" s="211"/>
      <c r="H179" s="211"/>
      <c r="I179" s="211"/>
      <c r="J179" s="211"/>
      <c r="K179" s="211">
        <f t="shared" ref="K179:AL179" si="155">SUM(K174:K178)</f>
        <v>95.087000000000003</v>
      </c>
      <c r="L179" s="211">
        <f t="shared" si="155"/>
        <v>77.168000000000006</v>
      </c>
      <c r="M179" s="211">
        <f t="shared" si="155"/>
        <v>223.00800000000001</v>
      </c>
      <c r="N179" s="211">
        <f t="shared" si="155"/>
        <v>196.73699999999999</v>
      </c>
      <c r="O179" s="211">
        <f t="shared" si="155"/>
        <v>182.77100000000002</v>
      </c>
      <c r="P179" s="211">
        <f t="shared" si="155"/>
        <v>166.006</v>
      </c>
      <c r="Q179" s="211">
        <f t="shared" si="155"/>
        <v>695.67800000000011</v>
      </c>
      <c r="R179" s="211">
        <f t="shared" si="155"/>
        <v>689.87199999999996</v>
      </c>
      <c r="S179" s="211">
        <f t="shared" si="155"/>
        <v>647.60400000000004</v>
      </c>
      <c r="T179" s="211">
        <f t="shared" si="155"/>
        <v>1132.1239999999998</v>
      </c>
      <c r="U179" s="211">
        <f t="shared" si="155"/>
        <v>1127.3789999999999</v>
      </c>
      <c r="V179" s="211">
        <f t="shared" si="155"/>
        <v>1129.954</v>
      </c>
      <c r="W179" s="211">
        <f t="shared" si="155"/>
        <v>1139.8680000000002</v>
      </c>
      <c r="X179" s="211">
        <f t="shared" si="155"/>
        <v>1145.953</v>
      </c>
      <c r="Y179" s="211">
        <f t="shared" si="155"/>
        <v>1930.5769999999998</v>
      </c>
      <c r="Z179" s="211">
        <f t="shared" si="155"/>
        <v>1953.4189999999999</v>
      </c>
      <c r="AA179" s="211">
        <f t="shared" si="155"/>
        <v>1894.8099999999997</v>
      </c>
      <c r="AB179" s="211">
        <f t="shared" si="155"/>
        <v>1814.0129999999999</v>
      </c>
      <c r="AC179" s="211">
        <f t="shared" si="155"/>
        <v>1794.1702117755642</v>
      </c>
      <c r="AD179" s="211">
        <f t="shared" ca="1" si="155"/>
        <v>1774.0397066643181</v>
      </c>
      <c r="AE179" s="211">
        <f t="shared" ca="1" si="155"/>
        <v>1754.7742685814837</v>
      </c>
      <c r="AF179" s="211">
        <f t="shared" ca="1" si="155"/>
        <v>1738.5178111737009</v>
      </c>
      <c r="AG179" s="211">
        <f t="shared" ca="1" si="155"/>
        <v>1720.6765065439652</v>
      </c>
      <c r="AH179" s="211">
        <f t="shared" ca="1" si="155"/>
        <v>1706.2226796513189</v>
      </c>
      <c r="AI179" s="211">
        <f t="shared" ca="1" si="155"/>
        <v>1689.7279347706606</v>
      </c>
      <c r="AJ179" s="211">
        <f t="shared" ca="1" si="155"/>
        <v>1678.5222449216508</v>
      </c>
      <c r="AK179" s="211">
        <f t="shared" ca="1" si="155"/>
        <v>1665.2938221545426</v>
      </c>
      <c r="AL179" s="211">
        <f t="shared" ca="1" si="155"/>
        <v>1656.7826889401483</v>
      </c>
      <c r="AM179" s="53"/>
    </row>
    <row r="180" spans="1:39" outlineLevel="1">
      <c r="A180" s="96" t="s">
        <v>419</v>
      </c>
      <c r="D180" s="59" t="s">
        <v>136</v>
      </c>
      <c r="G180" s="177"/>
      <c r="H180" s="177"/>
      <c r="I180" s="177"/>
      <c r="J180" s="177"/>
      <c r="K180" s="177">
        <v>53.314999999999998</v>
      </c>
      <c r="L180" s="177">
        <v>55.158999999999999</v>
      </c>
      <c r="M180" s="177">
        <v>58.38</v>
      </c>
      <c r="N180" s="177">
        <v>73.209999999999994</v>
      </c>
      <c r="O180" s="177">
        <v>81.757999999999996</v>
      </c>
      <c r="P180" s="177">
        <v>84.64</v>
      </c>
      <c r="Q180" s="177">
        <v>92.484999999999999</v>
      </c>
      <c r="R180" s="177">
        <v>101.46599999999999</v>
      </c>
      <c r="S180" s="177">
        <v>100.17400000000001</v>
      </c>
      <c r="T180" s="177">
        <v>114.54900000000001</v>
      </c>
      <c r="U180" s="177">
        <v>122.423</v>
      </c>
      <c r="V180" s="177">
        <v>123.688</v>
      </c>
      <c r="W180" s="177">
        <v>135.79499999999999</v>
      </c>
      <c r="X180" s="177">
        <v>156.71899999999999</v>
      </c>
      <c r="Y180" s="177">
        <v>176.55600000000001</v>
      </c>
      <c r="Z180" s="177">
        <v>183.73599999999999</v>
      </c>
      <c r="AA180" s="177">
        <v>202.43199999999999</v>
      </c>
      <c r="AB180" s="177">
        <v>244.56</v>
      </c>
      <c r="AC180" s="7">
        <f t="shared" ref="AC180:AL180" si="156">AC271</f>
        <v>259.23359999999997</v>
      </c>
      <c r="AD180" s="7">
        <f t="shared" si="156"/>
        <v>274.59319079999995</v>
      </c>
      <c r="AE180" s="7">
        <f t="shared" si="156"/>
        <v>290.65689246179994</v>
      </c>
      <c r="AF180" s="7">
        <f t="shared" si="156"/>
        <v>307.44232800146887</v>
      </c>
      <c r="AG180" s="7">
        <f t="shared" si="156"/>
        <v>324.96654069755255</v>
      </c>
      <c r="AH180" s="7">
        <f t="shared" si="156"/>
        <v>343.24590861178984</v>
      </c>
      <c r="AI180" s="7">
        <f t="shared" si="156"/>
        <v>362.29605653974414</v>
      </c>
      <c r="AJ180" s="7">
        <f t="shared" si="156"/>
        <v>382.1317656352951</v>
      </c>
      <c r="AK180" s="7">
        <f t="shared" si="156"/>
        <v>402.76688097960101</v>
      </c>
      <c r="AL180" s="7">
        <f t="shared" si="156"/>
        <v>424.21421739176475</v>
      </c>
      <c r="AM180" s="7"/>
    </row>
    <row r="181" spans="1:39" outlineLevel="1">
      <c r="A181" s="96" t="s">
        <v>420</v>
      </c>
      <c r="D181" s="59" t="s">
        <v>223</v>
      </c>
      <c r="G181" s="177"/>
      <c r="H181" s="177"/>
      <c r="I181" s="177"/>
      <c r="J181" s="177"/>
      <c r="K181" s="177">
        <v>0</v>
      </c>
      <c r="L181" s="177">
        <v>0</v>
      </c>
      <c r="M181" s="177">
        <v>0</v>
      </c>
      <c r="N181" s="177">
        <v>0</v>
      </c>
      <c r="O181" s="177">
        <v>0</v>
      </c>
      <c r="P181" s="177">
        <v>0</v>
      </c>
      <c r="Q181" s="177">
        <v>0</v>
      </c>
      <c r="R181" s="177">
        <v>0</v>
      </c>
      <c r="S181" s="177">
        <v>48.234000000000002</v>
      </c>
      <c r="T181" s="177">
        <v>46.15</v>
      </c>
      <c r="U181" s="177">
        <v>45.106000000000002</v>
      </c>
      <c r="V181" s="177">
        <v>43.148000000000003</v>
      </c>
      <c r="W181" s="177">
        <v>41.744999999999997</v>
      </c>
      <c r="X181" s="177">
        <v>44.456000000000003</v>
      </c>
      <c r="Y181" s="177">
        <v>101.26</v>
      </c>
      <c r="Z181" s="177">
        <v>130.31399999999999</v>
      </c>
      <c r="AA181" s="177">
        <v>138.87100000000001</v>
      </c>
      <c r="AB181" s="177">
        <v>132.16499999999999</v>
      </c>
      <c r="AC181" s="7">
        <f t="shared" ref="AC181:AL181" si="157">AC280</f>
        <v>153.01503667809257</v>
      </c>
      <c r="AD181" s="7">
        <f t="shared" si="157"/>
        <v>144.77286957751406</v>
      </c>
      <c r="AE181" s="7">
        <f t="shared" si="157"/>
        <v>166.98925322300178</v>
      </c>
      <c r="AF181" s="7">
        <f t="shared" si="157"/>
        <v>164.63363226691368</v>
      </c>
      <c r="AG181" s="7">
        <f t="shared" si="157"/>
        <v>180.19660691491461</v>
      </c>
      <c r="AH181" s="7">
        <f t="shared" si="157"/>
        <v>183.43223199598125</v>
      </c>
      <c r="AI181" s="7">
        <f t="shared" si="157"/>
        <v>191.64041491251984</v>
      </c>
      <c r="AJ181" s="7">
        <f t="shared" si="157"/>
        <v>204.88862972954539</v>
      </c>
      <c r="AK181" s="7">
        <f t="shared" si="157"/>
        <v>204.29074758638367</v>
      </c>
      <c r="AL181" s="7">
        <f t="shared" si="157"/>
        <v>224.5506714519818</v>
      </c>
      <c r="AM181" s="7"/>
    </row>
    <row r="182" spans="1:39" outlineLevel="1">
      <c r="A182" s="96" t="s">
        <v>421</v>
      </c>
      <c r="D182" s="59" t="s">
        <v>137</v>
      </c>
      <c r="G182" s="177"/>
      <c r="H182" s="177"/>
      <c r="I182" s="177"/>
      <c r="J182" s="177"/>
      <c r="K182" s="177">
        <v>4.0830000000000002</v>
      </c>
      <c r="L182" s="177">
        <v>4.0830000000000002</v>
      </c>
      <c r="M182" s="177">
        <v>4.0830000000000002</v>
      </c>
      <c r="N182" s="177">
        <v>4.0830000000000002</v>
      </c>
      <c r="O182" s="177">
        <v>4.0830000000000002</v>
      </c>
      <c r="P182" s="177">
        <v>4.0830000000000002</v>
      </c>
      <c r="Q182" s="177">
        <v>4.0830000000000002</v>
      </c>
      <c r="R182" s="177">
        <v>4.0830000000000002</v>
      </c>
      <c r="S182" s="177">
        <v>16.399000000000001</v>
      </c>
      <c r="T182" s="177">
        <v>17.167000000000002</v>
      </c>
      <c r="U182" s="177">
        <v>17.167000000000002</v>
      </c>
      <c r="V182" s="177">
        <v>17.167000000000002</v>
      </c>
      <c r="W182" s="177">
        <v>17.167000000000002</v>
      </c>
      <c r="X182" s="177">
        <v>17.167000000000002</v>
      </c>
      <c r="Y182" s="177">
        <v>17.167000000000002</v>
      </c>
      <c r="Z182" s="177">
        <v>23.53</v>
      </c>
      <c r="AA182" s="177">
        <v>28.481000000000002</v>
      </c>
      <c r="AB182" s="177">
        <v>149.12200000000001</v>
      </c>
      <c r="AC182" s="7">
        <f t="shared" ref="AC182:AL182" si="158">AB182</f>
        <v>149.12200000000001</v>
      </c>
      <c r="AD182" s="7">
        <f t="shared" si="158"/>
        <v>149.12200000000001</v>
      </c>
      <c r="AE182" s="7">
        <f t="shared" si="158"/>
        <v>149.12200000000001</v>
      </c>
      <c r="AF182" s="7">
        <f t="shared" si="158"/>
        <v>149.12200000000001</v>
      </c>
      <c r="AG182" s="7">
        <f t="shared" si="158"/>
        <v>149.12200000000001</v>
      </c>
      <c r="AH182" s="7">
        <f t="shared" si="158"/>
        <v>149.12200000000001</v>
      </c>
      <c r="AI182" s="7">
        <f t="shared" si="158"/>
        <v>149.12200000000001</v>
      </c>
      <c r="AJ182" s="7">
        <f t="shared" si="158"/>
        <v>149.12200000000001</v>
      </c>
      <c r="AK182" s="7">
        <f t="shared" si="158"/>
        <v>149.12200000000001</v>
      </c>
      <c r="AL182" s="7">
        <f t="shared" si="158"/>
        <v>149.12200000000001</v>
      </c>
      <c r="AM182" s="7"/>
    </row>
    <row r="183" spans="1:39" outlineLevel="1">
      <c r="A183" s="96" t="s">
        <v>422</v>
      </c>
      <c r="D183" s="59" t="s">
        <v>138</v>
      </c>
      <c r="G183" s="177"/>
      <c r="H183" s="177"/>
      <c r="I183" s="177"/>
      <c r="J183" s="177"/>
      <c r="K183" s="177">
        <v>0.55800000000000005</v>
      </c>
      <c r="L183" s="177">
        <v>0.41099999999999998</v>
      </c>
      <c r="M183" s="177">
        <v>0.26400000000000001</v>
      </c>
      <c r="N183" s="177">
        <v>0.156</v>
      </c>
      <c r="O183" s="177">
        <v>0.125</v>
      </c>
      <c r="P183" s="177">
        <v>9.4E-2</v>
      </c>
      <c r="Q183" s="177">
        <v>6.2E-2</v>
      </c>
      <c r="R183" s="177">
        <v>3.1E-2</v>
      </c>
      <c r="S183" s="177">
        <v>4.9000000000000004</v>
      </c>
      <c r="T183" s="177">
        <v>4.2</v>
      </c>
      <c r="U183" s="177">
        <v>3.5</v>
      </c>
      <c r="V183" s="177">
        <v>2.8</v>
      </c>
      <c r="W183" s="177">
        <v>2.1</v>
      </c>
      <c r="X183" s="177">
        <v>1.4</v>
      </c>
      <c r="Y183" s="177">
        <v>0.7</v>
      </c>
      <c r="Z183" s="177">
        <v>1.254</v>
      </c>
      <c r="AA183" s="177">
        <v>3.8460000000000001</v>
      </c>
      <c r="AB183" s="177">
        <v>42.258000000000003</v>
      </c>
      <c r="AC183" s="7">
        <f t="shared" ref="AC183:AL183" si="159">AC297</f>
        <v>37.458000000000006</v>
      </c>
      <c r="AD183" s="7">
        <f t="shared" si="159"/>
        <v>32.658000000000008</v>
      </c>
      <c r="AE183" s="7">
        <f t="shared" si="159"/>
        <v>27.858000000000008</v>
      </c>
      <c r="AF183" s="7">
        <f t="shared" si="159"/>
        <v>23.058000000000007</v>
      </c>
      <c r="AG183" s="7">
        <f t="shared" si="159"/>
        <v>18.258000000000006</v>
      </c>
      <c r="AH183" s="7">
        <f t="shared" si="159"/>
        <v>13.458000000000006</v>
      </c>
      <c r="AI183" s="7">
        <f t="shared" si="159"/>
        <v>8.6580000000000048</v>
      </c>
      <c r="AJ183" s="7">
        <f t="shared" si="159"/>
        <v>3.858000000000005</v>
      </c>
      <c r="AK183" s="7">
        <f t="shared" si="159"/>
        <v>0</v>
      </c>
      <c r="AL183" s="7">
        <f t="shared" si="159"/>
        <v>0</v>
      </c>
      <c r="AM183" s="7"/>
    </row>
    <row r="184" spans="1:39" outlineLevel="1">
      <c r="A184" s="96" t="s">
        <v>423</v>
      </c>
      <c r="D184" s="59" t="s">
        <v>347</v>
      </c>
      <c r="G184" s="177"/>
      <c r="H184" s="177"/>
      <c r="I184" s="177"/>
      <c r="J184" s="177"/>
      <c r="K184" s="177">
        <v>11.821999999999999</v>
      </c>
      <c r="L184" s="177">
        <v>13.032999999999999</v>
      </c>
      <c r="M184" s="177">
        <v>14.414</v>
      </c>
      <c r="N184" s="177">
        <v>15.94</v>
      </c>
      <c r="O184" s="177">
        <v>17.846</v>
      </c>
      <c r="P184" s="177">
        <v>19.481999999999999</v>
      </c>
      <c r="Q184" s="177">
        <v>21.140999999999998</v>
      </c>
      <c r="R184" s="177">
        <v>25.184000000000001</v>
      </c>
      <c r="S184" s="177">
        <v>28.170999999999999</v>
      </c>
      <c r="T184" s="177">
        <v>33.880000000000003</v>
      </c>
      <c r="U184" s="177">
        <v>37.713999999999999</v>
      </c>
      <c r="V184" s="177">
        <v>44.176000000000002</v>
      </c>
      <c r="W184" s="177">
        <v>48.981999999999999</v>
      </c>
      <c r="X184" s="177">
        <v>56.587000000000003</v>
      </c>
      <c r="Y184" s="177">
        <v>61.606999999999999</v>
      </c>
      <c r="Z184" s="177">
        <v>70.319999999999993</v>
      </c>
      <c r="AA184" s="177">
        <v>76.266000000000005</v>
      </c>
      <c r="AB184" s="177">
        <v>80.706000000000003</v>
      </c>
      <c r="AC184" s="7">
        <f t="shared" ref="AC184:AL184" si="160">AC304</f>
        <v>86.572511134420949</v>
      </c>
      <c r="AD184" s="7">
        <f t="shared" si="160"/>
        <v>91.292642793689609</v>
      </c>
      <c r="AE184" s="7">
        <f t="shared" si="160"/>
        <v>96.553194747920941</v>
      </c>
      <c r="AF184" s="7">
        <f t="shared" si="160"/>
        <v>103.79036874111857</v>
      </c>
      <c r="AG184" s="7">
        <f t="shared" si="160"/>
        <v>109.10644286612533</v>
      </c>
      <c r="AH184" s="7">
        <f t="shared" si="160"/>
        <v>116.36122845148665</v>
      </c>
      <c r="AI184" s="7">
        <f t="shared" si="160"/>
        <v>121.43745535152289</v>
      </c>
      <c r="AJ184" s="7">
        <f t="shared" si="160"/>
        <v>129.95489698353396</v>
      </c>
      <c r="AK184" s="7">
        <f t="shared" si="160"/>
        <v>135.80522436778679</v>
      </c>
      <c r="AL184" s="7">
        <f t="shared" si="160"/>
        <v>144.21215861467155</v>
      </c>
      <c r="AM184" s="7"/>
    </row>
    <row r="185" spans="1:39" outlineLevel="1">
      <c r="A185" s="96" t="s">
        <v>424</v>
      </c>
      <c r="D185" s="59" t="s">
        <v>123</v>
      </c>
      <c r="G185" s="177"/>
      <c r="H185" s="177"/>
      <c r="I185" s="177"/>
      <c r="J185" s="177"/>
      <c r="K185" s="177">
        <f>2.437+2.005</f>
        <v>4.4420000000000002</v>
      </c>
      <c r="L185" s="177">
        <f>5.562+1.962</f>
        <v>7.524</v>
      </c>
      <c r="M185" s="177">
        <f>6.371+1.959</f>
        <v>8.33</v>
      </c>
      <c r="N185" s="177">
        <f>6.371+1.883</f>
        <v>8.2540000000000013</v>
      </c>
      <c r="O185" s="177">
        <f>6.371+2.507</f>
        <v>8.8780000000000001</v>
      </c>
      <c r="P185" s="177">
        <f>6.371+6.183</f>
        <v>12.554</v>
      </c>
      <c r="Q185" s="177">
        <f>6.66+3.569+16.169</f>
        <v>26.398</v>
      </c>
      <c r="R185" s="177">
        <f>6.66+3.528</f>
        <v>10.188000000000001</v>
      </c>
      <c r="S185" s="177">
        <f>8.847+4.202</f>
        <v>13.048999999999999</v>
      </c>
      <c r="T185" s="177">
        <f>8.847+7.138</f>
        <v>15.984999999999999</v>
      </c>
      <c r="U185" s="177">
        <f>6.66+11.276</f>
        <v>17.936</v>
      </c>
      <c r="V185" s="177">
        <f>6.66+13.058</f>
        <v>19.718</v>
      </c>
      <c r="W185" s="177">
        <f>6.66+13.209</f>
        <v>19.869</v>
      </c>
      <c r="X185" s="177">
        <f>6.66+16.99</f>
        <v>23.65</v>
      </c>
      <c r="Y185" s="177">
        <f>6.66+20.987</f>
        <v>27.646999999999998</v>
      </c>
      <c r="Z185" s="177">
        <f>6.66+2.838</f>
        <v>9.4980000000000011</v>
      </c>
      <c r="AA185" s="177">
        <f>3.274+5.969</f>
        <v>9.2430000000000003</v>
      </c>
      <c r="AB185" s="177">
        <f>1.746+3.889</f>
        <v>5.6349999999999998</v>
      </c>
      <c r="AC185" s="63">
        <f t="shared" ref="AC185:AL185" si="161">AB185</f>
        <v>5.6349999999999998</v>
      </c>
      <c r="AD185" s="63">
        <f t="shared" si="161"/>
        <v>5.6349999999999998</v>
      </c>
      <c r="AE185" s="63">
        <f t="shared" si="161"/>
        <v>5.6349999999999998</v>
      </c>
      <c r="AF185" s="63">
        <f t="shared" si="161"/>
        <v>5.6349999999999998</v>
      </c>
      <c r="AG185" s="63">
        <f t="shared" si="161"/>
        <v>5.6349999999999998</v>
      </c>
      <c r="AH185" s="63">
        <f t="shared" si="161"/>
        <v>5.6349999999999998</v>
      </c>
      <c r="AI185" s="63">
        <f t="shared" si="161"/>
        <v>5.6349999999999998</v>
      </c>
      <c r="AJ185" s="63">
        <f t="shared" si="161"/>
        <v>5.6349999999999998</v>
      </c>
      <c r="AK185" s="63">
        <f t="shared" si="161"/>
        <v>5.6349999999999998</v>
      </c>
      <c r="AL185" s="63">
        <f t="shared" si="161"/>
        <v>5.6349999999999998</v>
      </c>
      <c r="AM185" s="7"/>
    </row>
    <row r="186" spans="1:39" s="3" customFormat="1" outlineLevel="1">
      <c r="A186" s="96"/>
      <c r="D186" s="193" t="s">
        <v>139</v>
      </c>
      <c r="E186" s="193"/>
      <c r="F186" s="193"/>
      <c r="G186" s="211"/>
      <c r="H186" s="211"/>
      <c r="I186" s="211"/>
      <c r="J186" s="211"/>
      <c r="K186" s="211">
        <f t="shared" ref="K186:AL186" si="162">SUM(K179:K185)</f>
        <v>169.30699999999999</v>
      </c>
      <c r="L186" s="211">
        <f t="shared" si="162"/>
        <v>157.37799999999999</v>
      </c>
      <c r="M186" s="211">
        <f t="shared" si="162"/>
        <v>308.47900000000004</v>
      </c>
      <c r="N186" s="211">
        <f t="shared" si="162"/>
        <v>298.38000000000005</v>
      </c>
      <c r="O186" s="211">
        <f t="shared" si="162"/>
        <v>295.46100000000001</v>
      </c>
      <c r="P186" s="211">
        <f t="shared" si="162"/>
        <v>286.85899999999998</v>
      </c>
      <c r="Q186" s="211">
        <f t="shared" si="162"/>
        <v>839.84700000000009</v>
      </c>
      <c r="R186" s="211">
        <f t="shared" si="162"/>
        <v>830.82399999999984</v>
      </c>
      <c r="S186" s="211">
        <f t="shared" si="162"/>
        <v>858.53100000000006</v>
      </c>
      <c r="T186" s="211">
        <f t="shared" si="162"/>
        <v>1364.0549999999998</v>
      </c>
      <c r="U186" s="211">
        <f t="shared" si="162"/>
        <v>1371.2249999999997</v>
      </c>
      <c r="V186" s="211">
        <f t="shared" si="162"/>
        <v>1380.6509999999998</v>
      </c>
      <c r="W186" s="211">
        <f t="shared" si="162"/>
        <v>1405.5259999999998</v>
      </c>
      <c r="X186" s="211">
        <f t="shared" si="162"/>
        <v>1445.932</v>
      </c>
      <c r="Y186" s="211">
        <f t="shared" si="162"/>
        <v>2315.5139999999997</v>
      </c>
      <c r="Z186" s="211">
        <f t="shared" si="162"/>
        <v>2372.0709999999999</v>
      </c>
      <c r="AA186" s="211">
        <f t="shared" si="162"/>
        <v>2353.9490000000001</v>
      </c>
      <c r="AB186" s="211">
        <f t="shared" si="162"/>
        <v>2468.4589999999998</v>
      </c>
      <c r="AC186" s="211">
        <f t="shared" si="162"/>
        <v>2485.2063595880777</v>
      </c>
      <c r="AD186" s="211">
        <f t="shared" ca="1" si="162"/>
        <v>2472.1134098355215</v>
      </c>
      <c r="AE186" s="211">
        <f t="shared" ca="1" si="162"/>
        <v>2491.5886090142067</v>
      </c>
      <c r="AF186" s="211">
        <f t="shared" ca="1" si="162"/>
        <v>2492.199140183202</v>
      </c>
      <c r="AG186" s="211">
        <f t="shared" ca="1" si="162"/>
        <v>2507.9610970225576</v>
      </c>
      <c r="AH186" s="211">
        <f t="shared" ca="1" si="162"/>
        <v>2517.4770487105766</v>
      </c>
      <c r="AI186" s="211">
        <f t="shared" ca="1" si="162"/>
        <v>2528.5168615744469</v>
      </c>
      <c r="AJ186" s="211">
        <f t="shared" ca="1" si="162"/>
        <v>2554.1125372700253</v>
      </c>
      <c r="AK186" s="211">
        <f t="shared" ca="1" si="162"/>
        <v>2562.913675088314</v>
      </c>
      <c r="AL186" s="211">
        <f t="shared" ca="1" si="162"/>
        <v>2604.5167363985665</v>
      </c>
      <c r="AM186" s="53"/>
    </row>
    <row r="187" spans="1:39" outlineLevel="1">
      <c r="G187" s="7"/>
      <c r="H187" s="7"/>
      <c r="I187" s="7"/>
      <c r="J187" s="7"/>
      <c r="K187" s="7"/>
      <c r="L187" s="7"/>
      <c r="M187" s="7"/>
      <c r="N187" s="7"/>
      <c r="O187" s="7"/>
      <c r="P187" s="7"/>
      <c r="Q187" s="7"/>
      <c r="R187" s="7"/>
      <c r="S187" s="7"/>
      <c r="T187" s="7"/>
      <c r="U187" s="7"/>
      <c r="V187" s="7"/>
      <c r="W187" s="7"/>
      <c r="X187" s="7"/>
      <c r="Y187" s="7"/>
      <c r="Z187" s="7"/>
      <c r="AA187" s="7"/>
      <c r="AB187" s="7"/>
      <c r="AC187" s="7"/>
      <c r="AD187" s="7"/>
      <c r="AE187" s="7"/>
      <c r="AF187" s="7"/>
      <c r="AG187" s="7"/>
      <c r="AH187" s="7"/>
      <c r="AI187" s="7"/>
      <c r="AJ187" s="7"/>
      <c r="AK187" s="7"/>
      <c r="AL187" s="7"/>
      <c r="AM187" s="7"/>
    </row>
    <row r="188" spans="1:39" outlineLevel="1">
      <c r="A188" s="96" t="s">
        <v>429</v>
      </c>
      <c r="D188" s="59" t="s">
        <v>140</v>
      </c>
      <c r="G188" s="177"/>
      <c r="H188" s="177"/>
      <c r="I188" s="177"/>
      <c r="J188" s="177"/>
      <c r="K188" s="177">
        <v>0.35799999999999998</v>
      </c>
      <c r="L188" s="177">
        <v>0.36099999999999999</v>
      </c>
      <c r="M188" s="177">
        <v>0.308</v>
      </c>
      <c r="N188" s="177">
        <v>0.255</v>
      </c>
      <c r="O188" s="177">
        <v>0.16500000000000001</v>
      </c>
      <c r="P188" s="177">
        <v>7.3999999999999996E-2</v>
      </c>
      <c r="Q188" s="177">
        <v>3.6999999999999998E-2</v>
      </c>
      <c r="R188" s="177">
        <v>0</v>
      </c>
      <c r="S188" s="177">
        <v>0</v>
      </c>
      <c r="T188" s="177">
        <v>0</v>
      </c>
      <c r="U188" s="177">
        <v>0</v>
      </c>
      <c r="V188" s="177">
        <v>0</v>
      </c>
      <c r="W188" s="177">
        <v>0</v>
      </c>
      <c r="X188" s="177">
        <v>0</v>
      </c>
      <c r="Y188" s="177">
        <v>0</v>
      </c>
      <c r="Z188" s="177">
        <v>12.117000000000001</v>
      </c>
      <c r="AA188" s="177">
        <v>0</v>
      </c>
      <c r="AB188" s="177">
        <v>0</v>
      </c>
      <c r="AC188" s="63">
        <f t="shared" ref="AC188:AL188" si="163">AB188</f>
        <v>0</v>
      </c>
      <c r="AD188" s="63">
        <f t="shared" si="163"/>
        <v>0</v>
      </c>
      <c r="AE188" s="63">
        <f t="shared" si="163"/>
        <v>0</v>
      </c>
      <c r="AF188" s="63">
        <f t="shared" si="163"/>
        <v>0</v>
      </c>
      <c r="AG188" s="63">
        <f t="shared" si="163"/>
        <v>0</v>
      </c>
      <c r="AH188" s="63">
        <f t="shared" si="163"/>
        <v>0</v>
      </c>
      <c r="AI188" s="63">
        <f t="shared" si="163"/>
        <v>0</v>
      </c>
      <c r="AJ188" s="63">
        <f t="shared" si="163"/>
        <v>0</v>
      </c>
      <c r="AK188" s="63">
        <f t="shared" si="163"/>
        <v>0</v>
      </c>
      <c r="AL188" s="63">
        <f t="shared" si="163"/>
        <v>0</v>
      </c>
      <c r="AM188" s="7"/>
    </row>
    <row r="189" spans="1:39" outlineLevel="1">
      <c r="A189" s="96" t="s">
        <v>425</v>
      </c>
      <c r="D189" s="59" t="s">
        <v>141</v>
      </c>
      <c r="G189" s="177"/>
      <c r="H189" s="177"/>
      <c r="I189" s="177"/>
      <c r="J189" s="177"/>
      <c r="K189" s="177">
        <f>6.632+15.12</f>
        <v>21.751999999999999</v>
      </c>
      <c r="L189" s="177">
        <f>13.71+13.93</f>
        <v>27.64</v>
      </c>
      <c r="M189" s="177">
        <f>11.474+13.958</f>
        <v>25.432000000000002</v>
      </c>
      <c r="N189" s="177">
        <f>14.285+15.699</f>
        <v>29.984000000000002</v>
      </c>
      <c r="O189" s="177">
        <f>13.941+17.196</f>
        <v>31.137</v>
      </c>
      <c r="P189" s="177">
        <f>17.128+9.834+8.743</f>
        <v>35.704999999999998</v>
      </c>
      <c r="Q189" s="177">
        <f>9.517+10.951+12.17</f>
        <v>32.637999999999998</v>
      </c>
      <c r="R189" s="177">
        <f>11.463+13.344+14.97</f>
        <v>39.777000000000001</v>
      </c>
      <c r="S189" s="177">
        <f>14.301+10.565+17.307</f>
        <v>42.173000000000002</v>
      </c>
      <c r="T189" s="177">
        <f>17.278+11.834+20.242</f>
        <v>49.353999999999999</v>
      </c>
      <c r="U189" s="177">
        <f>16.995+16.64+21.99</f>
        <v>55.625</v>
      </c>
      <c r="V189" s="177">
        <f>14.485+20.217+25.41</f>
        <v>60.111999999999995</v>
      </c>
      <c r="W189" s="177">
        <f>20.475+24.022+31.724</f>
        <v>76.221000000000004</v>
      </c>
      <c r="X189" s="177">
        <f>29.558+33.483+31.098</f>
        <v>94.138999999999996</v>
      </c>
      <c r="Y189" s="177">
        <f>34.561+33.841+37.185</f>
        <v>105.587</v>
      </c>
      <c r="Z189" s="177">
        <f>26.086+38.085+65.905</f>
        <v>130.07599999999999</v>
      </c>
      <c r="AA189" s="177">
        <f>32.925+40.888+39.978</f>
        <v>113.791</v>
      </c>
      <c r="AB189" s="177">
        <f>55.732+53.184+36.639</f>
        <v>145.55500000000001</v>
      </c>
      <c r="AC189" s="63">
        <f t="shared" ref="AC189:AL189" si="164">AB189</f>
        <v>145.55500000000001</v>
      </c>
      <c r="AD189" s="63">
        <f t="shared" si="164"/>
        <v>145.55500000000001</v>
      </c>
      <c r="AE189" s="63">
        <f t="shared" si="164"/>
        <v>145.55500000000001</v>
      </c>
      <c r="AF189" s="63">
        <f t="shared" si="164"/>
        <v>145.55500000000001</v>
      </c>
      <c r="AG189" s="63">
        <f t="shared" si="164"/>
        <v>145.55500000000001</v>
      </c>
      <c r="AH189" s="63">
        <f t="shared" si="164"/>
        <v>145.55500000000001</v>
      </c>
      <c r="AI189" s="63">
        <f t="shared" si="164"/>
        <v>145.55500000000001</v>
      </c>
      <c r="AJ189" s="63">
        <f t="shared" si="164"/>
        <v>145.55500000000001</v>
      </c>
      <c r="AK189" s="63">
        <f t="shared" si="164"/>
        <v>145.55500000000001</v>
      </c>
      <c r="AL189" s="63">
        <f t="shared" si="164"/>
        <v>145.55500000000001</v>
      </c>
      <c r="AM189" s="7"/>
    </row>
    <row r="190" spans="1:39" outlineLevel="1">
      <c r="A190" s="96" t="s">
        <v>430</v>
      </c>
      <c r="D190" s="59" t="s">
        <v>349</v>
      </c>
      <c r="G190" s="177"/>
      <c r="H190" s="177"/>
      <c r="I190" s="177"/>
      <c r="J190" s="177"/>
      <c r="K190" s="177">
        <v>0</v>
      </c>
      <c r="L190" s="177">
        <v>0</v>
      </c>
      <c r="M190" s="177">
        <v>0</v>
      </c>
      <c r="N190" s="177">
        <v>0</v>
      </c>
      <c r="O190" s="177">
        <v>0</v>
      </c>
      <c r="P190" s="177">
        <v>0</v>
      </c>
      <c r="Q190" s="177">
        <v>0</v>
      </c>
      <c r="R190" s="177">
        <v>0</v>
      </c>
      <c r="S190" s="177">
        <v>17.009</v>
      </c>
      <c r="T190" s="177">
        <v>17.239000000000001</v>
      </c>
      <c r="U190" s="177">
        <v>17.265000000000001</v>
      </c>
      <c r="V190" s="177">
        <v>17.716999999999999</v>
      </c>
      <c r="W190" s="177">
        <v>17.989999999999998</v>
      </c>
      <c r="X190" s="177">
        <v>20.030999999999999</v>
      </c>
      <c r="Y190" s="177">
        <v>23.45</v>
      </c>
      <c r="Z190" s="177">
        <v>25.175000000000001</v>
      </c>
      <c r="AA190" s="177">
        <v>27.305</v>
      </c>
      <c r="AB190" s="177">
        <v>28.297999999999998</v>
      </c>
      <c r="AC190" s="63">
        <f t="shared" ref="AC190:AL190" si="165">AC287</f>
        <v>30.899207335618513</v>
      </c>
      <c r="AD190" s="63">
        <f t="shared" si="165"/>
        <v>29.616408589446596</v>
      </c>
      <c r="AE190" s="63">
        <f t="shared" si="165"/>
        <v>34.536401910715369</v>
      </c>
      <c r="AF190" s="63">
        <f t="shared" si="165"/>
        <v>34.468786195384588</v>
      </c>
      <c r="AG190" s="63">
        <f t="shared" si="165"/>
        <v>38.152297452132068</v>
      </c>
      <c r="AH190" s="63">
        <f t="shared" si="165"/>
        <v>39.294061799146021</v>
      </c>
      <c r="AI190" s="63">
        <f t="shared" si="165"/>
        <v>41.521104206191772</v>
      </c>
      <c r="AJ190" s="63">
        <f t="shared" si="165"/>
        <v>44.885394466176123</v>
      </c>
      <c r="AK190" s="63">
        <f t="shared" si="165"/>
        <v>45.269784469004414</v>
      </c>
      <c r="AL190" s="63">
        <f t="shared" si="165"/>
        <v>50.292046898065955</v>
      </c>
      <c r="AM190" s="7"/>
    </row>
    <row r="191" spans="1:39" outlineLevel="1">
      <c r="A191" s="96" t="s">
        <v>431</v>
      </c>
      <c r="D191" s="59" t="s">
        <v>350</v>
      </c>
      <c r="G191" s="177"/>
      <c r="H191" s="177"/>
      <c r="I191" s="177"/>
      <c r="J191" s="177"/>
      <c r="K191" s="177">
        <v>18.440000000000001</v>
      </c>
      <c r="L191" s="177">
        <v>17.952000000000002</v>
      </c>
      <c r="M191" s="177">
        <v>17.187000000000001</v>
      </c>
      <c r="N191" s="177">
        <v>16.817</v>
      </c>
      <c r="O191" s="177">
        <v>23.209</v>
      </c>
      <c r="P191" s="177">
        <v>26.757000000000001</v>
      </c>
      <c r="Q191" s="177">
        <v>29.835000000000001</v>
      </c>
      <c r="R191" s="177">
        <v>30.843</v>
      </c>
      <c r="S191" s="177">
        <v>37.095999999999997</v>
      </c>
      <c r="T191" s="177">
        <f>43.419</f>
        <v>43.418999999999997</v>
      </c>
      <c r="U191" s="177">
        <v>48.435000000000002</v>
      </c>
      <c r="V191" s="177">
        <v>54.945</v>
      </c>
      <c r="W191" s="177">
        <v>66.418000000000006</v>
      </c>
      <c r="X191" s="177">
        <v>79.828999999999994</v>
      </c>
      <c r="Y191" s="177">
        <v>92.415000000000006</v>
      </c>
      <c r="Z191" s="177">
        <v>116.54600000000001</v>
      </c>
      <c r="AA191" s="177">
        <v>131.65</v>
      </c>
      <c r="AB191" s="177">
        <v>155.81100000000001</v>
      </c>
      <c r="AC191" s="63">
        <f t="shared" ref="AC191:AL191" si="166">AC314</f>
        <v>165.34931474732915</v>
      </c>
      <c r="AD191" s="63">
        <f t="shared" si="166"/>
        <v>173.85911574950728</v>
      </c>
      <c r="AE191" s="63">
        <f t="shared" si="166"/>
        <v>183.32996490081564</v>
      </c>
      <c r="AF191" s="63">
        <f t="shared" si="166"/>
        <v>196.46870572732527</v>
      </c>
      <c r="AG191" s="63">
        <f t="shared" si="166"/>
        <v>205.88236849870503</v>
      </c>
      <c r="AH191" s="63">
        <f t="shared" si="166"/>
        <v>218.86222653181173</v>
      </c>
      <c r="AI191" s="63">
        <f t="shared" si="166"/>
        <v>227.65048820359394</v>
      </c>
      <c r="AJ191" s="63">
        <f t="shared" si="166"/>
        <v>242.78389518629336</v>
      </c>
      <c r="AK191" s="63">
        <f t="shared" si="166"/>
        <v>252.81975786783084</v>
      </c>
      <c r="AL191" s="63">
        <f t="shared" si="166"/>
        <v>267.49627616028198</v>
      </c>
      <c r="AM191" s="7"/>
    </row>
    <row r="192" spans="1:39" outlineLevel="1">
      <c r="A192" s="96" t="s">
        <v>428</v>
      </c>
      <c r="D192" s="59" t="s">
        <v>123</v>
      </c>
      <c r="G192" s="177"/>
      <c r="H192" s="177"/>
      <c r="I192" s="177"/>
      <c r="J192" s="177"/>
      <c r="K192" s="177">
        <v>2.1890000000000001</v>
      </c>
      <c r="L192" s="177">
        <v>3.577</v>
      </c>
      <c r="M192" s="177">
        <v>14.943</v>
      </c>
      <c r="N192" s="177">
        <v>14.323</v>
      </c>
      <c r="O192" s="177">
        <v>15.442</v>
      </c>
      <c r="P192" s="177">
        <v>14.952</v>
      </c>
      <c r="Q192" s="177">
        <v>14.629</v>
      </c>
      <c r="R192" s="177">
        <v>13.263</v>
      </c>
      <c r="S192" s="177">
        <v>12.006</v>
      </c>
      <c r="T192" s="177">
        <v>10.734999999999999</v>
      </c>
      <c r="U192" s="177">
        <v>9.6790000000000003</v>
      </c>
      <c r="V192" s="177">
        <v>8.6029999999999998</v>
      </c>
      <c r="W192" s="177">
        <v>7.5170000000000003</v>
      </c>
      <c r="X192" s="177">
        <v>6.4770000000000003</v>
      </c>
      <c r="Y192" s="177">
        <v>5.5049999999999999</v>
      </c>
      <c r="Z192" s="177">
        <v>4.6509999999999998</v>
      </c>
      <c r="AA192" s="177">
        <v>3.87</v>
      </c>
      <c r="AB192" s="177">
        <v>3.15</v>
      </c>
      <c r="AC192" s="63">
        <f t="shared" ref="AC192:AL192" si="167">AB192</f>
        <v>3.15</v>
      </c>
      <c r="AD192" s="63">
        <f t="shared" si="167"/>
        <v>3.15</v>
      </c>
      <c r="AE192" s="63">
        <f t="shared" si="167"/>
        <v>3.15</v>
      </c>
      <c r="AF192" s="63">
        <f t="shared" si="167"/>
        <v>3.15</v>
      </c>
      <c r="AG192" s="63">
        <f t="shared" si="167"/>
        <v>3.15</v>
      </c>
      <c r="AH192" s="63">
        <f t="shared" si="167"/>
        <v>3.15</v>
      </c>
      <c r="AI192" s="63">
        <f t="shared" si="167"/>
        <v>3.15</v>
      </c>
      <c r="AJ192" s="63">
        <f t="shared" si="167"/>
        <v>3.15</v>
      </c>
      <c r="AK192" s="63">
        <f t="shared" si="167"/>
        <v>3.15</v>
      </c>
      <c r="AL192" s="63">
        <f t="shared" si="167"/>
        <v>3.15</v>
      </c>
      <c r="AM192" s="7"/>
    </row>
    <row r="193" spans="1:39" s="3" customFormat="1" outlineLevel="1">
      <c r="A193" s="96"/>
      <c r="D193" s="193" t="s">
        <v>142</v>
      </c>
      <c r="E193" s="193"/>
      <c r="F193" s="193"/>
      <c r="G193" s="211"/>
      <c r="H193" s="211"/>
      <c r="I193" s="211"/>
      <c r="J193" s="211"/>
      <c r="K193" s="211">
        <f t="shared" ref="K193:AL193" si="168">SUM(K188:K192)</f>
        <v>42.738999999999997</v>
      </c>
      <c r="L193" s="211">
        <f t="shared" si="168"/>
        <v>49.53</v>
      </c>
      <c r="M193" s="211">
        <f t="shared" si="168"/>
        <v>57.870000000000005</v>
      </c>
      <c r="N193" s="211">
        <f t="shared" si="168"/>
        <v>61.378999999999998</v>
      </c>
      <c r="O193" s="211">
        <f t="shared" si="168"/>
        <v>69.953000000000003</v>
      </c>
      <c r="P193" s="211">
        <f t="shared" si="168"/>
        <v>77.488</v>
      </c>
      <c r="Q193" s="211">
        <f t="shared" si="168"/>
        <v>77.138999999999996</v>
      </c>
      <c r="R193" s="211">
        <f t="shared" si="168"/>
        <v>83.88300000000001</v>
      </c>
      <c r="S193" s="211">
        <f t="shared" si="168"/>
        <v>108.28399999999999</v>
      </c>
      <c r="T193" s="211">
        <f t="shared" si="168"/>
        <v>120.747</v>
      </c>
      <c r="U193" s="211">
        <f t="shared" si="168"/>
        <v>131.00399999999999</v>
      </c>
      <c r="V193" s="211">
        <f t="shared" si="168"/>
        <v>141.37700000000001</v>
      </c>
      <c r="W193" s="211">
        <f t="shared" si="168"/>
        <v>168.14600000000002</v>
      </c>
      <c r="X193" s="211">
        <f t="shared" si="168"/>
        <v>200.47599999999997</v>
      </c>
      <c r="Y193" s="211">
        <f t="shared" si="168"/>
        <v>226.95699999999999</v>
      </c>
      <c r="Z193" s="211">
        <f t="shared" si="168"/>
        <v>288.565</v>
      </c>
      <c r="AA193" s="211">
        <f t="shared" si="168"/>
        <v>276.61599999999999</v>
      </c>
      <c r="AB193" s="211">
        <f t="shared" si="168"/>
        <v>332.81399999999996</v>
      </c>
      <c r="AC193" s="211">
        <f t="shared" si="168"/>
        <v>344.95352208294764</v>
      </c>
      <c r="AD193" s="211">
        <f t="shared" si="168"/>
        <v>352.18052433895389</v>
      </c>
      <c r="AE193" s="211">
        <f t="shared" si="168"/>
        <v>366.57136681153099</v>
      </c>
      <c r="AF193" s="211">
        <f t="shared" si="168"/>
        <v>379.64249192270984</v>
      </c>
      <c r="AG193" s="211">
        <f t="shared" si="168"/>
        <v>392.73966595083709</v>
      </c>
      <c r="AH193" s="211">
        <f t="shared" si="168"/>
        <v>406.86128833095773</v>
      </c>
      <c r="AI193" s="211">
        <f t="shared" si="168"/>
        <v>417.8765924097857</v>
      </c>
      <c r="AJ193" s="211">
        <f t="shared" si="168"/>
        <v>436.37428965246949</v>
      </c>
      <c r="AK193" s="211">
        <f t="shared" si="168"/>
        <v>446.79454233683521</v>
      </c>
      <c r="AL193" s="211">
        <f t="shared" si="168"/>
        <v>466.49332305834793</v>
      </c>
      <c r="AM193" s="53"/>
    </row>
    <row r="194" spans="1:39" outlineLevel="1">
      <c r="A194" s="96" t="s">
        <v>432</v>
      </c>
      <c r="D194" s="59" t="s">
        <v>351</v>
      </c>
      <c r="G194" s="177"/>
      <c r="H194" s="177"/>
      <c r="I194" s="177"/>
      <c r="J194" s="177"/>
      <c r="K194" s="177">
        <f>0.165+10.352</f>
        <v>10.516999999999999</v>
      </c>
      <c r="L194" s="177">
        <f>0.074+10.392</f>
        <v>10.465999999999999</v>
      </c>
      <c r="M194" s="177">
        <f>0.037+10.42</f>
        <v>10.457000000000001</v>
      </c>
      <c r="N194" s="177">
        <v>10.443</v>
      </c>
      <c r="O194" s="177">
        <v>10.465999999999999</v>
      </c>
      <c r="P194" s="177">
        <v>10.49</v>
      </c>
      <c r="Q194" s="177">
        <v>10.500999999999999</v>
      </c>
      <c r="R194" s="177">
        <v>10.506</v>
      </c>
      <c r="S194" s="177">
        <v>0</v>
      </c>
      <c r="T194" s="177">
        <v>365.94900000000001</v>
      </c>
      <c r="U194" s="177">
        <v>374.51100000000002</v>
      </c>
      <c r="V194" s="177">
        <v>383.27499999999998</v>
      </c>
      <c r="W194" s="177">
        <v>392.24599999999998</v>
      </c>
      <c r="X194" s="177">
        <v>401.428</v>
      </c>
      <c r="Y194" s="177">
        <v>1143.308</v>
      </c>
      <c r="Z194" s="177">
        <v>1146.877</v>
      </c>
      <c r="AA194" s="177">
        <v>1432.7049999999999</v>
      </c>
      <c r="AB194" s="177">
        <v>1433.867</v>
      </c>
      <c r="AC194" s="7">
        <f t="shared" ref="AC194:AL194" si="169">AC228-AC188</f>
        <v>1447.1908604999999</v>
      </c>
      <c r="AD194" s="7">
        <f t="shared" si="169"/>
        <v>1460.8051991260136</v>
      </c>
      <c r="AE194" s="7">
        <f t="shared" si="169"/>
        <v>1474.4652012099937</v>
      </c>
      <c r="AF194" s="7">
        <f t="shared" si="169"/>
        <v>1488.4301525726742</v>
      </c>
      <c r="AG194" s="7">
        <f t="shared" si="169"/>
        <v>1502.4937832438106</v>
      </c>
      <c r="AH194" s="7">
        <f t="shared" si="169"/>
        <v>1516.8092400601597</v>
      </c>
      <c r="AI194" s="7">
        <f t="shared" si="169"/>
        <v>1531.2738810726369</v>
      </c>
      <c r="AJ194" s="7">
        <f t="shared" si="169"/>
        <v>1545.9312410885107</v>
      </c>
      <c r="AK194" s="7">
        <f t="shared" si="169"/>
        <v>1560.8257984904642</v>
      </c>
      <c r="AL194" s="7">
        <f t="shared" si="169"/>
        <v>1575.8418776321173</v>
      </c>
      <c r="AM194" s="7"/>
    </row>
    <row r="195" spans="1:39" outlineLevel="1">
      <c r="A195" s="96" t="s">
        <v>426</v>
      </c>
      <c r="D195" s="59" t="s">
        <v>349</v>
      </c>
      <c r="G195" s="177"/>
      <c r="H195" s="177"/>
      <c r="I195" s="177"/>
      <c r="J195" s="177"/>
      <c r="K195" s="177">
        <v>0</v>
      </c>
      <c r="L195" s="177">
        <v>0</v>
      </c>
      <c r="M195" s="177">
        <v>0</v>
      </c>
      <c r="N195" s="177">
        <v>0</v>
      </c>
      <c r="O195" s="177">
        <v>0</v>
      </c>
      <c r="P195" s="177">
        <v>0</v>
      </c>
      <c r="Q195" s="177">
        <v>0</v>
      </c>
      <c r="R195" s="177">
        <v>0</v>
      </c>
      <c r="S195" s="177">
        <v>33.795000000000002</v>
      </c>
      <c r="T195" s="177">
        <v>30.869</v>
      </c>
      <c r="U195" s="177">
        <v>29.675000000000001</v>
      </c>
      <c r="V195" s="177">
        <v>27.309000000000001</v>
      </c>
      <c r="W195" s="177">
        <v>25.626999999999999</v>
      </c>
      <c r="X195" s="177">
        <v>26.936</v>
      </c>
      <c r="Y195" s="177">
        <v>81.113</v>
      </c>
      <c r="Z195" s="177">
        <v>109.03700000000001</v>
      </c>
      <c r="AA195" s="177">
        <v>114.619</v>
      </c>
      <c r="AB195" s="177">
        <v>105.348</v>
      </c>
      <c r="AC195" s="7">
        <f t="shared" ref="AC195:AL195" si="170">AC288</f>
        <v>123.59682934247405</v>
      </c>
      <c r="AD195" s="7">
        <f t="shared" si="170"/>
        <v>116.63746098806746</v>
      </c>
      <c r="AE195" s="7">
        <f t="shared" si="170"/>
        <v>133.93385131228641</v>
      </c>
      <c r="AF195" s="7">
        <f t="shared" si="170"/>
        <v>131.64584607152909</v>
      </c>
      <c r="AG195" s="7">
        <f t="shared" si="170"/>
        <v>143.52530946278253</v>
      </c>
      <c r="AH195" s="7">
        <f t="shared" si="170"/>
        <v>145.61917019683523</v>
      </c>
      <c r="AI195" s="7">
        <f t="shared" si="170"/>
        <v>151.60031070632806</v>
      </c>
      <c r="AJ195" s="7">
        <f t="shared" si="170"/>
        <v>161.48423526336927</v>
      </c>
      <c r="AK195" s="7">
        <f t="shared" si="170"/>
        <v>160.50196311737926</v>
      </c>
      <c r="AL195" s="7">
        <f t="shared" si="170"/>
        <v>175.73962455391583</v>
      </c>
      <c r="AM195" s="7"/>
    </row>
    <row r="196" spans="1:39" outlineLevel="1">
      <c r="A196" s="96" t="s">
        <v>427</v>
      </c>
      <c r="D196" s="59" t="s">
        <v>350</v>
      </c>
      <c r="G196" s="177"/>
      <c r="H196" s="177"/>
      <c r="I196" s="177"/>
      <c r="J196" s="177"/>
      <c r="K196" s="177">
        <v>0.28899999999999998</v>
      </c>
      <c r="L196" s="177">
        <v>0.311</v>
      </c>
      <c r="M196" s="177">
        <v>0.21</v>
      </c>
      <c r="N196" s="177">
        <v>0.22</v>
      </c>
      <c r="O196" s="177">
        <v>1.228</v>
      </c>
      <c r="P196" s="177">
        <v>1.0069999999999999</v>
      </c>
      <c r="Q196" s="177">
        <v>0.81599999999999995</v>
      </c>
      <c r="R196" s="177">
        <v>0.80400000000000005</v>
      </c>
      <c r="S196" s="177">
        <v>0.996</v>
      </c>
      <c r="T196" s="177">
        <v>1.599</v>
      </c>
      <c r="U196" s="177">
        <v>1.637</v>
      </c>
      <c r="V196" s="177">
        <v>1.891</v>
      </c>
      <c r="W196" s="177">
        <v>5.0640000000000001</v>
      </c>
      <c r="X196" s="177">
        <v>4.7279999999999998</v>
      </c>
      <c r="Y196" s="177">
        <v>4.5609999999999999</v>
      </c>
      <c r="Z196" s="177">
        <v>4.68</v>
      </c>
      <c r="AA196" s="177">
        <v>5.577</v>
      </c>
      <c r="AB196" s="177">
        <v>6.8410000000000002</v>
      </c>
      <c r="AC196" s="7">
        <f t="shared" ref="AC196:AL196" si="171">AC315</f>
        <v>8.7025955130173234</v>
      </c>
      <c r="AD196" s="7">
        <f t="shared" si="171"/>
        <v>9.150479776289858</v>
      </c>
      <c r="AE196" s="7">
        <f t="shared" si="171"/>
        <v>9.6489455210955608</v>
      </c>
      <c r="AF196" s="7">
        <f t="shared" si="171"/>
        <v>10.340458196175014</v>
      </c>
      <c r="AG196" s="7">
        <f t="shared" si="171"/>
        <v>10.835914131510792</v>
      </c>
      <c r="AH196" s="7">
        <f t="shared" si="171"/>
        <v>11.519064554305881</v>
      </c>
      <c r="AI196" s="7">
        <f t="shared" si="171"/>
        <v>11.981604642294419</v>
      </c>
      <c r="AJ196" s="7">
        <f t="shared" si="171"/>
        <v>12.778099746647021</v>
      </c>
      <c r="AK196" s="7">
        <f t="shared" si="171"/>
        <v>13.306303045675307</v>
      </c>
      <c r="AL196" s="7">
        <f t="shared" si="171"/>
        <v>14.078751376856946</v>
      </c>
      <c r="AM196" s="7"/>
    </row>
    <row r="197" spans="1:39" outlineLevel="1">
      <c r="A197" s="96" t="s">
        <v>433</v>
      </c>
      <c r="D197" s="59" t="s">
        <v>121</v>
      </c>
      <c r="G197" s="177"/>
      <c r="H197" s="177"/>
      <c r="I197" s="177"/>
      <c r="J197" s="177"/>
      <c r="K197" s="177">
        <v>0</v>
      </c>
      <c r="L197" s="177">
        <v>0</v>
      </c>
      <c r="M197" s="177">
        <v>0</v>
      </c>
      <c r="N197" s="177">
        <v>0</v>
      </c>
      <c r="O197" s="177">
        <v>0</v>
      </c>
      <c r="P197" s="177">
        <v>0</v>
      </c>
      <c r="Q197" s="177">
        <v>0</v>
      </c>
      <c r="R197" s="177">
        <v>0</v>
      </c>
      <c r="S197" s="177">
        <v>0</v>
      </c>
      <c r="T197" s="177">
        <v>0</v>
      </c>
      <c r="U197" s="177">
        <v>0</v>
      </c>
      <c r="V197" s="177">
        <v>0</v>
      </c>
      <c r="W197" s="177">
        <v>0</v>
      </c>
      <c r="X197" s="177">
        <v>0</v>
      </c>
      <c r="Y197" s="177">
        <v>0</v>
      </c>
      <c r="Z197" s="177">
        <v>0</v>
      </c>
      <c r="AA197" s="177">
        <v>0</v>
      </c>
      <c r="AB197" s="177">
        <v>0</v>
      </c>
      <c r="AC197" s="7">
        <f t="shared" ref="AC197:AL197" si="172">AB197+AC137</f>
        <v>-7.6740065103653565</v>
      </c>
      <c r="AD197" s="7">
        <f t="shared" ca="1" si="172"/>
        <v>-15.877577747928079</v>
      </c>
      <c r="AE197" s="7">
        <f t="shared" ca="1" si="172"/>
        <v>-24.690145052714364</v>
      </c>
      <c r="AF197" s="7">
        <f t="shared" ca="1" si="172"/>
        <v>-34.139775495691055</v>
      </c>
      <c r="AG197" s="7">
        <f t="shared" ca="1" si="172"/>
        <v>-44.17389419153816</v>
      </c>
      <c r="AH197" s="7">
        <f t="shared" ca="1" si="172"/>
        <v>-54.724076805381273</v>
      </c>
      <c r="AI197" s="7">
        <f t="shared" ca="1" si="172"/>
        <v>-65.851769614310825</v>
      </c>
      <c r="AJ197" s="7">
        <f t="shared" ca="1" si="172"/>
        <v>-77.423782993073985</v>
      </c>
      <c r="AK197" s="7">
        <f t="shared" ca="1" si="172"/>
        <v>-89.30983121382684</v>
      </c>
      <c r="AL197" s="7">
        <f t="shared" ca="1" si="172"/>
        <v>-100.67892473168419</v>
      </c>
      <c r="AM197" s="7"/>
    </row>
    <row r="198" spans="1:39" outlineLevel="1">
      <c r="A198" s="96" t="s">
        <v>434</v>
      </c>
      <c r="D198" s="59" t="s">
        <v>123</v>
      </c>
      <c r="G198" s="177"/>
      <c r="H198" s="177"/>
      <c r="I198" s="177"/>
      <c r="J198" s="177"/>
      <c r="K198" s="177">
        <f>0.535+3.637</f>
        <v>4.1719999999999997</v>
      </c>
      <c r="L198" s="177">
        <f>0.546+4.35</f>
        <v>4.8959999999999999</v>
      </c>
      <c r="M198" s="177">
        <f>1.585+5.507</f>
        <v>7.0919999999999996</v>
      </c>
      <c r="N198" s="177">
        <f>1.618+6.704</f>
        <v>8.3219999999999992</v>
      </c>
      <c r="O198" s="177">
        <f>1.736+8.781</f>
        <v>10.517000000000001</v>
      </c>
      <c r="P198" s="177">
        <f>9.843+1.945</f>
        <v>11.788</v>
      </c>
      <c r="Q198" s="177">
        <v>10.993</v>
      </c>
      <c r="R198" s="177">
        <v>9.8030000000000008</v>
      </c>
      <c r="S198" s="177">
        <v>9.1039999999999992</v>
      </c>
      <c r="T198" s="177">
        <v>9.2729999999999997</v>
      </c>
      <c r="U198" s="177">
        <v>7.9509999999999996</v>
      </c>
      <c r="V198" s="177">
        <v>9.859</v>
      </c>
      <c r="W198" s="177">
        <v>10.403</v>
      </c>
      <c r="X198" s="177">
        <v>11.268000000000001</v>
      </c>
      <c r="Y198" s="177">
        <v>6.4249999999999998</v>
      </c>
      <c r="Z198" s="177">
        <v>7.1139999999999999</v>
      </c>
      <c r="AA198" s="177">
        <f>8.955</f>
        <v>8.9550000000000001</v>
      </c>
      <c r="AB198" s="177">
        <v>9.0990000000000002</v>
      </c>
      <c r="AC198" s="63">
        <f t="shared" ref="AC198:AL198" si="173">AB198</f>
        <v>9.0990000000000002</v>
      </c>
      <c r="AD198" s="63">
        <f t="shared" si="173"/>
        <v>9.0990000000000002</v>
      </c>
      <c r="AE198" s="63">
        <f t="shared" si="173"/>
        <v>9.0990000000000002</v>
      </c>
      <c r="AF198" s="63">
        <f t="shared" si="173"/>
        <v>9.0990000000000002</v>
      </c>
      <c r="AG198" s="63">
        <f t="shared" si="173"/>
        <v>9.0990000000000002</v>
      </c>
      <c r="AH198" s="63">
        <f t="shared" si="173"/>
        <v>9.0990000000000002</v>
      </c>
      <c r="AI198" s="63">
        <f t="shared" si="173"/>
        <v>9.0990000000000002</v>
      </c>
      <c r="AJ198" s="63">
        <f t="shared" si="173"/>
        <v>9.0990000000000002</v>
      </c>
      <c r="AK198" s="63">
        <f t="shared" si="173"/>
        <v>9.0990000000000002</v>
      </c>
      <c r="AL198" s="63">
        <f t="shared" si="173"/>
        <v>9.0990000000000002</v>
      </c>
      <c r="AM198" s="7"/>
    </row>
    <row r="199" spans="1:39" s="3" customFormat="1" outlineLevel="1">
      <c r="A199" s="96"/>
      <c r="D199" s="193" t="s">
        <v>143</v>
      </c>
      <c r="E199" s="193"/>
      <c r="F199" s="193"/>
      <c r="G199" s="211"/>
      <c r="H199" s="211"/>
      <c r="I199" s="211"/>
      <c r="J199" s="211"/>
      <c r="K199" s="211">
        <f t="shared" ref="K199:AL199" si="174">SUM(K193:K198)</f>
        <v>57.716999999999999</v>
      </c>
      <c r="L199" s="211">
        <f t="shared" si="174"/>
        <v>65.203000000000003</v>
      </c>
      <c r="M199" s="211">
        <f t="shared" si="174"/>
        <v>75.628999999999991</v>
      </c>
      <c r="N199" s="211">
        <f t="shared" si="174"/>
        <v>80.364000000000004</v>
      </c>
      <c r="O199" s="211">
        <f t="shared" si="174"/>
        <v>92.163999999999987</v>
      </c>
      <c r="P199" s="211">
        <f t="shared" si="174"/>
        <v>100.773</v>
      </c>
      <c r="Q199" s="211">
        <f t="shared" si="174"/>
        <v>99.448999999999998</v>
      </c>
      <c r="R199" s="211">
        <f t="shared" si="174"/>
        <v>104.99600000000001</v>
      </c>
      <c r="S199" s="211">
        <f t="shared" si="174"/>
        <v>152.17900000000003</v>
      </c>
      <c r="T199" s="211">
        <f t="shared" si="174"/>
        <v>528.43700000000013</v>
      </c>
      <c r="U199" s="211">
        <f t="shared" si="174"/>
        <v>544.77799999999991</v>
      </c>
      <c r="V199" s="211">
        <f t="shared" si="174"/>
        <v>563.71100000000001</v>
      </c>
      <c r="W199" s="211">
        <f t="shared" si="174"/>
        <v>601.48599999999999</v>
      </c>
      <c r="X199" s="211">
        <f t="shared" si="174"/>
        <v>644.83600000000001</v>
      </c>
      <c r="Y199" s="211">
        <f t="shared" si="174"/>
        <v>1462.3639999999998</v>
      </c>
      <c r="Z199" s="211">
        <f t="shared" si="174"/>
        <v>1556.2730000000001</v>
      </c>
      <c r="AA199" s="211">
        <f t="shared" si="174"/>
        <v>1838.4719999999998</v>
      </c>
      <c r="AB199" s="211">
        <f t="shared" si="174"/>
        <v>1887.9689999999998</v>
      </c>
      <c r="AC199" s="211">
        <f t="shared" si="174"/>
        <v>1925.8688009280731</v>
      </c>
      <c r="AD199" s="211">
        <f t="shared" ca="1" si="174"/>
        <v>1931.9950864813966</v>
      </c>
      <c r="AE199" s="211">
        <f t="shared" ca="1" si="174"/>
        <v>1969.0282198021921</v>
      </c>
      <c r="AF199" s="211">
        <f t="shared" ca="1" si="174"/>
        <v>1985.0181732673968</v>
      </c>
      <c r="AG199" s="211">
        <f t="shared" ca="1" si="174"/>
        <v>2014.5197785974026</v>
      </c>
      <c r="AH199" s="211">
        <f t="shared" ca="1" si="174"/>
        <v>2035.1836863368769</v>
      </c>
      <c r="AI199" s="211">
        <f t="shared" ca="1" si="174"/>
        <v>2055.9796192167341</v>
      </c>
      <c r="AJ199" s="211">
        <f t="shared" ca="1" si="174"/>
        <v>2088.2430827579228</v>
      </c>
      <c r="AK199" s="211">
        <f t="shared" ca="1" si="174"/>
        <v>2101.2177757765271</v>
      </c>
      <c r="AL199" s="211">
        <f t="shared" ca="1" si="174"/>
        <v>2140.5736518895537</v>
      </c>
      <c r="AM199" s="53"/>
    </row>
    <row r="200" spans="1:39" outlineLevel="1">
      <c r="A200" s="96" t="s">
        <v>435</v>
      </c>
      <c r="D200" s="59" t="s">
        <v>144</v>
      </c>
      <c r="G200" s="177"/>
      <c r="H200" s="177"/>
      <c r="I200" s="177"/>
      <c r="J200" s="177"/>
      <c r="K200" s="177">
        <v>7.9000000000000001E-2</v>
      </c>
      <c r="L200" s="177">
        <v>7.9000000000000001E-2</v>
      </c>
      <c r="M200" s="177">
        <v>8.4000000000000005E-2</v>
      </c>
      <c r="N200" s="177">
        <v>8.5000000000000006E-2</v>
      </c>
      <c r="O200" s="177">
        <v>8.5000000000000006E-2</v>
      </c>
      <c r="P200" s="177">
        <v>8.5999999999999993E-2</v>
      </c>
      <c r="Q200" s="177">
        <f>0.087+0.207</f>
        <v>0.29399999999999998</v>
      </c>
      <c r="R200" s="177">
        <f>0.087+0.207</f>
        <v>0.29399999999999998</v>
      </c>
      <c r="S200" s="177">
        <f>0.154+0.143</f>
        <v>0.29699999999999999</v>
      </c>
      <c r="T200" s="177">
        <f>0.184+0.116</f>
        <v>0.3</v>
      </c>
      <c r="U200" s="177">
        <f>0.233+0.069</f>
        <v>0.30200000000000005</v>
      </c>
      <c r="V200" s="177">
        <f>0.249+0.055</f>
        <v>0.30399999999999999</v>
      </c>
      <c r="W200" s="177">
        <f>0.256+0.051</f>
        <v>0.307</v>
      </c>
      <c r="X200" s="177">
        <f>0.263+0.046</f>
        <v>0.309</v>
      </c>
      <c r="Y200" s="177">
        <f>0.273+0.045</f>
        <v>0.318</v>
      </c>
      <c r="Z200" s="177">
        <f>0.277+0.044</f>
        <v>0.32100000000000001</v>
      </c>
      <c r="AA200" s="177">
        <f>0.28+0.043</f>
        <v>0.32300000000000001</v>
      </c>
      <c r="AB200" s="177">
        <f>0.282+0.043</f>
        <v>0.32499999999999996</v>
      </c>
      <c r="AC200" s="7">
        <f t="shared" ref="AC200:AL200" si="175">AB200+AC162</f>
        <v>0.32499999999999996</v>
      </c>
      <c r="AD200" s="7">
        <f t="shared" si="175"/>
        <v>0.32499999999999996</v>
      </c>
      <c r="AE200" s="7">
        <f t="shared" si="175"/>
        <v>0.32499999999999996</v>
      </c>
      <c r="AF200" s="7">
        <f t="shared" si="175"/>
        <v>0.32499999999999996</v>
      </c>
      <c r="AG200" s="7">
        <f t="shared" si="175"/>
        <v>0.32499999999999996</v>
      </c>
      <c r="AH200" s="7">
        <f t="shared" si="175"/>
        <v>0.32499999999999996</v>
      </c>
      <c r="AI200" s="7">
        <f t="shared" si="175"/>
        <v>0.32499999999999996</v>
      </c>
      <c r="AJ200" s="7">
        <f t="shared" si="175"/>
        <v>0.32499999999999996</v>
      </c>
      <c r="AK200" s="7">
        <f t="shared" si="175"/>
        <v>0.32499999999999996</v>
      </c>
      <c r="AL200" s="7">
        <f t="shared" si="175"/>
        <v>0.32499999999999996</v>
      </c>
      <c r="AM200" s="7"/>
    </row>
    <row r="201" spans="1:39" outlineLevel="1">
      <c r="A201" s="96" t="s">
        <v>436</v>
      </c>
      <c r="D201" s="59" t="s">
        <v>362</v>
      </c>
      <c r="G201" s="177"/>
      <c r="H201" s="177"/>
      <c r="I201" s="177"/>
      <c r="J201" s="177"/>
      <c r="K201" s="177">
        <v>181.54599999999999</v>
      </c>
      <c r="L201" s="177">
        <v>181.54599999999999</v>
      </c>
      <c r="M201" s="177">
        <v>331.52100000000002</v>
      </c>
      <c r="N201" s="177">
        <v>331.52100000000002</v>
      </c>
      <c r="O201" s="177">
        <v>331.52100000000002</v>
      </c>
      <c r="P201" s="177">
        <v>331.52100000000002</v>
      </c>
      <c r="Q201" s="177">
        <v>0</v>
      </c>
      <c r="R201" s="177">
        <v>0</v>
      </c>
      <c r="S201" s="177">
        <v>0</v>
      </c>
      <c r="T201" s="177">
        <v>0</v>
      </c>
      <c r="U201" s="177">
        <v>0</v>
      </c>
      <c r="V201" s="177">
        <v>0</v>
      </c>
      <c r="W201" s="177">
        <v>0</v>
      </c>
      <c r="X201" s="177">
        <v>0</v>
      </c>
      <c r="Y201" s="177">
        <v>0</v>
      </c>
      <c r="Z201" s="177">
        <v>0</v>
      </c>
      <c r="AA201" s="177">
        <v>0</v>
      </c>
      <c r="AB201" s="177">
        <v>0</v>
      </c>
      <c r="AC201" s="7">
        <f t="shared" ref="AC201:AL201" si="176">AB201</f>
        <v>0</v>
      </c>
      <c r="AD201" s="7">
        <f t="shared" si="176"/>
        <v>0</v>
      </c>
      <c r="AE201" s="7">
        <f t="shared" si="176"/>
        <v>0</v>
      </c>
      <c r="AF201" s="7">
        <f t="shared" si="176"/>
        <v>0</v>
      </c>
      <c r="AG201" s="7">
        <f t="shared" si="176"/>
        <v>0</v>
      </c>
      <c r="AH201" s="7">
        <f t="shared" si="176"/>
        <v>0</v>
      </c>
      <c r="AI201" s="7">
        <f t="shared" si="176"/>
        <v>0</v>
      </c>
      <c r="AJ201" s="7">
        <f t="shared" si="176"/>
        <v>0</v>
      </c>
      <c r="AK201" s="7">
        <f t="shared" si="176"/>
        <v>0</v>
      </c>
      <c r="AL201" s="7">
        <f t="shared" si="176"/>
        <v>0</v>
      </c>
      <c r="AM201" s="7"/>
    </row>
    <row r="202" spans="1:39" outlineLevel="1">
      <c r="A202" s="96" t="s">
        <v>437</v>
      </c>
      <c r="D202" s="59" t="s">
        <v>352</v>
      </c>
      <c r="G202" s="177"/>
      <c r="H202" s="177"/>
      <c r="I202" s="177"/>
      <c r="J202" s="177"/>
      <c r="K202" s="177">
        <f>50.25-120.182-0.103</f>
        <v>-70.034999999999997</v>
      </c>
      <c r="L202" s="177">
        <f>51.816-141.202-0.064</f>
        <v>-89.449999999999989</v>
      </c>
      <c r="M202" s="177">
        <f>80.502-179.191-0.066</f>
        <v>-98.75500000000001</v>
      </c>
      <c r="N202" s="177">
        <f>82.345-195.878-0.057</f>
        <v>-113.58999999999999</v>
      </c>
      <c r="O202" s="177">
        <f>84.668-212.992+0.015</f>
        <v>-128.309</v>
      </c>
      <c r="P202" s="177">
        <f>87.111-232.698+0.066</f>
        <v>-145.52099999999999</v>
      </c>
      <c r="Q202" s="177">
        <f>1013.582-273.551+0.073</f>
        <v>740.10399999999993</v>
      </c>
      <c r="R202" s="177">
        <f>1027.179-301.706+0.061</f>
        <v>725.53400000000011</v>
      </c>
      <c r="S202" s="177">
        <f>1038.544-333.896+1.407</f>
        <v>706.05500000000018</v>
      </c>
      <c r="T202" s="177">
        <f>1194.125-360.031+1.224</f>
        <v>835.3180000000001</v>
      </c>
      <c r="U202" s="177">
        <f>1212.074-386.499+0.57</f>
        <v>826.1450000000001</v>
      </c>
      <c r="V202" s="177">
        <f>1236.993-420.52+0.163</f>
        <v>816.63599999999997</v>
      </c>
      <c r="W202" s="177">
        <f>1264.182-460.483+0.034</f>
        <v>803.73300000000006</v>
      </c>
      <c r="X202" s="177">
        <f>1296.824-495.993-0.044</f>
        <v>800.78700000000015</v>
      </c>
      <c r="Y202" s="177">
        <f>1456.371-603.328-0.211</f>
        <v>852.83200000000011</v>
      </c>
      <c r="Z202" s="177">
        <f>4.439+1494.512-680.829-2.645</f>
        <v>815.47700000000009</v>
      </c>
      <c r="AA202" s="177">
        <f>1215.79-687.891-12.745</f>
        <v>515.154</v>
      </c>
      <c r="AB202" s="177">
        <f>1347.671-751.428-16.078</f>
        <v>580.16500000000008</v>
      </c>
      <c r="AC202" s="7">
        <f t="shared" ref="AC202:AL202" si="177">AB202+AC163+AC124+AC138</f>
        <v>559.0125586600044</v>
      </c>
      <c r="AD202" s="7">
        <f t="shared" ca="1" si="177"/>
        <v>539.79332335412494</v>
      </c>
      <c r="AE202" s="7">
        <f t="shared" ca="1" si="177"/>
        <v>522.23538921201418</v>
      </c>
      <c r="AF202" s="7">
        <f t="shared" ca="1" si="177"/>
        <v>506.85596691580531</v>
      </c>
      <c r="AG202" s="7">
        <f t="shared" ca="1" si="177"/>
        <v>493.11631842515487</v>
      </c>
      <c r="AH202" s="7">
        <f t="shared" ca="1" si="177"/>
        <v>481.96836237369968</v>
      </c>
      <c r="AI202" s="7">
        <f t="shared" ca="1" si="177"/>
        <v>472.21224235771325</v>
      </c>
      <c r="AJ202" s="7">
        <f t="shared" ca="1" si="177"/>
        <v>465.54445451210285</v>
      </c>
      <c r="AK202" s="7">
        <f t="shared" ca="1" si="177"/>
        <v>461.37089931178701</v>
      </c>
      <c r="AL202" s="7">
        <f t="shared" ca="1" si="177"/>
        <v>463.61808450901293</v>
      </c>
      <c r="AM202" s="7"/>
    </row>
    <row r="203" spans="1:39" s="3" customFormat="1" outlineLevel="1">
      <c r="A203" s="96"/>
      <c r="D203" s="193" t="s">
        <v>146</v>
      </c>
      <c r="E203" s="193"/>
      <c r="F203" s="193"/>
      <c r="G203" s="211"/>
      <c r="H203" s="211"/>
      <c r="I203" s="211"/>
      <c r="J203" s="211"/>
      <c r="K203" s="211">
        <f t="shared" ref="K203:AL203" si="178">SUM(K199:K202)</f>
        <v>169.30699999999999</v>
      </c>
      <c r="L203" s="211">
        <f t="shared" si="178"/>
        <v>157.37799999999999</v>
      </c>
      <c r="M203" s="211">
        <f t="shared" si="178"/>
        <v>308.47900000000004</v>
      </c>
      <c r="N203" s="211">
        <f t="shared" si="178"/>
        <v>298.38000000000005</v>
      </c>
      <c r="O203" s="211">
        <f t="shared" si="178"/>
        <v>295.46100000000001</v>
      </c>
      <c r="P203" s="211">
        <f t="shared" si="178"/>
        <v>286.85900000000004</v>
      </c>
      <c r="Q203" s="211">
        <f t="shared" si="178"/>
        <v>839.84699999999998</v>
      </c>
      <c r="R203" s="211">
        <f t="shared" si="178"/>
        <v>830.82400000000007</v>
      </c>
      <c r="S203" s="211">
        <f t="shared" si="178"/>
        <v>858.53100000000018</v>
      </c>
      <c r="T203" s="211">
        <f t="shared" si="178"/>
        <v>1364.0550000000003</v>
      </c>
      <c r="U203" s="211">
        <f t="shared" si="178"/>
        <v>1371.2249999999999</v>
      </c>
      <c r="V203" s="211">
        <f t="shared" si="178"/>
        <v>1380.6509999999998</v>
      </c>
      <c r="W203" s="211">
        <f t="shared" si="178"/>
        <v>1405.5260000000001</v>
      </c>
      <c r="X203" s="211">
        <f t="shared" si="178"/>
        <v>1445.9320000000002</v>
      </c>
      <c r="Y203" s="211">
        <f t="shared" si="178"/>
        <v>2315.5140000000001</v>
      </c>
      <c r="Z203" s="211">
        <f t="shared" si="178"/>
        <v>2372.0709999999999</v>
      </c>
      <c r="AA203" s="211">
        <f t="shared" si="178"/>
        <v>2353.9489999999996</v>
      </c>
      <c r="AB203" s="211">
        <f t="shared" si="178"/>
        <v>2468.4589999999998</v>
      </c>
      <c r="AC203" s="211">
        <f t="shared" si="178"/>
        <v>2485.2063595880777</v>
      </c>
      <c r="AD203" s="211">
        <f t="shared" ca="1" si="178"/>
        <v>2472.1134098355215</v>
      </c>
      <c r="AE203" s="211">
        <f t="shared" ca="1" si="178"/>
        <v>2491.5886090142062</v>
      </c>
      <c r="AF203" s="211">
        <f t="shared" ca="1" si="178"/>
        <v>2492.199140183202</v>
      </c>
      <c r="AG203" s="211">
        <f t="shared" ca="1" si="178"/>
        <v>2507.9610970225576</v>
      </c>
      <c r="AH203" s="211">
        <f t="shared" ca="1" si="178"/>
        <v>2517.4770487105766</v>
      </c>
      <c r="AI203" s="211">
        <f t="shared" ca="1" si="178"/>
        <v>2528.5168615744474</v>
      </c>
      <c r="AJ203" s="211">
        <f t="shared" ca="1" si="178"/>
        <v>2554.1125372700253</v>
      </c>
      <c r="AK203" s="211">
        <f t="shared" ca="1" si="178"/>
        <v>2562.913675088314</v>
      </c>
      <c r="AL203" s="211">
        <f t="shared" ca="1" si="178"/>
        <v>2604.5167363985665</v>
      </c>
      <c r="AM203" s="53"/>
    </row>
    <row r="204" spans="1:39" s="83" customFormat="1" outlineLevel="1">
      <c r="A204" s="98"/>
      <c r="D204" s="73" t="s">
        <v>116</v>
      </c>
      <c r="G204" s="57"/>
      <c r="H204" s="57"/>
      <c r="I204" s="57"/>
      <c r="J204" s="57"/>
      <c r="K204" s="74" t="b">
        <f t="shared" ref="K204:AL204" si="179">ABS(K203-K186)&lt;0.001</f>
        <v>1</v>
      </c>
      <c r="L204" s="74" t="b">
        <f t="shared" si="179"/>
        <v>1</v>
      </c>
      <c r="M204" s="74" t="b">
        <f t="shared" si="179"/>
        <v>1</v>
      </c>
      <c r="N204" s="74" t="b">
        <f t="shared" si="179"/>
        <v>1</v>
      </c>
      <c r="O204" s="74" t="b">
        <f t="shared" si="179"/>
        <v>1</v>
      </c>
      <c r="P204" s="74" t="b">
        <f t="shared" si="179"/>
        <v>1</v>
      </c>
      <c r="Q204" s="74" t="b">
        <f t="shared" si="179"/>
        <v>1</v>
      </c>
      <c r="R204" s="74" t="b">
        <f t="shared" si="179"/>
        <v>1</v>
      </c>
      <c r="S204" s="74" t="b">
        <f t="shared" si="179"/>
        <v>1</v>
      </c>
      <c r="T204" s="74" t="b">
        <f t="shared" si="179"/>
        <v>1</v>
      </c>
      <c r="U204" s="74" t="b">
        <f t="shared" si="179"/>
        <v>1</v>
      </c>
      <c r="V204" s="74" t="b">
        <f t="shared" si="179"/>
        <v>1</v>
      </c>
      <c r="W204" s="74" t="b">
        <f t="shared" si="179"/>
        <v>1</v>
      </c>
      <c r="X204" s="74" t="b">
        <f t="shared" si="179"/>
        <v>1</v>
      </c>
      <c r="Y204" s="74" t="b">
        <f t="shared" si="179"/>
        <v>1</v>
      </c>
      <c r="Z204" s="74" t="b">
        <f t="shared" si="179"/>
        <v>1</v>
      </c>
      <c r="AA204" s="74" t="b">
        <f>ABS(AA203-AA186)&lt;0.001</f>
        <v>1</v>
      </c>
      <c r="AB204" s="74" t="b">
        <f>ABS(AB203-AB186)&lt;0.001</f>
        <v>1</v>
      </c>
      <c r="AC204" s="74" t="b">
        <f t="shared" si="179"/>
        <v>1</v>
      </c>
      <c r="AD204" s="74" t="b">
        <f t="shared" ca="1" si="179"/>
        <v>1</v>
      </c>
      <c r="AE204" s="74" t="b">
        <f t="shared" ca="1" si="179"/>
        <v>1</v>
      </c>
      <c r="AF204" s="74" t="b">
        <f t="shared" ca="1" si="179"/>
        <v>1</v>
      </c>
      <c r="AG204" s="74" t="b">
        <f t="shared" ca="1" si="179"/>
        <v>1</v>
      </c>
      <c r="AH204" s="74" t="b">
        <f t="shared" ca="1" si="179"/>
        <v>1</v>
      </c>
      <c r="AI204" s="74" t="b">
        <f t="shared" ca="1" si="179"/>
        <v>1</v>
      </c>
      <c r="AJ204" s="74" t="b">
        <f t="shared" ca="1" si="179"/>
        <v>1</v>
      </c>
      <c r="AK204" s="74" t="b">
        <f t="shared" ca="1" si="179"/>
        <v>1</v>
      </c>
      <c r="AL204" s="74" t="b">
        <f t="shared" ca="1" si="179"/>
        <v>1</v>
      </c>
      <c r="AM204" s="82"/>
    </row>
    <row r="205" spans="1:39" outlineLevel="1">
      <c r="G205" s="57"/>
      <c r="H205" s="57"/>
      <c r="I205" s="57"/>
      <c r="J205" s="57"/>
      <c r="K205" s="57"/>
      <c r="L205" s="57"/>
      <c r="M205" s="57"/>
      <c r="N205" s="57"/>
      <c r="O205" s="57"/>
      <c r="P205" s="57"/>
      <c r="Q205" s="57"/>
      <c r="R205" s="57"/>
      <c r="S205" s="57"/>
      <c r="T205" s="57"/>
      <c r="U205" s="57"/>
      <c r="V205" s="57"/>
      <c r="W205" s="57"/>
      <c r="X205" s="57"/>
      <c r="Y205" s="57"/>
      <c r="Z205" s="57"/>
      <c r="AA205" s="57"/>
      <c r="AB205" s="57"/>
      <c r="AC205" s="57"/>
      <c r="AD205" s="57"/>
      <c r="AE205" s="57"/>
      <c r="AF205" s="57"/>
      <c r="AG205" s="57"/>
      <c r="AH205" s="57"/>
      <c r="AI205" s="57"/>
      <c r="AJ205" s="57"/>
      <c r="AK205" s="57"/>
      <c r="AL205" s="57"/>
      <c r="AM205" s="7"/>
    </row>
    <row r="206" spans="1:39" outlineLevel="1">
      <c r="D206" t="s">
        <v>147</v>
      </c>
      <c r="G206" s="7"/>
      <c r="H206" s="7"/>
      <c r="I206" s="7"/>
      <c r="J206" s="7"/>
      <c r="K206" s="7">
        <f t="shared" ref="K206:AL206" si="180">SUM(K176:K178)-SUM(K189:K192)</f>
        <v>-14.992999999999999</v>
      </c>
      <c r="L206" s="7">
        <f t="shared" si="180"/>
        <v>-18.506999999999998</v>
      </c>
      <c r="M206" s="7">
        <f t="shared" si="180"/>
        <v>-23.634999999999998</v>
      </c>
      <c r="N206" s="7">
        <f t="shared" si="180"/>
        <v>-25.044000000000004</v>
      </c>
      <c r="O206" s="7">
        <f t="shared" si="180"/>
        <v>-28.411000000000016</v>
      </c>
      <c r="P206" s="7">
        <f t="shared" si="180"/>
        <v>-36.096000000000004</v>
      </c>
      <c r="Q206" s="7">
        <f t="shared" si="180"/>
        <v>-26.529000000000011</v>
      </c>
      <c r="R206" s="7">
        <f t="shared" si="180"/>
        <v>-30.95900000000001</v>
      </c>
      <c r="S206" s="7">
        <f t="shared" si="180"/>
        <v>-48.533999999999992</v>
      </c>
      <c r="T206" s="7">
        <f t="shared" si="180"/>
        <v>-57.713999999999999</v>
      </c>
      <c r="U206" s="7">
        <f t="shared" si="180"/>
        <v>-54.921999999999997</v>
      </c>
      <c r="V206" s="7">
        <f t="shared" si="180"/>
        <v>-43.519000000000005</v>
      </c>
      <c r="W206" s="7">
        <f t="shared" si="180"/>
        <v>-63.502000000000024</v>
      </c>
      <c r="X206" s="7">
        <f t="shared" si="180"/>
        <v>-88.064999999999984</v>
      </c>
      <c r="Y206" s="7">
        <f t="shared" si="180"/>
        <v>-110.25699999999999</v>
      </c>
      <c r="Z206" s="7">
        <f t="shared" si="180"/>
        <v>-144.87200000000004</v>
      </c>
      <c r="AA206" s="7">
        <f>SUM(AA176:AA178)-SUM(AA189:AA192)</f>
        <v>-107.04599999999999</v>
      </c>
      <c r="AB206" s="7">
        <f>SUM(AB176:AB178)-SUM(AB189:AB192)</f>
        <v>-160.64899999999997</v>
      </c>
      <c r="AC206" s="7">
        <f t="shared" si="180"/>
        <v>-184.23022053722801</v>
      </c>
      <c r="AD206" s="7">
        <f t="shared" si="180"/>
        <v>-190.73802703488195</v>
      </c>
      <c r="AE206" s="7">
        <f t="shared" si="180"/>
        <v>-204.3256537167623</v>
      </c>
      <c r="AF206" s="7">
        <f t="shared" si="180"/>
        <v>-216.30558140262042</v>
      </c>
      <c r="AG206" s="7">
        <f t="shared" si="180"/>
        <v>-228.57118491252697</v>
      </c>
      <c r="AH206" s="7">
        <f t="shared" si="180"/>
        <v>-241.57481327662086</v>
      </c>
      <c r="AI206" s="7">
        <f t="shared" si="180"/>
        <v>-251.77068108599784</v>
      </c>
      <c r="AJ206" s="7">
        <f t="shared" si="180"/>
        <v>-268.94245577945765</v>
      </c>
      <c r="AK206" s="7">
        <f t="shared" si="180"/>
        <v>-278.40660332456895</v>
      </c>
      <c r="AL206" s="7">
        <f t="shared" si="180"/>
        <v>-296.76370835505105</v>
      </c>
      <c r="AM206" s="7"/>
    </row>
    <row r="207" spans="1:39" outlineLevel="1">
      <c r="D207" s="59" t="s">
        <v>213</v>
      </c>
      <c r="G207" s="76"/>
      <c r="H207" s="76"/>
      <c r="I207" s="76"/>
      <c r="J207" s="76"/>
      <c r="K207" s="76">
        <f t="shared" ref="K207:AL207" si="181">IFERROR(+K206/(K104*4),"na")</f>
        <v>-8.9619596403978569E-2</v>
      </c>
      <c r="L207" s="76">
        <f t="shared" si="181"/>
        <v>-0.10217861796338419</v>
      </c>
      <c r="M207" s="76">
        <f t="shared" si="181"/>
        <v>-0.11800978629918113</v>
      </c>
      <c r="N207" s="76">
        <f t="shared" si="181"/>
        <v>-0.11281284347465721</v>
      </c>
      <c r="O207" s="76">
        <f t="shared" si="181"/>
        <v>-0.11506715051760176</v>
      </c>
      <c r="P207" s="76">
        <f t="shared" si="181"/>
        <v>-0.13383958234456572</v>
      </c>
      <c r="Q207" s="76">
        <f t="shared" si="181"/>
        <v>-8.9696514788818141E-2</v>
      </c>
      <c r="R207" s="76">
        <f t="shared" si="181"/>
        <v>-9.2216728225902558E-2</v>
      </c>
      <c r="S207" s="76">
        <f t="shared" si="181"/>
        <v>-0.13296986301369862</v>
      </c>
      <c r="T207" s="76">
        <f t="shared" si="181"/>
        <v>-0.14468868142116503</v>
      </c>
      <c r="U207" s="76">
        <f t="shared" si="181"/>
        <v>-0.12027206951525024</v>
      </c>
      <c r="V207" s="76">
        <f t="shared" si="181"/>
        <v>-8.6397963883550671E-2</v>
      </c>
      <c r="W207" s="76">
        <f t="shared" si="181"/>
        <v>-0.11499402412082145</v>
      </c>
      <c r="X207" s="76">
        <f t="shared" si="181"/>
        <v>-0.14443704568714408</v>
      </c>
      <c r="Y207" s="76">
        <f t="shared" si="181"/>
        <v>-0.15993460866739773</v>
      </c>
      <c r="Z207" s="76">
        <f t="shared" si="181"/>
        <v>-0.18708031157668553</v>
      </c>
      <c r="AA207" s="76">
        <f t="shared" si="181"/>
        <v>-0.12613413018989758</v>
      </c>
      <c r="AB207" s="76">
        <f>IFERROR(+AB206/(AB104*4),"na")</f>
        <v>-0.17125517553098493</v>
      </c>
      <c r="AC207" s="76">
        <f t="shared" si="181"/>
        <v>-0.18088384569727683</v>
      </c>
      <c r="AD207" s="76">
        <f t="shared" si="181"/>
        <v>-0.17550148380672759</v>
      </c>
      <c r="AE207" s="76">
        <f t="shared" si="181"/>
        <v>-0.17564441345278681</v>
      </c>
      <c r="AF207" s="76">
        <f t="shared" si="181"/>
        <v>-0.17089309817615084</v>
      </c>
      <c r="AG207" s="76">
        <f t="shared" si="181"/>
        <v>-0.16968994214788824</v>
      </c>
      <c r="AH207" s="76">
        <f t="shared" si="181"/>
        <v>-0.16608612094695321</v>
      </c>
      <c r="AI207" s="76">
        <f t="shared" si="181"/>
        <v>-0.16378706016376024</v>
      </c>
      <c r="AJ207" s="76">
        <f t="shared" si="181"/>
        <v>-0.16142147804907778</v>
      </c>
      <c r="AK207" s="76">
        <f t="shared" si="181"/>
        <v>-0.15785334147334001</v>
      </c>
      <c r="AL207" s="76">
        <f t="shared" si="181"/>
        <v>-0.15639487024979126</v>
      </c>
      <c r="AM207" s="7"/>
    </row>
    <row r="208" spans="1:39" outlineLevel="1">
      <c r="D208" t="s">
        <v>549</v>
      </c>
      <c r="G208" s="76"/>
      <c r="H208" s="76"/>
      <c r="I208" s="76"/>
      <c r="J208" s="76"/>
      <c r="K208" s="7">
        <f t="shared" ref="K208:Z208" si="182">+(K176+K178-K189-K192)</f>
        <v>2.1290000000000013</v>
      </c>
      <c r="L208" s="7">
        <f t="shared" si="182"/>
        <v>-1.6770000000000014</v>
      </c>
      <c r="M208" s="7">
        <f t="shared" si="182"/>
        <v>-7.8140000000000018</v>
      </c>
      <c r="N208" s="7">
        <f t="shared" si="182"/>
        <v>-9.7790000000000035</v>
      </c>
      <c r="O208" s="7">
        <f t="shared" si="182"/>
        <v>-6.5740000000000052</v>
      </c>
      <c r="P208" s="7">
        <f t="shared" si="182"/>
        <v>-11.043999999999999</v>
      </c>
      <c r="Q208" s="7">
        <f t="shared" si="182"/>
        <v>1.8359999999999967</v>
      </c>
      <c r="R208" s="7">
        <f t="shared" si="182"/>
        <v>-2.1790000000000038</v>
      </c>
      <c r="S208" s="7">
        <f t="shared" si="182"/>
        <v>3.7920000000000016</v>
      </c>
      <c r="T208" s="7">
        <f t="shared" si="182"/>
        <v>0.71999999999999886</v>
      </c>
      <c r="U208" s="7">
        <f t="shared" si="182"/>
        <v>8.6920000000000091</v>
      </c>
      <c r="V208" s="7">
        <f t="shared" si="182"/>
        <v>25.605000000000011</v>
      </c>
      <c r="W208" s="7">
        <f t="shared" si="182"/>
        <v>17.245999999999992</v>
      </c>
      <c r="X208" s="7">
        <f t="shared" si="182"/>
        <v>6.5459999999999958</v>
      </c>
      <c r="Y208" s="7">
        <f t="shared" si="182"/>
        <v>0.55899999999999306</v>
      </c>
      <c r="Z208" s="7">
        <f t="shared" si="182"/>
        <v>-9.2299999999999791</v>
      </c>
      <c r="AA208" s="7">
        <f>+(AA176+AA178-AA189-AA192)</f>
        <v>45.579999999999991</v>
      </c>
      <c r="AB208" s="7">
        <f>+(AB176+AB178-AB189-AB192)</f>
        <v>16.264999999999993</v>
      </c>
      <c r="AC208" s="164">
        <f t="shared" ref="AC208:AL208" si="183">+(AC104*4)*AC209</f>
        <v>5.0925006549659386</v>
      </c>
      <c r="AD208" s="164">
        <f t="shared" si="183"/>
        <v>5.4340858805767631</v>
      </c>
      <c r="AE208" s="164">
        <f t="shared" si="183"/>
        <v>5.8164575149349966</v>
      </c>
      <c r="AF208" s="164">
        <f t="shared" si="183"/>
        <v>6.3286810207999133</v>
      </c>
      <c r="AG208" s="164">
        <f t="shared" si="183"/>
        <v>6.734965609020084</v>
      </c>
      <c r="AH208" s="164">
        <f t="shared" si="183"/>
        <v>7.2725767782179176</v>
      </c>
      <c r="AI208" s="164">
        <f t="shared" si="183"/>
        <v>7.6859148956660066</v>
      </c>
      <c r="AJ208" s="164">
        <f t="shared" si="183"/>
        <v>8.3304421143291023</v>
      </c>
      <c r="AK208" s="164">
        <f t="shared" si="183"/>
        <v>8.8185210628432991</v>
      </c>
      <c r="AL208" s="164">
        <f t="shared" si="183"/>
        <v>9.4876420141231321</v>
      </c>
      <c r="AM208" s="7"/>
    </row>
    <row r="209" spans="1:39" outlineLevel="1">
      <c r="D209" s="59" t="s">
        <v>550</v>
      </c>
      <c r="G209" s="76"/>
      <c r="H209" s="76"/>
      <c r="I209" s="76"/>
      <c r="J209" s="76"/>
      <c r="K209" s="76">
        <f t="shared" ref="K209:AA209" si="184">K208/(K104*4)</f>
        <v>1.2725946824789603E-2</v>
      </c>
      <c r="L209" s="76">
        <f t="shared" si="184"/>
        <v>-9.2588502904087881E-3</v>
      </c>
      <c r="M209" s="76">
        <f t="shared" si="184"/>
        <v>-3.9015378470141811E-2</v>
      </c>
      <c r="N209" s="76">
        <f t="shared" si="184"/>
        <v>-4.4050343249427928E-2</v>
      </c>
      <c r="O209" s="76">
        <f t="shared" si="184"/>
        <v>-2.6625301731819161E-2</v>
      </c>
      <c r="P209" s="76">
        <f t="shared" si="184"/>
        <v>-4.0949810156620782E-2</v>
      </c>
      <c r="Q209" s="76">
        <f t="shared" si="184"/>
        <v>6.2076520469022487E-3</v>
      </c>
      <c r="R209" s="76">
        <f t="shared" si="184"/>
        <v>-6.4905278208030612E-3</v>
      </c>
      <c r="S209" s="76">
        <f t="shared" si="184"/>
        <v>1.0389041095890415E-2</v>
      </c>
      <c r="T209" s="76">
        <f t="shared" si="184"/>
        <v>1.8050360505811184E-3</v>
      </c>
      <c r="U209" s="76">
        <f t="shared" si="184"/>
        <v>1.9034354688950809E-2</v>
      </c>
      <c r="V209" s="76">
        <f t="shared" si="184"/>
        <v>5.0833425980337681E-2</v>
      </c>
      <c r="W209" s="76">
        <f t="shared" si="184"/>
        <v>3.1230306761797819E-2</v>
      </c>
      <c r="X209" s="76">
        <f t="shared" si="184"/>
        <v>1.0736216443173163E-2</v>
      </c>
      <c r="Y209" s="76">
        <f t="shared" si="184"/>
        <v>8.1086412876347287E-4</v>
      </c>
      <c r="Z209" s="76">
        <f t="shared" si="184"/>
        <v>-1.1919151222132662E-2</v>
      </c>
      <c r="AA209" s="76">
        <f t="shared" si="184"/>
        <v>5.3707692525227758E-2</v>
      </c>
      <c r="AB209" s="76">
        <f>AB208/(AB104*4)</f>
        <v>1.7338828315218081E-2</v>
      </c>
      <c r="AC209" s="166">
        <v>5.0000000000000001E-3</v>
      </c>
      <c r="AD209" s="166">
        <f t="shared" ref="AD209:AL209" si="185">AC209</f>
        <v>5.0000000000000001E-3</v>
      </c>
      <c r="AE209" s="166">
        <f t="shared" si="185"/>
        <v>5.0000000000000001E-3</v>
      </c>
      <c r="AF209" s="166">
        <f t="shared" si="185"/>
        <v>5.0000000000000001E-3</v>
      </c>
      <c r="AG209" s="166">
        <f t="shared" si="185"/>
        <v>5.0000000000000001E-3</v>
      </c>
      <c r="AH209" s="166">
        <f t="shared" si="185"/>
        <v>5.0000000000000001E-3</v>
      </c>
      <c r="AI209" s="166">
        <f t="shared" si="185"/>
        <v>5.0000000000000001E-3</v>
      </c>
      <c r="AJ209" s="166">
        <f t="shared" si="185"/>
        <v>5.0000000000000001E-3</v>
      </c>
      <c r="AK209" s="166">
        <f t="shared" si="185"/>
        <v>5.0000000000000001E-3</v>
      </c>
      <c r="AL209" s="166">
        <f t="shared" si="185"/>
        <v>5.0000000000000001E-3</v>
      </c>
      <c r="AM209" s="7"/>
    </row>
    <row r="210" spans="1:39" outlineLevel="1">
      <c r="G210" s="57"/>
      <c r="H210" s="57"/>
      <c r="I210" s="57"/>
      <c r="J210" s="57"/>
      <c r="K210" s="57"/>
      <c r="L210" s="57"/>
      <c r="M210" s="57"/>
      <c r="N210" s="57"/>
      <c r="O210" s="57"/>
      <c r="P210" s="57"/>
      <c r="Q210" s="57"/>
      <c r="R210" s="57"/>
      <c r="S210" s="57"/>
      <c r="T210" s="57"/>
      <c r="U210" s="7"/>
      <c r="V210" s="7"/>
      <c r="W210" s="7"/>
      <c r="X210" s="7"/>
      <c r="Y210" s="7"/>
      <c r="Z210" s="7"/>
      <c r="AA210" s="7"/>
      <c r="AB210" s="7"/>
      <c r="AC210" s="7"/>
      <c r="AD210" s="7"/>
      <c r="AE210" s="7"/>
      <c r="AF210" s="7"/>
      <c r="AG210" s="7"/>
      <c r="AH210" s="7"/>
      <c r="AI210" s="7"/>
      <c r="AJ210" s="7"/>
      <c r="AK210" s="7"/>
      <c r="AL210" s="7"/>
      <c r="AM210" s="7"/>
    </row>
    <row r="211" spans="1:39" outlineLevel="1">
      <c r="D211" t="s">
        <v>551</v>
      </c>
      <c r="G211" s="7"/>
      <c r="H211" s="7"/>
      <c r="I211" s="7"/>
      <c r="J211" s="7"/>
      <c r="K211" s="7">
        <f t="shared" ref="K211:Z211" si="186">(+K208-J208)</f>
        <v>2.1290000000000013</v>
      </c>
      <c r="L211" s="7">
        <f t="shared" si="186"/>
        <v>-3.8060000000000027</v>
      </c>
      <c r="M211" s="7">
        <f t="shared" si="186"/>
        <v>-6.1370000000000005</v>
      </c>
      <c r="N211" s="7">
        <f t="shared" si="186"/>
        <v>-1.9650000000000016</v>
      </c>
      <c r="O211" s="7">
        <f t="shared" si="186"/>
        <v>3.2049999999999983</v>
      </c>
      <c r="P211" s="7">
        <f t="shared" si="186"/>
        <v>-4.4699999999999935</v>
      </c>
      <c r="Q211" s="7">
        <f t="shared" si="186"/>
        <v>12.879999999999995</v>
      </c>
      <c r="R211" s="7">
        <f t="shared" si="186"/>
        <v>-4.0150000000000006</v>
      </c>
      <c r="S211" s="7">
        <f t="shared" si="186"/>
        <v>5.9710000000000054</v>
      </c>
      <c r="T211" s="7">
        <f t="shared" si="186"/>
        <v>-3.0720000000000027</v>
      </c>
      <c r="U211" s="7">
        <f t="shared" si="186"/>
        <v>7.9720000000000102</v>
      </c>
      <c r="V211" s="7">
        <f t="shared" si="186"/>
        <v>16.913000000000004</v>
      </c>
      <c r="W211" s="7">
        <f t="shared" si="186"/>
        <v>-8.3590000000000195</v>
      </c>
      <c r="X211" s="7">
        <f t="shared" si="186"/>
        <v>-10.699999999999996</v>
      </c>
      <c r="Y211" s="7">
        <f t="shared" si="186"/>
        <v>-5.9870000000000028</v>
      </c>
      <c r="Z211" s="7">
        <f t="shared" si="186"/>
        <v>-9.7889999999999731</v>
      </c>
      <c r="AA211" s="7">
        <f t="shared" ref="AA211:AL211" si="187">+AA208-Z208</f>
        <v>54.809999999999974</v>
      </c>
      <c r="AB211" s="7">
        <f t="shared" si="187"/>
        <v>-29.314999999999998</v>
      </c>
      <c r="AC211" s="7">
        <f t="shared" si="187"/>
        <v>-11.172499345034055</v>
      </c>
      <c r="AD211" s="7">
        <f t="shared" si="187"/>
        <v>0.34158522561082449</v>
      </c>
      <c r="AE211" s="7">
        <f t="shared" si="187"/>
        <v>0.38237163435823351</v>
      </c>
      <c r="AF211" s="7">
        <f t="shared" si="187"/>
        <v>0.51222350586491672</v>
      </c>
      <c r="AG211" s="7">
        <f t="shared" si="187"/>
        <v>0.40628458822017066</v>
      </c>
      <c r="AH211" s="7">
        <f t="shared" si="187"/>
        <v>0.53761116919783358</v>
      </c>
      <c r="AI211" s="7">
        <f t="shared" si="187"/>
        <v>0.41333811744808902</v>
      </c>
      <c r="AJ211" s="7">
        <f t="shared" si="187"/>
        <v>0.6445272186630957</v>
      </c>
      <c r="AK211" s="7">
        <f t="shared" si="187"/>
        <v>0.48807894851419675</v>
      </c>
      <c r="AL211" s="7">
        <f t="shared" si="187"/>
        <v>0.66912095127983306</v>
      </c>
      <c r="AM211" s="7"/>
    </row>
    <row r="212" spans="1:39" outlineLevel="1">
      <c r="D212" t="s">
        <v>552</v>
      </c>
      <c r="G212" s="7"/>
      <c r="H212" s="7"/>
      <c r="I212" s="7"/>
      <c r="J212" s="7"/>
      <c r="K212" s="7">
        <f t="shared" ref="K212:AL212" si="188">-(K148+(K177-J177))</f>
        <v>-0.64300000000000057</v>
      </c>
      <c r="L212" s="7">
        <f t="shared" si="188"/>
        <v>-0.84400000000000008</v>
      </c>
      <c r="M212" s="7">
        <f t="shared" si="188"/>
        <v>4.0380000000000011</v>
      </c>
      <c r="N212" s="7">
        <f t="shared" si="188"/>
        <v>0.15500000000000003</v>
      </c>
      <c r="O212" s="7">
        <f t="shared" si="188"/>
        <v>5.3399999999999981</v>
      </c>
      <c r="P212" s="7">
        <f t="shared" si="188"/>
        <v>-7.375</v>
      </c>
      <c r="Q212" s="7">
        <f t="shared" si="188"/>
        <v>10.403000000000002</v>
      </c>
      <c r="R212" s="7">
        <f t="shared" si="188"/>
        <v>-1.4400000000000011</v>
      </c>
      <c r="S212" s="7">
        <f t="shared" si="188"/>
        <v>9.91</v>
      </c>
      <c r="T212" s="7">
        <f t="shared" si="188"/>
        <v>-3.6890000000000005</v>
      </c>
      <c r="U212" s="7">
        <f t="shared" si="188"/>
        <v>5.7670000000000012</v>
      </c>
      <c r="V212" s="7">
        <f t="shared" si="188"/>
        <v>15.756999999999996</v>
      </c>
      <c r="W212" s="7">
        <f t="shared" si="188"/>
        <v>-9.5990000000000002</v>
      </c>
      <c r="X212" s="7">
        <f t="shared" si="188"/>
        <v>4.7380000000000013</v>
      </c>
      <c r="Y212" s="7">
        <f t="shared" si="188"/>
        <v>2.2749999999999977</v>
      </c>
      <c r="Z212" s="7">
        <f t="shared" si="188"/>
        <v>-17.438000000000002</v>
      </c>
      <c r="AA212" s="7">
        <f t="shared" si="188"/>
        <v>61.476999999999997</v>
      </c>
      <c r="AB212" s="7">
        <f t="shared" si="188"/>
        <v>-7.9180000000000019</v>
      </c>
      <c r="AC212" s="7">
        <f t="shared" si="188"/>
        <v>-11.172499345034032</v>
      </c>
      <c r="AD212" s="7">
        <f t="shared" si="188"/>
        <v>0.34158522561080584</v>
      </c>
      <c r="AE212" s="7">
        <f t="shared" si="188"/>
        <v>0.38237163435824773</v>
      </c>
      <c r="AF212" s="7">
        <f t="shared" si="188"/>
        <v>0.51222350586491849</v>
      </c>
      <c r="AG212" s="7">
        <f t="shared" si="188"/>
        <v>0.40628458822016</v>
      </c>
      <c r="AH212" s="7">
        <f t="shared" si="188"/>
        <v>0.53761116919785046</v>
      </c>
      <c r="AI212" s="7">
        <f t="shared" si="188"/>
        <v>0.41333811744809168</v>
      </c>
      <c r="AJ212" s="7">
        <f t="shared" si="188"/>
        <v>0.64452721866308949</v>
      </c>
      <c r="AK212" s="7">
        <f t="shared" si="188"/>
        <v>0.48807894851419142</v>
      </c>
      <c r="AL212" s="7">
        <f t="shared" si="188"/>
        <v>0.66912095127983484</v>
      </c>
      <c r="AM212" s="7"/>
    </row>
    <row r="213" spans="1:39" outlineLevel="1">
      <c r="D213" s="73" t="s">
        <v>208</v>
      </c>
      <c r="G213" s="7"/>
      <c r="H213" s="7"/>
      <c r="I213" s="7"/>
      <c r="J213" s="7"/>
      <c r="K213" s="7">
        <f t="shared" ref="K213:AL213" si="189">K211-K212</f>
        <v>2.772000000000002</v>
      </c>
      <c r="L213" s="7">
        <f t="shared" si="189"/>
        <v>-2.9620000000000024</v>
      </c>
      <c r="M213" s="7">
        <f t="shared" si="189"/>
        <v>-10.175000000000001</v>
      </c>
      <c r="N213" s="7">
        <f t="shared" si="189"/>
        <v>-2.1200000000000019</v>
      </c>
      <c r="O213" s="7">
        <f t="shared" si="189"/>
        <v>-2.1349999999999998</v>
      </c>
      <c r="P213" s="7">
        <f t="shared" si="189"/>
        <v>2.9050000000000065</v>
      </c>
      <c r="Q213" s="7">
        <f t="shared" si="189"/>
        <v>2.4769999999999932</v>
      </c>
      <c r="R213" s="7">
        <f t="shared" si="189"/>
        <v>-2.5749999999999993</v>
      </c>
      <c r="S213" s="7">
        <f t="shared" si="189"/>
        <v>-3.9389999999999947</v>
      </c>
      <c r="T213" s="7">
        <f t="shared" si="189"/>
        <v>0.61699999999999777</v>
      </c>
      <c r="U213" s="7">
        <f t="shared" si="189"/>
        <v>2.205000000000009</v>
      </c>
      <c r="V213" s="7">
        <f t="shared" si="189"/>
        <v>1.1560000000000077</v>
      </c>
      <c r="W213" s="7">
        <f t="shared" si="189"/>
        <v>1.2399999999999807</v>
      </c>
      <c r="X213" s="7">
        <f t="shared" si="189"/>
        <v>-15.437999999999997</v>
      </c>
      <c r="Y213" s="7">
        <f t="shared" si="189"/>
        <v>-8.2620000000000005</v>
      </c>
      <c r="Z213" s="7">
        <f t="shared" si="189"/>
        <v>7.6490000000000293</v>
      </c>
      <c r="AA213" s="7">
        <f t="shared" si="189"/>
        <v>-6.6670000000000229</v>
      </c>
      <c r="AB213" s="7">
        <f>AB211-AB212</f>
        <v>-21.396999999999995</v>
      </c>
      <c r="AC213" s="7">
        <f t="shared" si="189"/>
        <v>-2.3092638912203256E-14</v>
      </c>
      <c r="AD213" s="7">
        <f t="shared" si="189"/>
        <v>1.865174681370263E-14</v>
      </c>
      <c r="AE213" s="7">
        <f t="shared" si="189"/>
        <v>-1.4210854715202004E-14</v>
      </c>
      <c r="AF213" s="7">
        <f t="shared" si="189"/>
        <v>-1.7763568394002505E-15</v>
      </c>
      <c r="AG213" s="7">
        <f t="shared" si="189"/>
        <v>1.0658141036401503E-14</v>
      </c>
      <c r="AH213" s="7">
        <f t="shared" si="189"/>
        <v>-1.6875389974302379E-14</v>
      </c>
      <c r="AI213" s="7">
        <f t="shared" si="189"/>
        <v>-2.6645352591003757E-15</v>
      </c>
      <c r="AJ213" s="7">
        <f t="shared" si="189"/>
        <v>6.2172489379008766E-15</v>
      </c>
      <c r="AK213" s="7">
        <f t="shared" si="189"/>
        <v>5.3290705182007514E-15</v>
      </c>
      <c r="AL213" s="7">
        <f t="shared" si="189"/>
        <v>-1.7763568394002505E-15</v>
      </c>
      <c r="AM213" s="7"/>
    </row>
    <row r="214" spans="1:39">
      <c r="A214" s="96"/>
      <c r="G214" s="7"/>
      <c r="H214" s="7"/>
      <c r="I214" s="7"/>
      <c r="J214" s="7"/>
      <c r="K214" s="57"/>
      <c r="L214" s="57"/>
      <c r="M214" s="57"/>
      <c r="N214" s="57"/>
      <c r="O214" s="57"/>
      <c r="P214" s="57"/>
      <c r="Q214" s="57"/>
      <c r="R214" s="57"/>
      <c r="S214" s="57"/>
      <c r="T214" s="57"/>
      <c r="U214" s="7"/>
      <c r="V214" s="7"/>
      <c r="W214" s="7"/>
      <c r="X214" s="7"/>
      <c r="Y214" s="7"/>
      <c r="Z214" s="7"/>
      <c r="AA214" s="7"/>
      <c r="AB214" s="7"/>
      <c r="AC214" s="7"/>
      <c r="AD214" s="7"/>
      <c r="AE214" s="7"/>
      <c r="AF214" s="7"/>
      <c r="AG214" s="248"/>
      <c r="AH214" s="247"/>
      <c r="AI214" s="247"/>
      <c r="AJ214" s="247"/>
      <c r="AK214" s="7"/>
      <c r="AL214" s="7"/>
      <c r="AM214" s="7"/>
    </row>
    <row r="215" spans="1:39">
      <c r="A215" s="96"/>
      <c r="C215" s="90"/>
      <c r="D215" s="91" t="s">
        <v>569</v>
      </c>
      <c r="E215" s="90"/>
      <c r="F215" s="90"/>
      <c r="G215" s="90"/>
      <c r="H215" s="90"/>
      <c r="I215" s="90"/>
      <c r="J215" s="90"/>
      <c r="K215" s="90"/>
      <c r="L215" s="90"/>
      <c r="M215" s="90"/>
      <c r="N215" s="153"/>
      <c r="O215" s="153"/>
      <c r="P215" s="153"/>
      <c r="Q215" s="153"/>
      <c r="R215" s="153"/>
      <c r="S215" s="153"/>
      <c r="T215" s="153"/>
      <c r="U215" s="153"/>
      <c r="V215" s="153"/>
      <c r="W215" s="153"/>
      <c r="X215" s="153"/>
      <c r="Y215" s="153"/>
      <c r="Z215" s="90"/>
      <c r="AA215" s="90"/>
      <c r="AB215" s="90"/>
      <c r="AC215" s="90"/>
      <c r="AD215" s="90"/>
      <c r="AE215" s="90"/>
      <c r="AF215" s="90"/>
      <c r="AG215" s="90"/>
      <c r="AH215" s="90"/>
      <c r="AI215" s="90"/>
      <c r="AJ215" s="90"/>
      <c r="AK215" s="90"/>
      <c r="AL215" s="90"/>
    </row>
    <row r="216" spans="1:39" ht="5.0999999999999996" customHeight="1">
      <c r="A216" s="96"/>
      <c r="B216" s="52"/>
      <c r="C216" s="52"/>
      <c r="D216" s="52"/>
      <c r="E216" s="52"/>
      <c r="F216" s="52"/>
      <c r="G216" s="52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  <c r="Z216" s="52"/>
      <c r="AA216" s="52"/>
      <c r="AB216" s="52"/>
      <c r="AC216" s="52"/>
      <c r="AD216" s="52"/>
      <c r="AE216" s="52"/>
      <c r="AF216" s="52"/>
      <c r="AG216" s="52"/>
      <c r="AH216" s="52"/>
      <c r="AI216" s="52"/>
      <c r="AJ216" s="52"/>
      <c r="AK216" s="52"/>
      <c r="AL216" s="52"/>
      <c r="AM216" s="7"/>
    </row>
    <row r="217" spans="1:39" s="3" customFormat="1" outlineLevel="1">
      <c r="A217" s="96"/>
      <c r="D217" s="249" t="s">
        <v>565</v>
      </c>
      <c r="G217" s="53">
        <f t="shared" ref="G217:AL217" si="190">F219</f>
        <v>0</v>
      </c>
      <c r="H217" s="53">
        <f t="shared" si="190"/>
        <v>0</v>
      </c>
      <c r="I217" s="53">
        <f t="shared" si="190"/>
        <v>0</v>
      </c>
      <c r="J217" s="53">
        <f t="shared" si="190"/>
        <v>0</v>
      </c>
      <c r="K217" s="53">
        <f t="shared" si="190"/>
        <v>0</v>
      </c>
      <c r="L217" s="53">
        <f t="shared" si="190"/>
        <v>0</v>
      </c>
      <c r="M217" s="53">
        <f t="shared" si="190"/>
        <v>80.879000000000005</v>
      </c>
      <c r="N217" s="53">
        <f t="shared" si="190"/>
        <v>91.495999999999995</v>
      </c>
      <c r="O217" s="53">
        <f t="shared" si="190"/>
        <v>91.542000000000002</v>
      </c>
      <c r="P217" s="53">
        <f t="shared" si="190"/>
        <v>92.114000000000004</v>
      </c>
      <c r="Q217" s="53">
        <f t="shared" si="190"/>
        <v>92.686000000000007</v>
      </c>
      <c r="R217" s="53">
        <f t="shared" si="190"/>
        <v>300.14699999999999</v>
      </c>
      <c r="S217" s="53">
        <f t="shared" si="190"/>
        <v>300.173</v>
      </c>
      <c r="T217" s="53">
        <f t="shared" si="190"/>
        <v>303.35700000000003</v>
      </c>
      <c r="U217" s="53">
        <f t="shared" si="190"/>
        <v>305.42399999999998</v>
      </c>
      <c r="V217" s="53">
        <f t="shared" si="190"/>
        <v>307.029</v>
      </c>
      <c r="W217" s="53">
        <f t="shared" si="190"/>
        <v>308.64</v>
      </c>
      <c r="X217" s="53">
        <f t="shared" si="190"/>
        <v>310.52499999999998</v>
      </c>
      <c r="Y217" s="53">
        <f t="shared" si="190"/>
        <v>312.36500000000001</v>
      </c>
      <c r="Z217" s="53">
        <f t="shared" si="190"/>
        <v>321.61399999999998</v>
      </c>
      <c r="AA217" s="53">
        <f t="shared" si="190"/>
        <v>323.61200000000002</v>
      </c>
      <c r="AB217" s="53">
        <f t="shared" si="190"/>
        <v>325.53999999999996</v>
      </c>
      <c r="AC217" s="53">
        <f t="shared" si="190"/>
        <v>327.39699999999999</v>
      </c>
      <c r="AD217" s="53">
        <f t="shared" si="190"/>
        <v>327.99879088985318</v>
      </c>
      <c r="AE217" s="53">
        <f t="shared" si="190"/>
        <v>328.60500197652965</v>
      </c>
      <c r="AF217" s="53">
        <f t="shared" si="190"/>
        <v>329.21944522136499</v>
      </c>
      <c r="AG217" s="53">
        <f t="shared" si="190"/>
        <v>329.84319594058235</v>
      </c>
      <c r="AH217" s="53">
        <f t="shared" si="190"/>
        <v>330.4775041172071</v>
      </c>
      <c r="AI217" s="53">
        <f t="shared" si="190"/>
        <v>331.12383396112892</v>
      </c>
      <c r="AJ217" s="53">
        <f t="shared" si="190"/>
        <v>331.784921876243</v>
      </c>
      <c r="AK217" s="53">
        <f t="shared" si="190"/>
        <v>332.46290056476198</v>
      </c>
      <c r="AL217" s="53">
        <f t="shared" si="190"/>
        <v>333.16034101365528</v>
      </c>
      <c r="AM217" s="53"/>
    </row>
    <row r="218" spans="1:39" outlineLevel="1">
      <c r="A218" s="96"/>
      <c r="D218" s="185" t="s">
        <v>541</v>
      </c>
      <c r="G218" s="7">
        <f t="shared" ref="G218:AB218" si="191">G219-G217</f>
        <v>0</v>
      </c>
      <c r="H218" s="7">
        <f t="shared" si="191"/>
        <v>0</v>
      </c>
      <c r="I218" s="7">
        <f t="shared" si="191"/>
        <v>0</v>
      </c>
      <c r="J218" s="7">
        <f t="shared" si="191"/>
        <v>0</v>
      </c>
      <c r="K218" s="7">
        <f t="shared" si="191"/>
        <v>0</v>
      </c>
      <c r="L218" s="7">
        <f t="shared" si="191"/>
        <v>80.879000000000005</v>
      </c>
      <c r="M218" s="7">
        <f t="shared" si="191"/>
        <v>10.61699999999999</v>
      </c>
      <c r="N218" s="7">
        <f t="shared" si="191"/>
        <v>4.600000000000648E-2</v>
      </c>
      <c r="O218" s="7">
        <f t="shared" si="191"/>
        <v>0.57200000000000273</v>
      </c>
      <c r="P218" s="7">
        <f t="shared" si="191"/>
        <v>0.57200000000000273</v>
      </c>
      <c r="Q218" s="7">
        <f t="shared" si="191"/>
        <v>207.46099999999998</v>
      </c>
      <c r="R218" s="7">
        <f t="shared" si="191"/>
        <v>2.6000000000010459E-2</v>
      </c>
      <c r="S218" s="7">
        <f t="shared" si="191"/>
        <v>3.1840000000000259</v>
      </c>
      <c r="T218" s="7">
        <f t="shared" si="191"/>
        <v>2.0669999999999504</v>
      </c>
      <c r="U218" s="7">
        <f t="shared" si="191"/>
        <v>1.6050000000000182</v>
      </c>
      <c r="V218" s="7">
        <f t="shared" si="191"/>
        <v>1.61099999999999</v>
      </c>
      <c r="W218" s="7">
        <f t="shared" si="191"/>
        <v>1.8849999999999909</v>
      </c>
      <c r="X218" s="7">
        <f t="shared" si="191"/>
        <v>1.8400000000000318</v>
      </c>
      <c r="Y218" s="7">
        <f t="shared" si="191"/>
        <v>9.2489999999999668</v>
      </c>
      <c r="Z218" s="7">
        <f t="shared" si="191"/>
        <v>1.9980000000000473</v>
      </c>
      <c r="AA218" s="7">
        <f t="shared" si="191"/>
        <v>1.9279999999999404</v>
      </c>
      <c r="AB218" s="7">
        <f t="shared" si="191"/>
        <v>1.8570000000000277</v>
      </c>
      <c r="AC218" s="164">
        <f t="shared" ref="AC218:AL218" si="192">IFERROR((AC162+AC138)/AC221,0)</f>
        <v>0.60179088985319829</v>
      </c>
      <c r="AD218" s="164">
        <f t="shared" si="192"/>
        <v>0.60621108667645507</v>
      </c>
      <c r="AE218" s="164">
        <f t="shared" si="192"/>
        <v>0.6144432448353544</v>
      </c>
      <c r="AF218" s="164">
        <f t="shared" si="192"/>
        <v>0.62375071921732761</v>
      </c>
      <c r="AG218" s="164">
        <f t="shared" si="192"/>
        <v>0.63430817662475181</v>
      </c>
      <c r="AH218" s="164">
        <f t="shared" si="192"/>
        <v>0.64632984392180204</v>
      </c>
      <c r="AI218" s="164">
        <f t="shared" si="192"/>
        <v>0.66108791511405973</v>
      </c>
      <c r="AJ218" s="164">
        <f t="shared" si="192"/>
        <v>0.67797868851898069</v>
      </c>
      <c r="AK218" s="164">
        <f t="shared" si="192"/>
        <v>0.69744044889332568</v>
      </c>
      <c r="AL218" s="164">
        <f t="shared" si="192"/>
        <v>0.72003981638246284</v>
      </c>
      <c r="AM218" s="7"/>
    </row>
    <row r="219" spans="1:39" s="3" customFormat="1" outlineLevel="1">
      <c r="A219" s="96" t="s">
        <v>566</v>
      </c>
      <c r="D219" s="250" t="s">
        <v>566</v>
      </c>
      <c r="E219" s="193"/>
      <c r="F219" s="193"/>
      <c r="G219" s="221"/>
      <c r="H219" s="221"/>
      <c r="I219" s="221"/>
      <c r="J219" s="221"/>
      <c r="K219" s="221"/>
      <c r="L219" s="221">
        <v>80.879000000000005</v>
      </c>
      <c r="M219" s="221">
        <v>91.495999999999995</v>
      </c>
      <c r="N219" s="221">
        <v>91.542000000000002</v>
      </c>
      <c r="O219" s="221">
        <v>92.114000000000004</v>
      </c>
      <c r="P219" s="221">
        <v>92.686000000000007</v>
      </c>
      <c r="Q219" s="221">
        <f>86.839+213.308</f>
        <v>300.14699999999999</v>
      </c>
      <c r="R219" s="221">
        <f>87.072+213.101</f>
        <v>300.173</v>
      </c>
      <c r="S219" s="221">
        <f>154.622+148.735</f>
        <v>303.35700000000003</v>
      </c>
      <c r="T219" s="221">
        <f>184.9+120.524</f>
        <v>305.42399999999998</v>
      </c>
      <c r="U219" s="221">
        <f>233.509+73.52</f>
        <v>307.029</v>
      </c>
      <c r="V219" s="221">
        <f>249.401+59.239</f>
        <v>308.64</v>
      </c>
      <c r="W219" s="221">
        <f>255.958+54.567</f>
        <v>310.52499999999998</v>
      </c>
      <c r="X219" s="221">
        <f>263.096+49.269</f>
        <v>312.36500000000001</v>
      </c>
      <c r="Y219" s="221">
        <f>273.575+48.039</f>
        <v>321.61399999999998</v>
      </c>
      <c r="Z219" s="221">
        <f>277.708+45.904</f>
        <v>323.61200000000002</v>
      </c>
      <c r="AA219" s="221">
        <f>280.412+45.128</f>
        <v>325.53999999999996</v>
      </c>
      <c r="AB219" s="221">
        <f>282.774+44.623</f>
        <v>327.39699999999999</v>
      </c>
      <c r="AC219" s="211">
        <f t="shared" ref="AC219:AL219" si="193">SUM(AC217:AC218)</f>
        <v>327.99879088985318</v>
      </c>
      <c r="AD219" s="211">
        <f t="shared" si="193"/>
        <v>328.60500197652965</v>
      </c>
      <c r="AE219" s="211">
        <f t="shared" si="193"/>
        <v>329.21944522136499</v>
      </c>
      <c r="AF219" s="211">
        <f t="shared" si="193"/>
        <v>329.84319594058235</v>
      </c>
      <c r="AG219" s="211">
        <f t="shared" si="193"/>
        <v>330.4775041172071</v>
      </c>
      <c r="AH219" s="211">
        <f t="shared" si="193"/>
        <v>331.12383396112892</v>
      </c>
      <c r="AI219" s="211">
        <f t="shared" si="193"/>
        <v>331.784921876243</v>
      </c>
      <c r="AJ219" s="211">
        <f t="shared" si="193"/>
        <v>332.46290056476198</v>
      </c>
      <c r="AK219" s="211">
        <f t="shared" si="193"/>
        <v>333.16034101365528</v>
      </c>
      <c r="AL219" s="211">
        <f t="shared" si="193"/>
        <v>333.88038083003772</v>
      </c>
      <c r="AM219" s="53"/>
    </row>
    <row r="220" spans="1:39" outlineLevel="1">
      <c r="A220" s="96"/>
      <c r="B220" s="7"/>
      <c r="C220" s="7"/>
      <c r="D220" s="7"/>
      <c r="E220" s="7"/>
      <c r="F220" s="7"/>
      <c r="G220" s="7"/>
      <c r="H220" s="7"/>
      <c r="I220" s="7"/>
      <c r="J220" s="7"/>
      <c r="K220" s="7"/>
      <c r="L220" s="7"/>
      <c r="M220" s="7"/>
      <c r="N220" s="7"/>
      <c r="O220" s="7"/>
      <c r="P220" s="7"/>
      <c r="Q220" s="7"/>
      <c r="R220" s="7"/>
      <c r="S220" s="7"/>
      <c r="T220" s="7"/>
      <c r="U220" s="7"/>
      <c r="V220" s="7"/>
      <c r="W220" s="7"/>
      <c r="X220" s="7"/>
      <c r="Y220" s="7"/>
      <c r="Z220" s="7"/>
      <c r="AA220" s="7"/>
      <c r="AB220" s="7"/>
      <c r="AC220" s="7"/>
      <c r="AD220" s="7"/>
      <c r="AE220" s="7"/>
      <c r="AF220" s="7"/>
      <c r="AG220" s="7"/>
      <c r="AH220" s="7"/>
      <c r="AI220" s="7"/>
      <c r="AJ220" s="7"/>
      <c r="AK220" s="7"/>
      <c r="AL220" s="7"/>
      <c r="AM220" s="7"/>
    </row>
    <row r="221" spans="1:39" outlineLevel="1">
      <c r="A221" s="96" t="s">
        <v>567</v>
      </c>
      <c r="B221" s="7"/>
      <c r="C221" s="7"/>
      <c r="D221" s="7" t="s">
        <v>567</v>
      </c>
      <c r="E221" s="7"/>
      <c r="F221" s="7"/>
      <c r="G221" s="7"/>
      <c r="H221" s="7"/>
      <c r="I221" s="7"/>
      <c r="J221" s="7"/>
      <c r="K221" s="7"/>
      <c r="L221" s="7"/>
      <c r="M221" s="7"/>
      <c r="N221" s="7"/>
      <c r="O221" s="7"/>
      <c r="P221" s="7"/>
      <c r="Q221" s="261">
        <v>19.350000000000001</v>
      </c>
      <c r="R221" s="261">
        <v>17.02</v>
      </c>
      <c r="S221" s="261">
        <v>19.41</v>
      </c>
      <c r="T221" s="261">
        <v>27.93</v>
      </c>
      <c r="U221" s="261">
        <v>38.28</v>
      </c>
      <c r="V221" s="261">
        <v>65.56</v>
      </c>
      <c r="W221" s="261">
        <v>77.06</v>
      </c>
      <c r="X221" s="261">
        <v>82.78</v>
      </c>
      <c r="Y221" s="261">
        <v>119.48</v>
      </c>
      <c r="Z221" s="261">
        <v>167.57</v>
      </c>
      <c r="AA221" s="261">
        <v>104.7</v>
      </c>
      <c r="AB221" s="260">
        <v>90</v>
      </c>
      <c r="AC221" s="260">
        <f>DCF!C35</f>
        <v>60</v>
      </c>
      <c r="AD221" s="57">
        <f t="shared" ref="AD221:AL221" si="194">+AD222*(AD11*4/AD217)</f>
        <v>61.090642224763258</v>
      </c>
      <c r="AE221" s="57">
        <f t="shared" si="194"/>
        <v>62.259602401172693</v>
      </c>
      <c r="AF221" s="57">
        <f t="shared" si="194"/>
        <v>64.348072586821957</v>
      </c>
      <c r="AG221" s="57">
        <f t="shared" si="194"/>
        <v>64.878374132548657</v>
      </c>
      <c r="AH221" s="57">
        <f t="shared" si="194"/>
        <v>66.181687156604184</v>
      </c>
      <c r="AI221" s="57">
        <f t="shared" si="194"/>
        <v>65.860637992222664</v>
      </c>
      <c r="AJ221" s="57">
        <f t="shared" si="194"/>
        <v>66.973008337492217</v>
      </c>
      <c r="AK221" s="57">
        <f t="shared" si="194"/>
        <v>66.243145543303001</v>
      </c>
      <c r="AL221" s="57">
        <f t="shared" si="194"/>
        <v>66.279055939464953</v>
      </c>
      <c r="AM221" s="7"/>
    </row>
    <row r="222" spans="1:39" outlineLevel="1">
      <c r="A222" s="96"/>
      <c r="B222" s="7"/>
      <c r="C222" s="7"/>
      <c r="D222" s="7" t="s">
        <v>568</v>
      </c>
      <c r="E222" s="7"/>
      <c r="F222" s="7"/>
      <c r="G222" s="7"/>
      <c r="H222" s="7"/>
      <c r="I222" s="7"/>
      <c r="J222" s="7"/>
      <c r="K222" s="7"/>
      <c r="L222" s="7"/>
      <c r="M222" s="7"/>
      <c r="N222" s="7"/>
      <c r="O222" s="7"/>
      <c r="P222" s="7"/>
      <c r="Q222" s="251">
        <f t="shared" ref="Q222:AC222" si="195">Q221/(Q11*4/Q217)</f>
        <v>6.0638688278492312</v>
      </c>
      <c r="R222" s="251">
        <f t="shared" si="195"/>
        <v>15.216555284165375</v>
      </c>
      <c r="S222" s="251">
        <f t="shared" si="195"/>
        <v>15.962624465753427</v>
      </c>
      <c r="T222" s="251">
        <f t="shared" si="195"/>
        <v>21.241165376400158</v>
      </c>
      <c r="U222" s="251">
        <f t="shared" si="195"/>
        <v>25.603157618121614</v>
      </c>
      <c r="V222" s="251">
        <f t="shared" si="195"/>
        <v>39.961606896113587</v>
      </c>
      <c r="W222" s="251">
        <f t="shared" si="195"/>
        <v>43.069425953424357</v>
      </c>
      <c r="X222" s="251">
        <f t="shared" si="195"/>
        <v>42.159674567664737</v>
      </c>
      <c r="Y222" s="251">
        <f t="shared" si="195"/>
        <v>54.136959448090188</v>
      </c>
      <c r="Z222" s="251">
        <f t="shared" si="195"/>
        <v>69.594487980123546</v>
      </c>
      <c r="AA222" s="251">
        <f t="shared" si="195"/>
        <v>39.923947173688653</v>
      </c>
      <c r="AB222" s="251">
        <f t="shared" si="195"/>
        <v>31.232917016676829</v>
      </c>
      <c r="AC222" s="251">
        <f t="shared" si="195"/>
        <v>19.287007828702372</v>
      </c>
      <c r="AD222" s="252">
        <f>AC222-0.85</f>
        <v>18.43700782870237</v>
      </c>
      <c r="AE222" s="252">
        <f t="shared" ref="AE222:AL222" si="196">AD222-0.85</f>
        <v>17.587007828702369</v>
      </c>
      <c r="AF222" s="252">
        <f t="shared" si="196"/>
        <v>16.737007828702367</v>
      </c>
      <c r="AG222" s="252">
        <f t="shared" si="196"/>
        <v>15.887007828702368</v>
      </c>
      <c r="AH222" s="252">
        <f t="shared" si="196"/>
        <v>15.037007828702368</v>
      </c>
      <c r="AI222" s="252">
        <f t="shared" si="196"/>
        <v>14.187007828702368</v>
      </c>
      <c r="AJ222" s="252">
        <f t="shared" si="196"/>
        <v>13.337007828702369</v>
      </c>
      <c r="AK222" s="252">
        <f t="shared" si="196"/>
        <v>12.487007828702369</v>
      </c>
      <c r="AL222" s="252">
        <f t="shared" si="196"/>
        <v>11.637007828702369</v>
      </c>
      <c r="AM222" s="7"/>
    </row>
    <row r="223" spans="1:39">
      <c r="G223" s="7"/>
      <c r="H223" s="7"/>
      <c r="I223" s="7"/>
      <c r="J223" s="7"/>
      <c r="K223" s="7"/>
      <c r="L223" s="7"/>
      <c r="M223" s="7"/>
      <c r="N223" s="7"/>
      <c r="O223" s="7"/>
      <c r="P223" s="7"/>
      <c r="Q223" s="7"/>
      <c r="R223" s="7"/>
      <c r="S223" s="7"/>
      <c r="T223" s="7"/>
      <c r="U223" s="57"/>
      <c r="V223" s="57"/>
      <c r="W223" s="57"/>
      <c r="X223" s="57"/>
      <c r="Y223" s="57"/>
      <c r="Z223" s="57"/>
      <c r="AA223" s="57"/>
      <c r="AB223" s="57"/>
      <c r="AC223" s="57"/>
      <c r="AD223" s="57"/>
      <c r="AE223" s="57"/>
      <c r="AF223" s="57"/>
      <c r="AG223" s="57"/>
      <c r="AH223" s="57"/>
      <c r="AI223" s="57"/>
      <c r="AJ223" s="57"/>
      <c r="AK223" s="57"/>
      <c r="AL223" s="57"/>
      <c r="AM223" s="7"/>
    </row>
    <row r="224" spans="1:39">
      <c r="B224" s="206" t="s">
        <v>183</v>
      </c>
      <c r="C224" s="41" t="s">
        <v>183</v>
      </c>
      <c r="D224" s="41"/>
      <c r="E224" s="41"/>
      <c r="F224" s="41"/>
      <c r="G224" s="41"/>
      <c r="H224" s="41"/>
      <c r="I224" s="41"/>
      <c r="J224" s="41"/>
      <c r="K224" s="41"/>
      <c r="L224" s="41"/>
      <c r="M224" s="41"/>
      <c r="N224" s="41"/>
      <c r="O224" s="41"/>
      <c r="P224" s="41"/>
      <c r="Q224" s="41"/>
      <c r="R224" s="41"/>
      <c r="S224" s="41"/>
      <c r="T224" s="41"/>
      <c r="U224" s="41"/>
      <c r="V224" s="41"/>
      <c r="W224" s="41"/>
      <c r="X224" s="41"/>
      <c r="Y224" s="41"/>
      <c r="Z224" s="41"/>
      <c r="AA224" s="41"/>
      <c r="AB224" s="41"/>
      <c r="AC224" s="41"/>
      <c r="AD224" s="41"/>
      <c r="AE224" s="41"/>
      <c r="AF224" s="41"/>
      <c r="AG224" s="41"/>
      <c r="AH224" s="41"/>
      <c r="AI224" s="41"/>
      <c r="AJ224" s="41"/>
      <c r="AK224" s="41"/>
      <c r="AL224" s="41"/>
    </row>
    <row r="225" spans="1:39">
      <c r="C225" s="90"/>
      <c r="D225" s="91" t="s">
        <v>150</v>
      </c>
      <c r="E225" s="90"/>
      <c r="F225" s="90"/>
      <c r="G225" s="90"/>
      <c r="H225" s="90"/>
      <c r="I225" s="90"/>
      <c r="J225" s="90"/>
      <c r="K225" s="90"/>
      <c r="L225" s="90"/>
      <c r="M225" s="90"/>
      <c r="N225" s="90"/>
      <c r="O225" s="90"/>
      <c r="P225" s="90"/>
      <c r="Q225" s="90"/>
      <c r="R225" s="90"/>
      <c r="S225" s="90"/>
      <c r="T225" s="90"/>
      <c r="U225" s="90"/>
      <c r="V225" s="90"/>
      <c r="W225" s="90"/>
      <c r="X225" s="90"/>
      <c r="Y225" s="90"/>
      <c r="Z225" s="153"/>
      <c r="AA225" s="90"/>
      <c r="AB225" s="90"/>
      <c r="AC225" s="90"/>
      <c r="AD225" s="90"/>
      <c r="AE225" s="90"/>
      <c r="AF225" s="90"/>
      <c r="AG225" s="90"/>
      <c r="AH225" s="90"/>
      <c r="AI225" s="90"/>
      <c r="AJ225" s="90"/>
      <c r="AK225" s="90"/>
      <c r="AL225" s="90"/>
    </row>
    <row r="226" spans="1:39" ht="5.0999999999999996" customHeight="1">
      <c r="G226" s="7"/>
      <c r="H226" s="7"/>
      <c r="I226" s="7"/>
      <c r="J226" s="7"/>
      <c r="K226" s="7"/>
      <c r="L226" s="7"/>
      <c r="M226" s="7"/>
      <c r="N226" s="7"/>
      <c r="O226" s="7"/>
      <c r="P226" s="7"/>
      <c r="Q226" s="7"/>
      <c r="R226" s="7"/>
      <c r="S226" s="7"/>
      <c r="T226" s="7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7"/>
    </row>
    <row r="227" spans="1:39" ht="15" customHeight="1">
      <c r="D227" s="59" t="s">
        <v>553</v>
      </c>
      <c r="G227" s="7"/>
      <c r="H227" s="7"/>
      <c r="I227" s="7"/>
      <c r="J227" s="7"/>
      <c r="K227" s="63">
        <f t="shared" ref="K227:AL227" si="197">K195+K190</f>
        <v>0</v>
      </c>
      <c r="L227" s="63">
        <f t="shared" si="197"/>
        <v>0</v>
      </c>
      <c r="M227" s="63">
        <f t="shared" si="197"/>
        <v>0</v>
      </c>
      <c r="N227" s="63">
        <f t="shared" si="197"/>
        <v>0</v>
      </c>
      <c r="O227" s="63">
        <f t="shared" si="197"/>
        <v>0</v>
      </c>
      <c r="P227" s="63">
        <f t="shared" si="197"/>
        <v>0</v>
      </c>
      <c r="Q227" s="63">
        <f t="shared" si="197"/>
        <v>0</v>
      </c>
      <c r="R227" s="63">
        <f t="shared" si="197"/>
        <v>0</v>
      </c>
      <c r="S227" s="63">
        <f t="shared" si="197"/>
        <v>50.804000000000002</v>
      </c>
      <c r="T227" s="63">
        <f t="shared" si="197"/>
        <v>48.108000000000004</v>
      </c>
      <c r="U227" s="63">
        <f t="shared" si="197"/>
        <v>46.94</v>
      </c>
      <c r="V227" s="63">
        <f t="shared" si="197"/>
        <v>45.025999999999996</v>
      </c>
      <c r="W227" s="63">
        <f t="shared" si="197"/>
        <v>43.616999999999997</v>
      </c>
      <c r="X227" s="63">
        <f t="shared" si="197"/>
        <v>46.966999999999999</v>
      </c>
      <c r="Y227" s="63">
        <f t="shared" si="197"/>
        <v>104.563</v>
      </c>
      <c r="Z227" s="63">
        <f t="shared" si="197"/>
        <v>134.21200000000002</v>
      </c>
      <c r="AA227" s="63">
        <f>AA195+AA190</f>
        <v>141.92400000000001</v>
      </c>
      <c r="AB227" s="63">
        <f>AB195+AB190</f>
        <v>133.64599999999999</v>
      </c>
      <c r="AC227" s="63">
        <f t="shared" si="197"/>
        <v>154.49603667809257</v>
      </c>
      <c r="AD227" s="63">
        <f t="shared" si="197"/>
        <v>146.25386957751405</v>
      </c>
      <c r="AE227" s="63">
        <f t="shared" si="197"/>
        <v>168.47025322300178</v>
      </c>
      <c r="AF227" s="63">
        <f t="shared" si="197"/>
        <v>166.11463226691367</v>
      </c>
      <c r="AG227" s="63">
        <f t="shared" si="197"/>
        <v>181.67760691491461</v>
      </c>
      <c r="AH227" s="63">
        <f t="shared" si="197"/>
        <v>184.91323199598125</v>
      </c>
      <c r="AI227" s="63">
        <f t="shared" si="197"/>
        <v>193.12141491251984</v>
      </c>
      <c r="AJ227" s="63">
        <f t="shared" si="197"/>
        <v>206.36962972954541</v>
      </c>
      <c r="AK227" s="63">
        <f t="shared" si="197"/>
        <v>205.77174758638367</v>
      </c>
      <c r="AL227" s="63">
        <f t="shared" si="197"/>
        <v>226.03167145198179</v>
      </c>
      <c r="AM227" s="7"/>
    </row>
    <row r="228" spans="1:39" ht="15" customHeight="1">
      <c r="D228" s="59" t="s">
        <v>554</v>
      </c>
      <c r="G228" s="7"/>
      <c r="H228" s="7"/>
      <c r="I228" s="7"/>
      <c r="J228" s="7"/>
      <c r="K228" s="63">
        <f t="shared" ref="K228:Z228" si="198">K194+K188</f>
        <v>10.875</v>
      </c>
      <c r="L228" s="63">
        <f t="shared" si="198"/>
        <v>10.827</v>
      </c>
      <c r="M228" s="63">
        <f t="shared" si="198"/>
        <v>10.765000000000001</v>
      </c>
      <c r="N228" s="63">
        <f t="shared" si="198"/>
        <v>10.698</v>
      </c>
      <c r="O228" s="63">
        <f t="shared" si="198"/>
        <v>10.630999999999998</v>
      </c>
      <c r="P228" s="63">
        <f t="shared" si="198"/>
        <v>10.564</v>
      </c>
      <c r="Q228" s="63">
        <f t="shared" si="198"/>
        <v>10.538</v>
      </c>
      <c r="R228" s="63">
        <f t="shared" si="198"/>
        <v>10.506</v>
      </c>
      <c r="S228" s="63">
        <f t="shared" si="198"/>
        <v>0</v>
      </c>
      <c r="T228" s="63">
        <f t="shared" si="198"/>
        <v>365.94900000000001</v>
      </c>
      <c r="U228" s="63">
        <f t="shared" si="198"/>
        <v>374.51100000000002</v>
      </c>
      <c r="V228" s="63">
        <f t="shared" si="198"/>
        <v>383.27499999999998</v>
      </c>
      <c r="W228" s="63">
        <f t="shared" si="198"/>
        <v>392.24599999999998</v>
      </c>
      <c r="X228" s="63">
        <f t="shared" si="198"/>
        <v>401.428</v>
      </c>
      <c r="Y228" s="63">
        <f t="shared" si="198"/>
        <v>1143.308</v>
      </c>
      <c r="Z228" s="63">
        <f t="shared" si="198"/>
        <v>1158.9939999999999</v>
      </c>
      <c r="AA228" s="63">
        <f>AA194+AA188</f>
        <v>1432.7049999999999</v>
      </c>
      <c r="AB228" s="63">
        <f>AB194+AB188</f>
        <v>1433.867</v>
      </c>
      <c r="AC228" s="68">
        <f t="shared" ref="AC228:AL228" si="199">AB228-AC247</f>
        <v>1447.1908604999999</v>
      </c>
      <c r="AD228" s="68">
        <f t="shared" si="199"/>
        <v>1460.8051991260136</v>
      </c>
      <c r="AE228" s="68">
        <f t="shared" si="199"/>
        <v>1474.4652012099937</v>
      </c>
      <c r="AF228" s="68">
        <f t="shared" si="199"/>
        <v>1488.4301525726742</v>
      </c>
      <c r="AG228" s="68">
        <f t="shared" si="199"/>
        <v>1502.4937832438106</v>
      </c>
      <c r="AH228" s="68">
        <f t="shared" si="199"/>
        <v>1516.8092400601597</v>
      </c>
      <c r="AI228" s="68">
        <f t="shared" si="199"/>
        <v>1531.2738810726369</v>
      </c>
      <c r="AJ228" s="68">
        <f t="shared" si="199"/>
        <v>1545.9312410885107</v>
      </c>
      <c r="AK228" s="68">
        <f t="shared" si="199"/>
        <v>1560.8257984904642</v>
      </c>
      <c r="AL228" s="68">
        <f t="shared" si="199"/>
        <v>1575.8418776321173</v>
      </c>
      <c r="AM228" s="7"/>
    </row>
    <row r="229" spans="1:39" s="3" customFormat="1" outlineLevel="1">
      <c r="A229" s="96"/>
      <c r="B229"/>
      <c r="C229"/>
      <c r="D229" s="209" t="s">
        <v>151</v>
      </c>
      <c r="E229" s="193"/>
      <c r="F229" s="193"/>
      <c r="G229" s="208"/>
      <c r="H229" s="208"/>
      <c r="I229" s="208"/>
      <c r="J229" s="208"/>
      <c r="K229" s="208">
        <f t="shared" ref="K229:AL229" si="200">SUM(K227:K228)</f>
        <v>10.875</v>
      </c>
      <c r="L229" s="208">
        <f t="shared" si="200"/>
        <v>10.827</v>
      </c>
      <c r="M229" s="208">
        <f t="shared" si="200"/>
        <v>10.765000000000001</v>
      </c>
      <c r="N229" s="208">
        <f t="shared" si="200"/>
        <v>10.698</v>
      </c>
      <c r="O229" s="208">
        <f t="shared" si="200"/>
        <v>10.630999999999998</v>
      </c>
      <c r="P229" s="208">
        <f t="shared" si="200"/>
        <v>10.564</v>
      </c>
      <c r="Q229" s="208">
        <f t="shared" si="200"/>
        <v>10.538</v>
      </c>
      <c r="R229" s="208">
        <f t="shared" si="200"/>
        <v>10.506</v>
      </c>
      <c r="S229" s="208">
        <f t="shared" si="200"/>
        <v>50.804000000000002</v>
      </c>
      <c r="T229" s="208">
        <f t="shared" si="200"/>
        <v>414.05700000000002</v>
      </c>
      <c r="U229" s="208">
        <f t="shared" si="200"/>
        <v>421.45100000000002</v>
      </c>
      <c r="V229" s="208">
        <f t="shared" si="200"/>
        <v>428.30099999999999</v>
      </c>
      <c r="W229" s="208">
        <f t="shared" si="200"/>
        <v>435.863</v>
      </c>
      <c r="X229" s="208">
        <f t="shared" si="200"/>
        <v>448.39499999999998</v>
      </c>
      <c r="Y229" s="208">
        <f t="shared" si="200"/>
        <v>1247.8710000000001</v>
      </c>
      <c r="Z229" s="208">
        <f t="shared" si="200"/>
        <v>1293.2059999999999</v>
      </c>
      <c r="AA229" s="208">
        <f>SUM(AA227:AA228)</f>
        <v>1574.6289999999999</v>
      </c>
      <c r="AB229" s="208">
        <f>SUM(AB227:AB228)</f>
        <v>1567.5129999999999</v>
      </c>
      <c r="AC229" s="208">
        <f t="shared" si="200"/>
        <v>1601.6868971780925</v>
      </c>
      <c r="AD229" s="208">
        <f t="shared" si="200"/>
        <v>1607.0590687035276</v>
      </c>
      <c r="AE229" s="208">
        <f t="shared" si="200"/>
        <v>1642.9354544329954</v>
      </c>
      <c r="AF229" s="208">
        <f t="shared" si="200"/>
        <v>1654.5447848395879</v>
      </c>
      <c r="AG229" s="208">
        <f t="shared" si="200"/>
        <v>1684.1713901587252</v>
      </c>
      <c r="AH229" s="208">
        <f t="shared" si="200"/>
        <v>1701.722472056141</v>
      </c>
      <c r="AI229" s="208">
        <f t="shared" si="200"/>
        <v>1724.3952959851567</v>
      </c>
      <c r="AJ229" s="208">
        <f t="shared" si="200"/>
        <v>1752.300870818056</v>
      </c>
      <c r="AK229" s="208">
        <f t="shared" si="200"/>
        <v>1766.5975460768479</v>
      </c>
      <c r="AL229" s="208">
        <f t="shared" si="200"/>
        <v>1801.8735490840991</v>
      </c>
      <c r="AM229" s="53"/>
    </row>
    <row r="230" spans="1:39" s="3" customFormat="1" outlineLevel="1">
      <c r="A230" s="96"/>
      <c r="B230"/>
      <c r="C230"/>
      <c r="D230" s="59" t="s">
        <v>154</v>
      </c>
      <c r="E230"/>
      <c r="F230"/>
      <c r="G230" s="7"/>
      <c r="H230" s="7"/>
      <c r="I230" s="7"/>
      <c r="J230" s="7"/>
      <c r="K230" s="7">
        <f t="shared" ref="K230:AL230" si="201">AVERAGE(J229:K229)</f>
        <v>10.875</v>
      </c>
      <c r="L230" s="7">
        <f t="shared" si="201"/>
        <v>10.850999999999999</v>
      </c>
      <c r="M230" s="7">
        <f t="shared" si="201"/>
        <v>10.795999999999999</v>
      </c>
      <c r="N230" s="7">
        <f t="shared" si="201"/>
        <v>10.7315</v>
      </c>
      <c r="O230" s="7">
        <f t="shared" si="201"/>
        <v>10.6645</v>
      </c>
      <c r="P230" s="7">
        <f t="shared" si="201"/>
        <v>10.5975</v>
      </c>
      <c r="Q230" s="7">
        <f t="shared" si="201"/>
        <v>10.551</v>
      </c>
      <c r="R230" s="7">
        <f t="shared" si="201"/>
        <v>10.522</v>
      </c>
      <c r="S230" s="7">
        <f t="shared" si="201"/>
        <v>30.655000000000001</v>
      </c>
      <c r="T230" s="7">
        <f t="shared" si="201"/>
        <v>232.43049999999999</v>
      </c>
      <c r="U230" s="7">
        <f t="shared" si="201"/>
        <v>417.75400000000002</v>
      </c>
      <c r="V230" s="7">
        <f t="shared" si="201"/>
        <v>424.87599999999998</v>
      </c>
      <c r="W230" s="7">
        <f t="shared" si="201"/>
        <v>432.08199999999999</v>
      </c>
      <c r="X230" s="7">
        <f t="shared" si="201"/>
        <v>442.12900000000002</v>
      </c>
      <c r="Y230" s="7">
        <f t="shared" si="201"/>
        <v>848.13300000000004</v>
      </c>
      <c r="Z230" s="7">
        <f t="shared" si="201"/>
        <v>1270.5385000000001</v>
      </c>
      <c r="AA230" s="7">
        <f t="shared" si="201"/>
        <v>1433.9175</v>
      </c>
      <c r="AB230" s="7">
        <f t="shared" si="201"/>
        <v>1571.0709999999999</v>
      </c>
      <c r="AC230" s="7">
        <f t="shared" si="201"/>
        <v>1584.5999485890461</v>
      </c>
      <c r="AD230" s="7">
        <f t="shared" si="201"/>
        <v>1604.3729829408101</v>
      </c>
      <c r="AE230" s="7">
        <f t="shared" si="201"/>
        <v>1624.9972615682614</v>
      </c>
      <c r="AF230" s="7">
        <f t="shared" si="201"/>
        <v>1648.7401196362916</v>
      </c>
      <c r="AG230" s="7">
        <f t="shared" si="201"/>
        <v>1669.3580874991567</v>
      </c>
      <c r="AH230" s="7">
        <f t="shared" si="201"/>
        <v>1692.9469311074331</v>
      </c>
      <c r="AI230" s="7">
        <f t="shared" si="201"/>
        <v>1713.0588840206487</v>
      </c>
      <c r="AJ230" s="7">
        <f t="shared" si="201"/>
        <v>1738.3480834016063</v>
      </c>
      <c r="AK230" s="7">
        <f t="shared" si="201"/>
        <v>1759.4492084474518</v>
      </c>
      <c r="AL230" s="7">
        <f t="shared" si="201"/>
        <v>1784.2355475804734</v>
      </c>
      <c r="AM230" s="53"/>
    </row>
    <row r="231" spans="1:39" s="3" customFormat="1" outlineLevel="1">
      <c r="A231" s="96"/>
      <c r="B231"/>
      <c r="C231"/>
      <c r="D231" s="59" t="s">
        <v>155</v>
      </c>
      <c r="E231"/>
      <c r="F231"/>
      <c r="G231" s="182"/>
      <c r="H231" s="182"/>
      <c r="I231" s="182"/>
      <c r="J231" s="182"/>
      <c r="K231" s="182">
        <f t="shared" ref="K231:Z231" si="202">-IFERROR(SUM(K246:K247)*4/AVERAGE(K230),"na")</f>
        <v>8.5333333333333344E-2</v>
      </c>
      <c r="L231" s="182">
        <f t="shared" si="202"/>
        <v>8.9576997511750078E-2</v>
      </c>
      <c r="M231" s="182">
        <f t="shared" si="202"/>
        <v>9.2997406446832159E-2</v>
      </c>
      <c r="N231" s="182">
        <f t="shared" si="202"/>
        <v>9.9147369892372925E-2</v>
      </c>
      <c r="O231" s="182">
        <f t="shared" si="202"/>
        <v>0.10239579914670167</v>
      </c>
      <c r="P231" s="182">
        <f t="shared" si="202"/>
        <v>0.10945977824958716</v>
      </c>
      <c r="Q231" s="182">
        <f t="shared" si="202"/>
        <v>0.15429817078949862</v>
      </c>
      <c r="R231" s="182">
        <f t="shared" si="202"/>
        <v>5.3982132674396499E-2</v>
      </c>
      <c r="S231" s="182">
        <f t="shared" si="202"/>
        <v>8.7424563692709185E-3</v>
      </c>
      <c r="T231" s="182">
        <f t="shared" si="202"/>
        <v>8.6167693138378992E-2</v>
      </c>
      <c r="U231" s="182">
        <f t="shared" si="202"/>
        <v>9.4103228215648441E-2</v>
      </c>
      <c r="V231" s="182">
        <f t="shared" si="202"/>
        <v>9.4728814995433966E-2</v>
      </c>
      <c r="W231" s="182">
        <f t="shared" si="202"/>
        <v>9.4741275961507304E-2</v>
      </c>
      <c r="X231" s="182">
        <f t="shared" si="202"/>
        <v>9.4488260213648062E-2</v>
      </c>
      <c r="Y231" s="182">
        <f t="shared" si="202"/>
        <v>5.870777342704505E-2</v>
      </c>
      <c r="Z231" s="182">
        <f t="shared" si="202"/>
        <v>5.0712355430394276E-2</v>
      </c>
      <c r="AA231" s="182">
        <f>-IFERROR(SUM(AA246:AA247)*4/AVERAGE(AA230),"na")</f>
        <v>4.3433461130085935E-3</v>
      </c>
      <c r="AB231" s="182">
        <f>-IFERROR(SUM(AB246:AB247)*4/AVERAGE(AB230),"na")</f>
        <v>2.6478752392476218E-3</v>
      </c>
      <c r="AC231" s="165">
        <v>0.04</v>
      </c>
      <c r="AD231" s="165">
        <v>0.04</v>
      </c>
      <c r="AE231" s="165">
        <v>0.04</v>
      </c>
      <c r="AF231" s="165">
        <v>0.04</v>
      </c>
      <c r="AG231" s="165">
        <v>0.04</v>
      </c>
      <c r="AH231" s="165">
        <v>0.04</v>
      </c>
      <c r="AI231" s="165">
        <v>0.04</v>
      </c>
      <c r="AJ231" s="165">
        <v>0.04</v>
      </c>
      <c r="AK231" s="165">
        <v>0.04</v>
      </c>
      <c r="AL231" s="165">
        <v>0.04</v>
      </c>
      <c r="AM231" s="53"/>
    </row>
    <row r="232" spans="1:39" s="3" customFormat="1" ht="5.0999999999999996" customHeight="1" outlineLevel="1">
      <c r="A232" s="96"/>
      <c r="B232"/>
      <c r="C232"/>
      <c r="D232" s="59"/>
      <c r="E232"/>
      <c r="F232"/>
      <c r="G232" s="63"/>
      <c r="H232" s="63"/>
      <c r="I232" s="63"/>
      <c r="J232" s="63"/>
      <c r="K232" s="63"/>
      <c r="L232" s="63"/>
      <c r="M232" s="63"/>
      <c r="N232" s="63"/>
      <c r="O232" s="63"/>
      <c r="P232" s="63"/>
      <c r="Q232" s="63"/>
      <c r="R232" s="63"/>
      <c r="S232" s="63"/>
      <c r="T232" s="63"/>
      <c r="U232" s="63"/>
      <c r="V232" s="85"/>
      <c r="W232" s="85"/>
      <c r="X232" s="85"/>
      <c r="Y232" s="85"/>
      <c r="Z232" s="85"/>
      <c r="AA232" s="85"/>
      <c r="AB232" s="85"/>
      <c r="AC232" s="85"/>
      <c r="AD232" s="85"/>
      <c r="AE232" s="85"/>
      <c r="AF232" s="85"/>
      <c r="AG232" s="85"/>
      <c r="AH232" s="85"/>
      <c r="AI232" s="85"/>
      <c r="AJ232" s="85"/>
      <c r="AK232" s="85"/>
      <c r="AL232" s="85"/>
      <c r="AM232" s="53"/>
    </row>
    <row r="233" spans="1:39" s="3" customFormat="1" ht="15" customHeight="1" outlineLevel="1">
      <c r="A233" s="96"/>
      <c r="B233"/>
      <c r="C233"/>
      <c r="D233" s="59" t="str">
        <f>D174</f>
        <v>Cash</v>
      </c>
      <c r="E233"/>
      <c r="F233"/>
      <c r="G233" s="63"/>
      <c r="H233" s="63"/>
      <c r="I233" s="63"/>
      <c r="J233" s="63"/>
      <c r="K233" s="63">
        <f t="shared" ref="K233:AL233" si="203">K174</f>
        <v>31.794</v>
      </c>
      <c r="L233" s="63">
        <f t="shared" si="203"/>
        <v>22.986999999999998</v>
      </c>
      <c r="M233" s="63">
        <f t="shared" si="203"/>
        <v>95.838999999999999</v>
      </c>
      <c r="N233" s="63">
        <f t="shared" si="203"/>
        <v>25.055</v>
      </c>
      <c r="O233" s="63">
        <f t="shared" si="203"/>
        <v>32.822000000000003</v>
      </c>
      <c r="P233" s="63">
        <f t="shared" si="203"/>
        <v>42.393999999999998</v>
      </c>
      <c r="Q233" s="63">
        <f t="shared" si="203"/>
        <v>501.70600000000002</v>
      </c>
      <c r="R233" s="63">
        <f t="shared" si="203"/>
        <v>138.976</v>
      </c>
      <c r="S233" s="63">
        <f t="shared" si="203"/>
        <v>109.063</v>
      </c>
      <c r="T233" s="63">
        <f t="shared" si="203"/>
        <v>313.983</v>
      </c>
      <c r="U233" s="63">
        <f t="shared" si="203"/>
        <v>111.959</v>
      </c>
      <c r="V233" s="63">
        <f t="shared" si="203"/>
        <v>108.895</v>
      </c>
      <c r="W233" s="63">
        <f t="shared" si="203"/>
        <v>187.476</v>
      </c>
      <c r="X233" s="63">
        <f t="shared" si="203"/>
        <v>247.55099999999999</v>
      </c>
      <c r="Y233" s="63">
        <f t="shared" si="203"/>
        <v>618.23099999999999</v>
      </c>
      <c r="Z233" s="63">
        <f t="shared" si="203"/>
        <v>313.77699999999999</v>
      </c>
      <c r="AA233" s="63">
        <f>AA174</f>
        <v>151.976</v>
      </c>
      <c r="AB233" s="63">
        <f>AB174</f>
        <v>142.67500000000001</v>
      </c>
      <c r="AC233" s="63">
        <f t="shared" si="203"/>
        <v>134.27391022984474</v>
      </c>
      <c r="AD233" s="63">
        <f t="shared" ca="1" si="203"/>
        <v>113.42420936024601</v>
      </c>
      <c r="AE233" s="63">
        <f t="shared" ca="1" si="203"/>
        <v>93.355555486714977</v>
      </c>
      <c r="AF233" s="63">
        <f t="shared" ca="1" si="203"/>
        <v>76.007900653611642</v>
      </c>
      <c r="AG233" s="63">
        <f t="shared" ca="1" si="203"/>
        <v>57.335025505654961</v>
      </c>
      <c r="AH233" s="63">
        <f t="shared" ca="1" si="203"/>
        <v>41.763204596982128</v>
      </c>
      <c r="AI233" s="63">
        <f t="shared" ca="1" si="203"/>
        <v>24.449023446872566</v>
      </c>
      <c r="AJ233" s="63">
        <f t="shared" ca="1" si="203"/>
        <v>11.917411048638776</v>
      </c>
      <c r="AK233" s="63">
        <f t="shared" ca="1" si="203"/>
        <v>-2.2671168577238134</v>
      </c>
      <c r="AL233" s="63">
        <f t="shared" ca="1" si="203"/>
        <v>-12.119925763148466</v>
      </c>
      <c r="AM233" s="53"/>
    </row>
    <row r="234" spans="1:39" s="3" customFormat="1" ht="15" customHeight="1" outlineLevel="1">
      <c r="A234" s="96"/>
      <c r="B234"/>
      <c r="C234"/>
      <c r="D234" s="59" t="str">
        <f>D175</f>
        <v>Available-for-sale securities</v>
      </c>
      <c r="E234"/>
      <c r="F234"/>
      <c r="G234" s="63"/>
      <c r="H234" s="63"/>
      <c r="I234" s="63"/>
      <c r="J234" s="63"/>
      <c r="K234" s="63">
        <f t="shared" ref="K234:Z234" si="204">K175</f>
        <v>35.905000000000001</v>
      </c>
      <c r="L234" s="63">
        <f t="shared" si="204"/>
        <v>23.518999999999998</v>
      </c>
      <c r="M234" s="63">
        <f t="shared" si="204"/>
        <v>93.242000000000004</v>
      </c>
      <c r="N234" s="63">
        <f t="shared" si="204"/>
        <v>135.602</v>
      </c>
      <c r="O234" s="63">
        <f t="shared" si="204"/>
        <v>108.572</v>
      </c>
      <c r="P234" s="63">
        <f t="shared" si="204"/>
        <v>82.293999999999997</v>
      </c>
      <c r="Q234" s="63">
        <f t="shared" si="204"/>
        <v>143.399</v>
      </c>
      <c r="R234" s="63">
        <f t="shared" si="204"/>
        <v>497.97199999999998</v>
      </c>
      <c r="S234" s="63">
        <f t="shared" si="204"/>
        <v>478.791</v>
      </c>
      <c r="T234" s="63">
        <f t="shared" si="204"/>
        <v>755.10799999999995</v>
      </c>
      <c r="U234" s="63">
        <f t="shared" si="204"/>
        <v>939.33799999999997</v>
      </c>
      <c r="V234" s="63">
        <f t="shared" si="204"/>
        <v>923.20100000000002</v>
      </c>
      <c r="W234" s="63">
        <f t="shared" si="204"/>
        <v>847.74800000000005</v>
      </c>
      <c r="X234" s="63">
        <f t="shared" si="204"/>
        <v>785.99099999999999</v>
      </c>
      <c r="Y234" s="63">
        <f t="shared" si="204"/>
        <v>1195.646</v>
      </c>
      <c r="Z234" s="63">
        <f t="shared" si="204"/>
        <v>1508.066</v>
      </c>
      <c r="AA234" s="63">
        <f>AA175</f>
        <v>1573.2639999999999</v>
      </c>
      <c r="AB234" s="63">
        <f>AB175</f>
        <v>1499.173</v>
      </c>
      <c r="AC234" s="68">
        <f t="shared" ref="AC234:AL234" si="205">AB234</f>
        <v>1499.173</v>
      </c>
      <c r="AD234" s="68">
        <f t="shared" si="205"/>
        <v>1499.173</v>
      </c>
      <c r="AE234" s="68">
        <f t="shared" si="205"/>
        <v>1499.173</v>
      </c>
      <c r="AF234" s="68">
        <f t="shared" si="205"/>
        <v>1499.173</v>
      </c>
      <c r="AG234" s="68">
        <f t="shared" si="205"/>
        <v>1499.173</v>
      </c>
      <c r="AH234" s="68">
        <f t="shared" si="205"/>
        <v>1499.173</v>
      </c>
      <c r="AI234" s="68">
        <f t="shared" si="205"/>
        <v>1499.173</v>
      </c>
      <c r="AJ234" s="68">
        <f t="shared" si="205"/>
        <v>1499.173</v>
      </c>
      <c r="AK234" s="68">
        <f t="shared" si="205"/>
        <v>1499.173</v>
      </c>
      <c r="AL234" s="68">
        <f t="shared" si="205"/>
        <v>1499.173</v>
      </c>
      <c r="AM234" s="53"/>
    </row>
    <row r="235" spans="1:39" s="3" customFormat="1" outlineLevel="1">
      <c r="A235" s="96"/>
      <c r="B235"/>
      <c r="C235"/>
      <c r="D235" s="209" t="s">
        <v>561</v>
      </c>
      <c r="E235" s="193"/>
      <c r="F235" s="193"/>
      <c r="G235" s="208"/>
      <c r="H235" s="208"/>
      <c r="I235" s="208"/>
      <c r="J235" s="208"/>
      <c r="K235" s="208">
        <f t="shared" ref="K235:AL235" si="206">SUM(K233:K234)</f>
        <v>67.698999999999998</v>
      </c>
      <c r="L235" s="208">
        <f t="shared" si="206"/>
        <v>46.506</v>
      </c>
      <c r="M235" s="208">
        <f t="shared" si="206"/>
        <v>189.08100000000002</v>
      </c>
      <c r="N235" s="208">
        <f t="shared" si="206"/>
        <v>160.65700000000001</v>
      </c>
      <c r="O235" s="208">
        <f t="shared" si="206"/>
        <v>141.39400000000001</v>
      </c>
      <c r="P235" s="208">
        <f t="shared" si="206"/>
        <v>124.68799999999999</v>
      </c>
      <c r="Q235" s="208">
        <f t="shared" si="206"/>
        <v>645.10500000000002</v>
      </c>
      <c r="R235" s="208">
        <f t="shared" si="206"/>
        <v>636.94799999999998</v>
      </c>
      <c r="S235" s="208">
        <f t="shared" si="206"/>
        <v>587.85400000000004</v>
      </c>
      <c r="T235" s="208">
        <f t="shared" si="206"/>
        <v>1069.0909999999999</v>
      </c>
      <c r="U235" s="208">
        <f t="shared" si="206"/>
        <v>1051.297</v>
      </c>
      <c r="V235" s="208">
        <f t="shared" si="206"/>
        <v>1032.096</v>
      </c>
      <c r="W235" s="208">
        <f t="shared" si="206"/>
        <v>1035.2240000000002</v>
      </c>
      <c r="X235" s="208">
        <f t="shared" si="206"/>
        <v>1033.5419999999999</v>
      </c>
      <c r="Y235" s="208">
        <f t="shared" si="206"/>
        <v>1813.877</v>
      </c>
      <c r="Z235" s="208">
        <f t="shared" si="206"/>
        <v>1821.8430000000001</v>
      </c>
      <c r="AA235" s="208">
        <f>SUM(AA233:AA234)</f>
        <v>1725.2399999999998</v>
      </c>
      <c r="AB235" s="208">
        <f>SUM(AB233:AB234)</f>
        <v>1641.848</v>
      </c>
      <c r="AC235" s="208">
        <f t="shared" si="206"/>
        <v>1633.4469102298447</v>
      </c>
      <c r="AD235" s="208">
        <f t="shared" ca="1" si="206"/>
        <v>1612.5972093602461</v>
      </c>
      <c r="AE235" s="208">
        <f t="shared" ca="1" si="206"/>
        <v>1592.528555486715</v>
      </c>
      <c r="AF235" s="208">
        <f t="shared" ca="1" si="206"/>
        <v>1575.1809006536116</v>
      </c>
      <c r="AG235" s="208">
        <f t="shared" ca="1" si="206"/>
        <v>1556.508025505655</v>
      </c>
      <c r="AH235" s="208">
        <f t="shared" ca="1" si="206"/>
        <v>1540.9362045969822</v>
      </c>
      <c r="AI235" s="208">
        <f t="shared" ca="1" si="206"/>
        <v>1523.6220234468726</v>
      </c>
      <c r="AJ235" s="208">
        <f t="shared" ca="1" si="206"/>
        <v>1511.0904110486388</v>
      </c>
      <c r="AK235" s="208">
        <f t="shared" ca="1" si="206"/>
        <v>1496.9058831422763</v>
      </c>
      <c r="AL235" s="208">
        <f t="shared" ca="1" si="206"/>
        <v>1487.0530742368514</v>
      </c>
      <c r="AM235" s="53"/>
    </row>
    <row r="236" spans="1:39" s="3" customFormat="1" outlineLevel="1">
      <c r="A236" s="96"/>
      <c r="B236"/>
      <c r="C236"/>
      <c r="D236" s="59" t="s">
        <v>562</v>
      </c>
      <c r="G236" s="214"/>
      <c r="H236" s="214"/>
      <c r="I236" s="214"/>
      <c r="J236" s="214"/>
      <c r="K236" s="214">
        <f t="shared" ref="K236:AL236" si="207">AVERAGE(K235,J235)</f>
        <v>67.698999999999998</v>
      </c>
      <c r="L236" s="214">
        <f t="shared" si="207"/>
        <v>57.102499999999999</v>
      </c>
      <c r="M236" s="214">
        <f t="shared" si="207"/>
        <v>117.79350000000001</v>
      </c>
      <c r="N236" s="214">
        <f t="shared" si="207"/>
        <v>174.86900000000003</v>
      </c>
      <c r="O236" s="214">
        <f t="shared" si="207"/>
        <v>151.02550000000002</v>
      </c>
      <c r="P236" s="214">
        <f t="shared" si="207"/>
        <v>133.041</v>
      </c>
      <c r="Q236" s="214">
        <f t="shared" si="207"/>
        <v>384.8965</v>
      </c>
      <c r="R236" s="214">
        <f t="shared" si="207"/>
        <v>641.02649999999994</v>
      </c>
      <c r="S236" s="214">
        <f t="shared" si="207"/>
        <v>612.40100000000007</v>
      </c>
      <c r="T236" s="214">
        <f t="shared" si="207"/>
        <v>828.47249999999997</v>
      </c>
      <c r="U236" s="214">
        <f t="shared" si="207"/>
        <v>1060.194</v>
      </c>
      <c r="V236" s="214">
        <f t="shared" si="207"/>
        <v>1041.6965</v>
      </c>
      <c r="W236" s="214">
        <f t="shared" si="207"/>
        <v>1033.6600000000001</v>
      </c>
      <c r="X236" s="214">
        <f t="shared" si="207"/>
        <v>1034.383</v>
      </c>
      <c r="Y236" s="214">
        <f t="shared" si="207"/>
        <v>1423.7094999999999</v>
      </c>
      <c r="Z236" s="214">
        <f t="shared" si="207"/>
        <v>1817.8600000000001</v>
      </c>
      <c r="AA236" s="214">
        <f t="shared" si="207"/>
        <v>1773.5414999999998</v>
      </c>
      <c r="AB236" s="214">
        <f t="shared" si="207"/>
        <v>1683.5439999999999</v>
      </c>
      <c r="AC236" s="214">
        <f t="shared" si="207"/>
        <v>1637.6474551149222</v>
      </c>
      <c r="AD236" s="214">
        <f t="shared" ca="1" si="207"/>
        <v>1623.0220597950454</v>
      </c>
      <c r="AE236" s="214">
        <f t="shared" ca="1" si="207"/>
        <v>1602.5628824234805</v>
      </c>
      <c r="AF236" s="214">
        <f t="shared" ca="1" si="207"/>
        <v>1583.8547280701632</v>
      </c>
      <c r="AG236" s="214">
        <f t="shared" ca="1" si="207"/>
        <v>1565.8444630796334</v>
      </c>
      <c r="AH236" s="214">
        <f t="shared" ca="1" si="207"/>
        <v>1548.7221150513187</v>
      </c>
      <c r="AI236" s="214">
        <f t="shared" ca="1" si="207"/>
        <v>1532.2791140219274</v>
      </c>
      <c r="AJ236" s="214">
        <f t="shared" ca="1" si="207"/>
        <v>1517.3562172477557</v>
      </c>
      <c r="AK236" s="214">
        <f t="shared" ca="1" si="207"/>
        <v>1503.9981470954576</v>
      </c>
      <c r="AL236" s="214">
        <f t="shared" ca="1" si="207"/>
        <v>1491.9794786895638</v>
      </c>
      <c r="AM236" s="53"/>
    </row>
    <row r="237" spans="1:39" s="3" customFormat="1" outlineLevel="1">
      <c r="A237" s="96"/>
      <c r="B237"/>
      <c r="C237"/>
      <c r="D237" s="59" t="s">
        <v>155</v>
      </c>
      <c r="E237"/>
      <c r="F237"/>
      <c r="G237" s="182"/>
      <c r="H237" s="182"/>
      <c r="I237" s="182"/>
      <c r="J237" s="182"/>
      <c r="K237" s="182">
        <f t="shared" ref="K237:Z237" si="208">IFERROR(K245*4/K236,"na")</f>
        <v>1.3825905847944579E-2</v>
      </c>
      <c r="L237" s="182">
        <f t="shared" si="208"/>
        <v>1.5831180771419817E-2</v>
      </c>
      <c r="M237" s="182">
        <f t="shared" si="208"/>
        <v>1.3141641941193698E-2</v>
      </c>
      <c r="N237" s="182">
        <f t="shared" si="208"/>
        <v>2.3972230641222857E-2</v>
      </c>
      <c r="O237" s="182">
        <f t="shared" si="208"/>
        <v>2.4181346858643073E-2</v>
      </c>
      <c r="P237" s="182">
        <f t="shared" si="208"/>
        <v>2.4954713208710098E-2</v>
      </c>
      <c r="Q237" s="182">
        <f t="shared" si="208"/>
        <v>1.1213404122926552E-2</v>
      </c>
      <c r="R237" s="182">
        <f t="shared" si="208"/>
        <v>1.8501575207889222E-2</v>
      </c>
      <c r="S237" s="182">
        <f t="shared" si="208"/>
        <v>1.6779855029629278E-2</v>
      </c>
      <c r="T237" s="182">
        <f t="shared" si="208"/>
        <v>8.9658980835211795E-3</v>
      </c>
      <c r="U237" s="182">
        <f t="shared" si="208"/>
        <v>4.9651290235560664E-3</v>
      </c>
      <c r="V237" s="182">
        <f t="shared" si="208"/>
        <v>3.2485469616150191E-3</v>
      </c>
      <c r="W237" s="182">
        <f t="shared" si="208"/>
        <v>2.1051409554398931E-3</v>
      </c>
      <c r="X237" s="182">
        <f t="shared" si="208"/>
        <v>1.4424057626623793E-3</v>
      </c>
      <c r="Y237" s="182">
        <f t="shared" si="208"/>
        <v>1.0816813401891329E-3</v>
      </c>
      <c r="Z237" s="182">
        <f t="shared" si="208"/>
        <v>1.4698601652492491E-3</v>
      </c>
      <c r="AA237" s="182">
        <f>IFERROR(AA245*4/AA236,"na")</f>
        <v>2.3929521807073586E-3</v>
      </c>
      <c r="AB237" s="182">
        <f>IFERROR(AB245*4/AB236,"na")</f>
        <v>3.8989179967972329E-3</v>
      </c>
      <c r="AC237" s="165">
        <f t="shared" ref="AC237:AL237" si="209">AB237</f>
        <v>3.8989179967972329E-3</v>
      </c>
      <c r="AD237" s="165">
        <f t="shared" si="209"/>
        <v>3.8989179967972329E-3</v>
      </c>
      <c r="AE237" s="165">
        <f t="shared" si="209"/>
        <v>3.8989179967972329E-3</v>
      </c>
      <c r="AF237" s="165">
        <f t="shared" si="209"/>
        <v>3.8989179967972329E-3</v>
      </c>
      <c r="AG237" s="165">
        <f t="shared" si="209"/>
        <v>3.8989179967972329E-3</v>
      </c>
      <c r="AH237" s="165">
        <f t="shared" si="209"/>
        <v>3.8989179967972329E-3</v>
      </c>
      <c r="AI237" s="165">
        <f t="shared" si="209"/>
        <v>3.8989179967972329E-3</v>
      </c>
      <c r="AJ237" s="165">
        <f t="shared" si="209"/>
        <v>3.8989179967972329E-3</v>
      </c>
      <c r="AK237" s="165">
        <f t="shared" si="209"/>
        <v>3.8989179967972329E-3</v>
      </c>
      <c r="AL237" s="165">
        <f t="shared" si="209"/>
        <v>3.8989179967972329E-3</v>
      </c>
      <c r="AM237" s="53"/>
    </row>
    <row r="238" spans="1:39" s="3" customFormat="1" outlineLevel="1">
      <c r="A238" s="96"/>
      <c r="B238"/>
      <c r="C238"/>
      <c r="D238" s="59" t="s">
        <v>563</v>
      </c>
      <c r="E238"/>
      <c r="F238"/>
      <c r="G238" s="182"/>
      <c r="H238" s="182"/>
      <c r="I238" s="182"/>
      <c r="J238" s="182"/>
      <c r="K238" s="182">
        <f t="shared" ref="K238:AA238" si="210">IFERROR((K245+K141)*4/K236,"na")</f>
        <v>1.4712181863838462E-2</v>
      </c>
      <c r="L238" s="182">
        <f t="shared" si="210"/>
        <v>1.4360141850181692E-2</v>
      </c>
      <c r="M238" s="182">
        <f t="shared" si="210"/>
        <v>1.0696685300971615E-2</v>
      </c>
      <c r="N238" s="182">
        <f t="shared" si="210"/>
        <v>1.2718091828740371E-2</v>
      </c>
      <c r="O238" s="182">
        <f t="shared" si="210"/>
        <v>1.0461809429533422E-2</v>
      </c>
      <c r="P238" s="182">
        <f t="shared" si="210"/>
        <v>1.4912696086168924E-2</v>
      </c>
      <c r="Q238" s="182">
        <f t="shared" si="210"/>
        <v>8.2515689282703277E-3</v>
      </c>
      <c r="R238" s="182">
        <f t="shared" si="210"/>
        <v>1.4358220759984181E-2</v>
      </c>
      <c r="S238" s="182">
        <f t="shared" si="210"/>
        <v>1.3801414432700141E-2</v>
      </c>
      <c r="T238" s="182">
        <f t="shared" si="210"/>
        <v>9.3956045614066851E-3</v>
      </c>
      <c r="U238" s="182">
        <f t="shared" si="210"/>
        <v>7.2854590763577242E-3</v>
      </c>
      <c r="V238" s="182">
        <f t="shared" si="210"/>
        <v>8.6013536572312563E-3</v>
      </c>
      <c r="W238" s="182">
        <f t="shared" si="210"/>
        <v>9.3763906893949648E-3</v>
      </c>
      <c r="X238" s="182">
        <f t="shared" si="210"/>
        <v>9.1184793253562754E-3</v>
      </c>
      <c r="Y238" s="182">
        <f t="shared" si="210"/>
        <v>7.0941438544871701E-3</v>
      </c>
      <c r="Z238" s="182">
        <f t="shared" si="210"/>
        <v>6.6473765856556611E-3</v>
      </c>
      <c r="AA238" s="182">
        <f t="shared" si="210"/>
        <v>7.3434988693526484E-3</v>
      </c>
      <c r="AB238" s="182">
        <f>IFERROR((AB245+AB141)*4/AB236,"na")</f>
        <v>7.7075502630165891E-3</v>
      </c>
      <c r="AC238" s="165"/>
      <c r="AD238" s="165"/>
      <c r="AE238" s="165"/>
      <c r="AF238" s="165"/>
      <c r="AG238" s="165"/>
      <c r="AH238" s="165"/>
      <c r="AI238" s="165"/>
      <c r="AJ238" s="165"/>
      <c r="AK238" s="165"/>
      <c r="AL238" s="165"/>
      <c r="AM238" s="53"/>
    </row>
    <row r="239" spans="1:39" s="3" customFormat="1" outlineLevel="1">
      <c r="A239" s="96"/>
      <c r="B239"/>
      <c r="C239"/>
      <c r="D239" s="59"/>
      <c r="E239"/>
      <c r="F239"/>
      <c r="G239" s="182"/>
      <c r="H239" s="182"/>
      <c r="I239" s="182"/>
      <c r="J239" s="182"/>
      <c r="K239" s="182"/>
      <c r="L239" s="182"/>
      <c r="M239" s="182"/>
      <c r="N239" s="182"/>
      <c r="O239" s="182"/>
      <c r="P239" s="182"/>
      <c r="Q239" s="182"/>
      <c r="R239" s="182"/>
      <c r="S239" s="182"/>
      <c r="T239" s="182"/>
      <c r="U239" s="182"/>
      <c r="V239" s="182"/>
      <c r="W239" s="182"/>
      <c r="X239" s="182"/>
      <c r="Y239" s="182"/>
      <c r="Z239" s="182"/>
      <c r="AA239" s="165"/>
      <c r="AB239" s="165"/>
      <c r="AC239" s="165"/>
      <c r="AD239" s="165"/>
      <c r="AE239" s="165"/>
      <c r="AF239" s="165"/>
      <c r="AG239" s="165"/>
      <c r="AH239" s="165"/>
      <c r="AI239" s="165"/>
      <c r="AJ239" s="165"/>
      <c r="AK239" s="165"/>
      <c r="AL239" s="165"/>
      <c r="AM239" s="53"/>
    </row>
    <row r="240" spans="1:39" s="3" customFormat="1" outlineLevel="1">
      <c r="A240" s="96"/>
      <c r="B240"/>
      <c r="C240"/>
      <c r="D240" s="59" t="s">
        <v>152</v>
      </c>
      <c r="E240"/>
      <c r="F240"/>
      <c r="G240" s="7"/>
      <c r="H240" s="7"/>
      <c r="I240" s="7"/>
      <c r="J240" s="7"/>
      <c r="K240" s="7">
        <f t="shared" ref="K240:AL240" si="211">K229-K235</f>
        <v>-56.823999999999998</v>
      </c>
      <c r="L240" s="7">
        <f t="shared" si="211"/>
        <v>-35.679000000000002</v>
      </c>
      <c r="M240" s="7">
        <f t="shared" si="211"/>
        <v>-178.31600000000003</v>
      </c>
      <c r="N240" s="7">
        <f t="shared" si="211"/>
        <v>-149.959</v>
      </c>
      <c r="O240" s="7">
        <f t="shared" si="211"/>
        <v>-130.76300000000001</v>
      </c>
      <c r="P240" s="7">
        <f t="shared" si="211"/>
        <v>-114.124</v>
      </c>
      <c r="Q240" s="7">
        <f t="shared" si="211"/>
        <v>-634.56700000000001</v>
      </c>
      <c r="R240" s="7">
        <f t="shared" si="211"/>
        <v>-626.44200000000001</v>
      </c>
      <c r="S240" s="7">
        <f t="shared" si="211"/>
        <v>-537.05000000000007</v>
      </c>
      <c r="T240" s="7">
        <f t="shared" si="211"/>
        <v>-655.03399999999988</v>
      </c>
      <c r="U240" s="7">
        <f t="shared" si="211"/>
        <v>-629.846</v>
      </c>
      <c r="V240" s="7">
        <f t="shared" si="211"/>
        <v>-603.79500000000007</v>
      </c>
      <c r="W240" s="7">
        <f t="shared" si="211"/>
        <v>-599.3610000000001</v>
      </c>
      <c r="X240" s="7">
        <f t="shared" si="211"/>
        <v>-585.14699999999993</v>
      </c>
      <c r="Y240" s="7">
        <f t="shared" si="211"/>
        <v>-566.00599999999986</v>
      </c>
      <c r="Z240" s="7">
        <f t="shared" si="211"/>
        <v>-528.63700000000017</v>
      </c>
      <c r="AA240" s="7">
        <f t="shared" si="211"/>
        <v>-150.61099999999988</v>
      </c>
      <c r="AB240" s="7">
        <f>AB229-AB235</f>
        <v>-74.335000000000036</v>
      </c>
      <c r="AC240" s="7">
        <f t="shared" si="211"/>
        <v>-31.760013051752139</v>
      </c>
      <c r="AD240" s="7">
        <f t="shared" ca="1" si="211"/>
        <v>-5.5381406567184968</v>
      </c>
      <c r="AE240" s="7">
        <f t="shared" ca="1" si="211"/>
        <v>50.406898946280307</v>
      </c>
      <c r="AF240" s="7">
        <f t="shared" ca="1" si="211"/>
        <v>79.363884185976303</v>
      </c>
      <c r="AG240" s="7">
        <f t="shared" ca="1" si="211"/>
        <v>127.66336465307018</v>
      </c>
      <c r="AH240" s="7">
        <f t="shared" ca="1" si="211"/>
        <v>160.78626745915881</v>
      </c>
      <c r="AI240" s="7">
        <f t="shared" ca="1" si="211"/>
        <v>200.77327253828412</v>
      </c>
      <c r="AJ240" s="7">
        <f t="shared" ca="1" si="211"/>
        <v>241.21045976941718</v>
      </c>
      <c r="AK240" s="7">
        <f t="shared" ca="1" si="211"/>
        <v>269.6916629345717</v>
      </c>
      <c r="AL240" s="7">
        <f t="shared" ca="1" si="211"/>
        <v>314.82047484724762</v>
      </c>
      <c r="AM240" s="53"/>
    </row>
    <row r="241" spans="1:39" s="3" customFormat="1" outlineLevel="1">
      <c r="A241" s="96"/>
      <c r="B241"/>
      <c r="C241"/>
      <c r="D241" s="59" t="s">
        <v>103</v>
      </c>
      <c r="E241"/>
      <c r="F241"/>
      <c r="G241" s="79"/>
      <c r="H241" s="79"/>
      <c r="I241" s="79"/>
      <c r="J241" s="79"/>
      <c r="K241" s="79">
        <f t="shared" ref="K241:AL241" si="212">+K110</f>
        <v>-5.4320000000000022</v>
      </c>
      <c r="L241" s="79">
        <f t="shared" si="212"/>
        <v>-14.490000000000004</v>
      </c>
      <c r="M241" s="79">
        <f t="shared" si="212"/>
        <v>-6.1969999999999992</v>
      </c>
      <c r="N241" s="79">
        <f t="shared" si="212"/>
        <v>-9.5149999999999952</v>
      </c>
      <c r="O241" s="79">
        <f t="shared" si="212"/>
        <v>-8.6580000000000084</v>
      </c>
      <c r="P241" s="79">
        <f t="shared" si="212"/>
        <v>-10.195999999999987</v>
      </c>
      <c r="Q241" s="79">
        <f t="shared" si="212"/>
        <v>-30.504999999999999</v>
      </c>
      <c r="R241" s="79">
        <f t="shared" si="212"/>
        <v>-18.286999999999995</v>
      </c>
      <c r="S241" s="79">
        <f t="shared" si="212"/>
        <v>-15.679000000000009</v>
      </c>
      <c r="T241" s="79">
        <f t="shared" si="212"/>
        <v>-9.2419999999999902</v>
      </c>
      <c r="U241" s="79">
        <f t="shared" si="212"/>
        <v>-3.7129999999999903</v>
      </c>
      <c r="V241" s="79">
        <f t="shared" si="212"/>
        <v>-5.1440000000000019</v>
      </c>
      <c r="W241" s="79">
        <f t="shared" si="212"/>
        <v>-9.975999999999992</v>
      </c>
      <c r="X241" s="79">
        <f t="shared" si="212"/>
        <v>-5.9900000000000055</v>
      </c>
      <c r="Y241" s="79">
        <f t="shared" si="212"/>
        <v>-1.6910000000000025</v>
      </c>
      <c r="Z241" s="79">
        <f t="shared" si="212"/>
        <v>-14.153000000000006</v>
      </c>
      <c r="AA241" s="79">
        <f t="shared" si="212"/>
        <v>-7.7090000000000032</v>
      </c>
      <c r="AB241" s="79">
        <f>+AB110</f>
        <v>-27.604000000000006</v>
      </c>
      <c r="AC241" s="79">
        <f t="shared" si="212"/>
        <v>-10.870948069290492</v>
      </c>
      <c r="AD241" s="79">
        <f t="shared" si="212"/>
        <v>-7.7962690567185291</v>
      </c>
      <c r="AE241" s="79">
        <f t="shared" si="212"/>
        <v>-5.7274507767817653</v>
      </c>
      <c r="AF241" s="79">
        <f t="shared" si="212"/>
        <v>-3.3839294881238331</v>
      </c>
      <c r="AG241" s="79">
        <f t="shared" si="212"/>
        <v>-0.57043428994170853</v>
      </c>
      <c r="AH241" s="79">
        <f t="shared" si="212"/>
        <v>2.6566909749505356</v>
      </c>
      <c r="AI241" s="79">
        <f t="shared" si="212"/>
        <v>5.6899025366888623</v>
      </c>
      <c r="AJ241" s="79">
        <f t="shared" si="212"/>
        <v>9.2909634848520213</v>
      </c>
      <c r="AK241" s="79">
        <f t="shared" si="212"/>
        <v>13.142264588209756</v>
      </c>
      <c r="AL241" s="79">
        <f t="shared" si="212"/>
        <v>17.697323015674826</v>
      </c>
      <c r="AM241" s="53"/>
    </row>
    <row r="242" spans="1:39" s="3" customFormat="1" outlineLevel="1">
      <c r="A242" s="96"/>
      <c r="B242"/>
      <c r="C242"/>
      <c r="D242" s="59" t="s">
        <v>153</v>
      </c>
      <c r="E242"/>
      <c r="F242"/>
      <c r="G242" s="127"/>
      <c r="H242" s="127"/>
      <c r="I242" s="127"/>
      <c r="J242" s="127"/>
      <c r="K242" s="127" t="str">
        <f t="shared" ref="K242:AL242" si="213">IF(OR(K241&lt;0,K229/(K241*4)&gt;20),"na",+K229/(K241*4))</f>
        <v>na</v>
      </c>
      <c r="L242" s="127" t="str">
        <f t="shared" si="213"/>
        <v>na</v>
      </c>
      <c r="M242" s="127" t="str">
        <f t="shared" si="213"/>
        <v>na</v>
      </c>
      <c r="N242" s="127" t="str">
        <f t="shared" si="213"/>
        <v>na</v>
      </c>
      <c r="O242" s="127" t="str">
        <f t="shared" si="213"/>
        <v>na</v>
      </c>
      <c r="P242" s="127" t="str">
        <f t="shared" si="213"/>
        <v>na</v>
      </c>
      <c r="Q242" s="127" t="str">
        <f t="shared" si="213"/>
        <v>na</v>
      </c>
      <c r="R242" s="127" t="str">
        <f t="shared" si="213"/>
        <v>na</v>
      </c>
      <c r="S242" s="127" t="str">
        <f t="shared" si="213"/>
        <v>na</v>
      </c>
      <c r="T242" s="127" t="str">
        <f t="shared" si="213"/>
        <v>na</v>
      </c>
      <c r="U242" s="127" t="str">
        <f t="shared" si="213"/>
        <v>na</v>
      </c>
      <c r="V242" s="127" t="str">
        <f t="shared" si="213"/>
        <v>na</v>
      </c>
      <c r="W242" s="127" t="str">
        <f t="shared" si="213"/>
        <v>na</v>
      </c>
      <c r="X242" s="127" t="str">
        <f t="shared" si="213"/>
        <v>na</v>
      </c>
      <c r="Y242" s="127" t="str">
        <f t="shared" si="213"/>
        <v>na</v>
      </c>
      <c r="Z242" s="127" t="str">
        <f t="shared" si="213"/>
        <v>na</v>
      </c>
      <c r="AA242" s="127" t="str">
        <f t="shared" si="213"/>
        <v>na</v>
      </c>
      <c r="AB242" s="127" t="str">
        <f>IF(OR(AB241&lt;0,AB229/(AB241*4)&gt;20),"na",+AB229/(AB241*4))</f>
        <v>na</v>
      </c>
      <c r="AC242" s="127" t="str">
        <f t="shared" si="213"/>
        <v>na</v>
      </c>
      <c r="AD242" s="127" t="str">
        <f t="shared" si="213"/>
        <v>na</v>
      </c>
      <c r="AE242" s="127" t="str">
        <f t="shared" si="213"/>
        <v>na</v>
      </c>
      <c r="AF242" s="127" t="str">
        <f t="shared" si="213"/>
        <v>na</v>
      </c>
      <c r="AG242" s="127" t="str">
        <f t="shared" si="213"/>
        <v>na</v>
      </c>
      <c r="AH242" s="127" t="str">
        <f t="shared" si="213"/>
        <v>na</v>
      </c>
      <c r="AI242" s="127" t="str">
        <f t="shared" si="213"/>
        <v>na</v>
      </c>
      <c r="AJ242" s="127" t="str">
        <f t="shared" si="213"/>
        <v>na</v>
      </c>
      <c r="AK242" s="127" t="str">
        <f t="shared" si="213"/>
        <v>na</v>
      </c>
      <c r="AL242" s="127" t="str">
        <f t="shared" si="213"/>
        <v>na</v>
      </c>
      <c r="AM242" s="53"/>
    </row>
    <row r="243" spans="1:39" s="3" customFormat="1" outlineLevel="1">
      <c r="A243" s="96"/>
      <c r="B243"/>
      <c r="C243"/>
      <c r="D243" s="59" t="s">
        <v>84</v>
      </c>
      <c r="E243"/>
      <c r="F243"/>
      <c r="G243" s="127"/>
      <c r="H243" s="127"/>
      <c r="I243" s="127"/>
      <c r="J243" s="127"/>
      <c r="K243" s="127" t="str">
        <f t="shared" ref="K243:AL243" si="214">IF(OR(K241&lt;0,K240/(K241*4)&gt;20),"na",+K240/(K241*4))</f>
        <v>na</v>
      </c>
      <c r="L243" s="127" t="str">
        <f t="shared" si="214"/>
        <v>na</v>
      </c>
      <c r="M243" s="127" t="str">
        <f t="shared" si="214"/>
        <v>na</v>
      </c>
      <c r="N243" s="127" t="str">
        <f t="shared" si="214"/>
        <v>na</v>
      </c>
      <c r="O243" s="127" t="str">
        <f t="shared" si="214"/>
        <v>na</v>
      </c>
      <c r="P243" s="127" t="str">
        <f t="shared" si="214"/>
        <v>na</v>
      </c>
      <c r="Q243" s="127" t="str">
        <f t="shared" si="214"/>
        <v>na</v>
      </c>
      <c r="R243" s="127" t="str">
        <f t="shared" si="214"/>
        <v>na</v>
      </c>
      <c r="S243" s="127" t="str">
        <f t="shared" si="214"/>
        <v>na</v>
      </c>
      <c r="T243" s="127" t="str">
        <f t="shared" si="214"/>
        <v>na</v>
      </c>
      <c r="U243" s="127" t="str">
        <f t="shared" si="214"/>
        <v>na</v>
      </c>
      <c r="V243" s="127" t="str">
        <f t="shared" si="214"/>
        <v>na</v>
      </c>
      <c r="W243" s="127" t="str">
        <f t="shared" si="214"/>
        <v>na</v>
      </c>
      <c r="X243" s="127" t="str">
        <f t="shared" si="214"/>
        <v>na</v>
      </c>
      <c r="Y243" s="127" t="str">
        <f t="shared" si="214"/>
        <v>na</v>
      </c>
      <c r="Z243" s="127" t="str">
        <f t="shared" si="214"/>
        <v>na</v>
      </c>
      <c r="AA243" s="127" t="str">
        <f t="shared" si="214"/>
        <v>na</v>
      </c>
      <c r="AB243" s="127" t="str">
        <f>IF(OR(AB241&lt;0,AB240/(AB241*4)&gt;20),"na",+AB240/(AB241*4))</f>
        <v>na</v>
      </c>
      <c r="AC243" s="127" t="str">
        <f t="shared" si="214"/>
        <v>na</v>
      </c>
      <c r="AD243" s="127" t="str">
        <f t="shared" ca="1" si="214"/>
        <v>na</v>
      </c>
      <c r="AE243" s="127" t="str">
        <f t="shared" ca="1" si="214"/>
        <v>na</v>
      </c>
      <c r="AF243" s="127" t="str">
        <f t="shared" ca="1" si="214"/>
        <v>na</v>
      </c>
      <c r="AG243" s="127" t="str">
        <f t="shared" ca="1" si="214"/>
        <v>na</v>
      </c>
      <c r="AH243" s="127">
        <f t="shared" ca="1" si="214"/>
        <v>15.130313327291713</v>
      </c>
      <c r="AI243" s="127">
        <f t="shared" ca="1" si="214"/>
        <v>8.8214723909454058</v>
      </c>
      <c r="AJ243" s="127">
        <f t="shared" ca="1" si="214"/>
        <v>6.4904587172979022</v>
      </c>
      <c r="AK243" s="127">
        <f t="shared" ca="1" si="214"/>
        <v>5.1302357581607101</v>
      </c>
      <c r="AL243" s="127">
        <f t="shared" ca="1" si="214"/>
        <v>4.4472894935635985</v>
      </c>
      <c r="AM243" s="53"/>
    </row>
    <row r="244" spans="1:39" s="3" customFormat="1" outlineLevel="1">
      <c r="A244" s="96"/>
      <c r="B244"/>
      <c r="C244"/>
      <c r="D244" s="59"/>
      <c r="E244"/>
      <c r="F244"/>
      <c r="G244"/>
      <c r="H244"/>
      <c r="I244"/>
      <c r="J244"/>
      <c r="K244"/>
      <c r="L244"/>
      <c r="M244"/>
      <c r="N244"/>
      <c r="O244"/>
      <c r="P244"/>
      <c r="Q244"/>
      <c r="R244"/>
      <c r="S244"/>
      <c r="T244"/>
      <c r="U244" s="7"/>
      <c r="V244" s="7"/>
      <c r="W244" s="7"/>
      <c r="X244"/>
      <c r="Y244"/>
      <c r="Z244"/>
      <c r="AA244" s="247"/>
      <c r="AB244" s="247"/>
      <c r="AC244" s="247"/>
      <c r="AD244" s="247"/>
      <c r="AE244" s="247"/>
      <c r="AF244" s="247"/>
      <c r="AG244" s="247"/>
      <c r="AH244" s="247"/>
      <c r="AI244" s="247"/>
      <c r="AJ244" s="247"/>
      <c r="AK244" s="247"/>
      <c r="AL244" s="247"/>
      <c r="AM244" s="53"/>
    </row>
    <row r="245" spans="1:39" s="3" customFormat="1" outlineLevel="1">
      <c r="A245" s="96" t="s">
        <v>395</v>
      </c>
      <c r="B245"/>
      <c r="C245"/>
      <c r="D245" s="59" t="s">
        <v>106</v>
      </c>
      <c r="E245"/>
      <c r="F245"/>
      <c r="G245" s="181">
        <v>0.16600000000000001</v>
      </c>
      <c r="H245" s="181">
        <v>0.17399999999999999</v>
      </c>
      <c r="I245" s="181">
        <v>0.214</v>
      </c>
      <c r="J245" s="181">
        <v>0.20799999999999999</v>
      </c>
      <c r="K245" s="181">
        <v>0.23400000000000001</v>
      </c>
      <c r="L245" s="181">
        <v>0.22600000000000001</v>
      </c>
      <c r="M245" s="181">
        <v>0.38700000000000001</v>
      </c>
      <c r="N245" s="181">
        <v>1.048</v>
      </c>
      <c r="O245" s="181">
        <v>0.91300000000000003</v>
      </c>
      <c r="P245" s="181">
        <v>0.83</v>
      </c>
      <c r="Q245" s="181">
        <v>1.079</v>
      </c>
      <c r="R245" s="181">
        <v>2.9649999999999999</v>
      </c>
      <c r="S245" s="181">
        <v>2.569</v>
      </c>
      <c r="T245" s="181">
        <v>1.857</v>
      </c>
      <c r="U245" s="181">
        <v>1.3160000000000001</v>
      </c>
      <c r="V245" s="181">
        <v>0.84599999999999997</v>
      </c>
      <c r="W245" s="181">
        <v>0.54400000000000004</v>
      </c>
      <c r="X245" s="181">
        <v>0.373</v>
      </c>
      <c r="Y245" s="181">
        <v>0.38500000000000001</v>
      </c>
      <c r="Z245" s="181">
        <v>0.66800000000000004</v>
      </c>
      <c r="AA245" s="181">
        <v>1.0609999999999999</v>
      </c>
      <c r="AB245" s="181">
        <v>1.641</v>
      </c>
      <c r="AC245" s="7">
        <f t="shared" ref="AC245:AL245" si="215">IFERROR(AB235*AC237/4,0)</f>
        <v>1.6003576788013858</v>
      </c>
      <c r="AD245" s="7">
        <f t="shared" si="215"/>
        <v>1.5921688887769938</v>
      </c>
      <c r="AE245" s="7">
        <f t="shared" ca="1" si="215"/>
        <v>1.5718460702899146</v>
      </c>
      <c r="AF245" s="7">
        <f t="shared" ca="1" si="215"/>
        <v>1.5522845613501635</v>
      </c>
      <c r="AG245" s="7">
        <f t="shared" ca="1" si="215"/>
        <v>1.5353752904424101</v>
      </c>
      <c r="AH245" s="7">
        <f t="shared" ca="1" si="215"/>
        <v>1.5171742882008312</v>
      </c>
      <c r="AI245" s="7">
        <f t="shared" ca="1" si="215"/>
        <v>1.5019959750048992</v>
      </c>
      <c r="AJ245" s="7">
        <f t="shared" ca="1" si="215"/>
        <v>1.4851193318834068</v>
      </c>
      <c r="AK245" s="7">
        <f t="shared" ca="1" si="215"/>
        <v>1.4729043996063165</v>
      </c>
      <c r="AL245" s="7">
        <f t="shared" ca="1" si="215"/>
        <v>1.4590783218237691</v>
      </c>
      <c r="AM245" s="53"/>
    </row>
    <row r="246" spans="1:39" s="3" customFormat="1" outlineLevel="1">
      <c r="A246" s="96" t="s">
        <v>396</v>
      </c>
      <c r="B246"/>
      <c r="C246"/>
      <c r="D246" s="59" t="s">
        <v>107</v>
      </c>
      <c r="E246"/>
      <c r="F246"/>
      <c r="G246" s="181">
        <v>-0.18099999999999999</v>
      </c>
      <c r="H246" s="181">
        <v>-0.224</v>
      </c>
      <c r="I246" s="181">
        <v>-0.22600000000000001</v>
      </c>
      <c r="J246" s="181">
        <v>-0.23100000000000001</v>
      </c>
      <c r="K246" s="181">
        <v>-0.23200000000000001</v>
      </c>
      <c r="L246" s="181">
        <v>-0.24299999999999999</v>
      </c>
      <c r="M246" s="181">
        <v>-0.251</v>
      </c>
      <c r="N246" s="181">
        <v>-0.26600000000000001</v>
      </c>
      <c r="O246" s="181">
        <v>-0.27300000000000002</v>
      </c>
      <c r="P246" s="181">
        <v>-0.28999999999999998</v>
      </c>
      <c r="Q246" s="181">
        <v>-0.40699999999999997</v>
      </c>
      <c r="R246" s="181">
        <f>-0.142-R247</f>
        <v>-0.14199999999999999</v>
      </c>
      <c r="S246" s="181">
        <f>-0.067-S247</f>
        <v>-6.7000000000000004E-2</v>
      </c>
      <c r="T246" s="181">
        <f>-5.007-T247</f>
        <v>-0.70399999999999974</v>
      </c>
      <c r="U246" s="181">
        <f>-9.828-U247</f>
        <v>-1.266</v>
      </c>
      <c r="V246" s="181">
        <f>-10.062-V247</f>
        <v>-1.298</v>
      </c>
      <c r="W246" s="181">
        <f>-10.234-W247</f>
        <v>-1.2629999999999999</v>
      </c>
      <c r="X246" s="181">
        <f>-10.444-X247</f>
        <v>-1.261000000000001</v>
      </c>
      <c r="Y246" s="181">
        <f>-12.448-Y247</f>
        <v>-0.11400000000000077</v>
      </c>
      <c r="Z246" s="181">
        <f>-16.108-Z247</f>
        <v>-0.4220000000000006</v>
      </c>
      <c r="AA246" s="181">
        <f>-1.557-AA247</f>
        <v>-0.38700000000000001</v>
      </c>
      <c r="AB246" s="181">
        <f>-1.04-AB247</f>
        <v>0.12199999999999989</v>
      </c>
      <c r="AC246" s="7">
        <f t="shared" ref="AC246:AL246" si="216">-(AB229*AC231/4)*AC249</f>
        <v>-2.3512694999999999</v>
      </c>
      <c r="AD246" s="7">
        <f t="shared" si="216"/>
        <v>-2.402530345767139</v>
      </c>
      <c r="AE246" s="7">
        <f t="shared" si="216"/>
        <v>-2.4105886030552917</v>
      </c>
      <c r="AF246" s="7">
        <f t="shared" si="216"/>
        <v>-2.4644031816494931</v>
      </c>
      <c r="AG246" s="7">
        <f t="shared" si="216"/>
        <v>-2.4818171772593822</v>
      </c>
      <c r="AH246" s="7">
        <f t="shared" si="216"/>
        <v>-2.5262570852380875</v>
      </c>
      <c r="AI246" s="7">
        <f t="shared" si="216"/>
        <v>-2.5525837080842111</v>
      </c>
      <c r="AJ246" s="7">
        <f t="shared" si="216"/>
        <v>-2.5865929439777351</v>
      </c>
      <c r="AK246" s="7">
        <f t="shared" si="216"/>
        <v>-2.6284513062270838</v>
      </c>
      <c r="AL246" s="7">
        <f t="shared" si="216"/>
        <v>-2.6498963191152716</v>
      </c>
      <c r="AM246" s="53"/>
    </row>
    <row r="247" spans="1:39" s="3" customFormat="1" outlineLevel="1">
      <c r="A247" s="96" t="s">
        <v>397</v>
      </c>
      <c r="B247"/>
      <c r="C247"/>
      <c r="D247" s="59" t="s">
        <v>364</v>
      </c>
      <c r="E247"/>
      <c r="F247"/>
      <c r="G247" s="181">
        <v>0</v>
      </c>
      <c r="H247" s="181">
        <v>0</v>
      </c>
      <c r="I247" s="181">
        <v>0</v>
      </c>
      <c r="J247" s="181">
        <v>0</v>
      </c>
      <c r="K247" s="181">
        <v>0</v>
      </c>
      <c r="L247" s="181">
        <v>0</v>
      </c>
      <c r="M247" s="181">
        <v>0</v>
      </c>
      <c r="N247" s="181">
        <v>0</v>
      </c>
      <c r="O247" s="181">
        <v>0</v>
      </c>
      <c r="P247" s="181">
        <v>0</v>
      </c>
      <c r="Q247" s="181">
        <v>0</v>
      </c>
      <c r="R247" s="181">
        <v>0</v>
      </c>
      <c r="S247" s="181">
        <v>0</v>
      </c>
      <c r="T247" s="181">
        <v>-4.3029999999999999</v>
      </c>
      <c r="U247" s="181">
        <v>-8.5619999999999994</v>
      </c>
      <c r="V247" s="181">
        <v>-8.7639999999999993</v>
      </c>
      <c r="W247" s="181">
        <v>-8.9710000000000001</v>
      </c>
      <c r="X247" s="181">
        <v>-9.1829999999999998</v>
      </c>
      <c r="Y247" s="181">
        <v>-12.334</v>
      </c>
      <c r="Z247" s="181">
        <v>-15.686</v>
      </c>
      <c r="AA247" s="181">
        <v>-1.17</v>
      </c>
      <c r="AB247" s="181">
        <f>-2.332-AA247</f>
        <v>-1.1619999999999999</v>
      </c>
      <c r="AC247" s="7">
        <f t="shared" ref="AC247:AL247" si="217">-(AB229*AC231/4)*(1-AC249)</f>
        <v>-13.323860499999999</v>
      </c>
      <c r="AD247" s="7">
        <f t="shared" si="217"/>
        <v>-13.614338626013787</v>
      </c>
      <c r="AE247" s="7">
        <f t="shared" si="217"/>
        <v>-13.660002083979986</v>
      </c>
      <c r="AF247" s="7">
        <f t="shared" si="217"/>
        <v>-13.964951362680461</v>
      </c>
      <c r="AG247" s="7">
        <f t="shared" si="217"/>
        <v>-14.063630671136499</v>
      </c>
      <c r="AH247" s="7">
        <f t="shared" si="217"/>
        <v>-14.315456816349164</v>
      </c>
      <c r="AI247" s="7">
        <f t="shared" si="217"/>
        <v>-14.464641012477196</v>
      </c>
      <c r="AJ247" s="7">
        <f t="shared" si="217"/>
        <v>-14.657360015873833</v>
      </c>
      <c r="AK247" s="7">
        <f t="shared" si="217"/>
        <v>-14.894557401953474</v>
      </c>
      <c r="AL247" s="7">
        <f t="shared" si="217"/>
        <v>-15.016079141653206</v>
      </c>
      <c r="AM247" s="53"/>
    </row>
    <row r="248" spans="1:39" s="3" customFormat="1" outlineLevel="1">
      <c r="A248" s="96"/>
      <c r="B248"/>
      <c r="C248"/>
      <c r="D248" s="209" t="s">
        <v>369</v>
      </c>
      <c r="E248" s="193"/>
      <c r="F248" s="193"/>
      <c r="G248" s="208">
        <f t="shared" ref="G248:AL248" si="218">SUM(G245:G247)</f>
        <v>-1.4999999999999986E-2</v>
      </c>
      <c r="H248" s="208">
        <f t="shared" si="218"/>
        <v>-5.0000000000000017E-2</v>
      </c>
      <c r="I248" s="208">
        <f t="shared" si="218"/>
        <v>-1.2000000000000011E-2</v>
      </c>
      <c r="J248" s="208">
        <f t="shared" si="218"/>
        <v>-2.300000000000002E-2</v>
      </c>
      <c r="K248" s="208">
        <f t="shared" si="218"/>
        <v>2.0000000000000018E-3</v>
      </c>
      <c r="L248" s="208">
        <f t="shared" si="218"/>
        <v>-1.6999999999999987E-2</v>
      </c>
      <c r="M248" s="208">
        <f t="shared" si="218"/>
        <v>0.13600000000000001</v>
      </c>
      <c r="N248" s="208">
        <f t="shared" si="218"/>
        <v>0.78200000000000003</v>
      </c>
      <c r="O248" s="208">
        <f t="shared" si="218"/>
        <v>0.64</v>
      </c>
      <c r="P248" s="208">
        <f t="shared" si="218"/>
        <v>0.54</v>
      </c>
      <c r="Q248" s="208">
        <f t="shared" si="218"/>
        <v>0.67199999999999993</v>
      </c>
      <c r="R248" s="208">
        <f t="shared" si="218"/>
        <v>2.823</v>
      </c>
      <c r="S248" s="208">
        <f t="shared" si="218"/>
        <v>2.5019999999999998</v>
      </c>
      <c r="T248" s="208">
        <f t="shared" si="218"/>
        <v>-3.1499999999999995</v>
      </c>
      <c r="U248" s="208">
        <f t="shared" si="218"/>
        <v>-8.5119999999999987</v>
      </c>
      <c r="V248" s="208">
        <f t="shared" si="218"/>
        <v>-9.2159999999999993</v>
      </c>
      <c r="W248" s="208">
        <f t="shared" si="218"/>
        <v>-9.69</v>
      </c>
      <c r="X248" s="208">
        <f t="shared" si="218"/>
        <v>-10.071000000000002</v>
      </c>
      <c r="Y248" s="208">
        <f t="shared" si="218"/>
        <v>-12.063000000000001</v>
      </c>
      <c r="Z248" s="208">
        <f t="shared" si="218"/>
        <v>-15.440000000000001</v>
      </c>
      <c r="AA248" s="208">
        <f t="shared" si="218"/>
        <v>-0.496</v>
      </c>
      <c r="AB248" s="208">
        <f t="shared" si="218"/>
        <v>0.60099999999999998</v>
      </c>
      <c r="AC248" s="208">
        <f t="shared" si="218"/>
        <v>-14.074772321198612</v>
      </c>
      <c r="AD248" s="208">
        <f t="shared" si="218"/>
        <v>-14.424700083003932</v>
      </c>
      <c r="AE248" s="208">
        <f t="shared" ca="1" si="218"/>
        <v>-14.498744616745363</v>
      </c>
      <c r="AF248" s="208">
        <f t="shared" ca="1" si="218"/>
        <v>-14.877069982979791</v>
      </c>
      <c r="AG248" s="208">
        <f t="shared" ca="1" si="218"/>
        <v>-15.010072557953471</v>
      </c>
      <c r="AH248" s="208">
        <f t="shared" ca="1" si="218"/>
        <v>-15.32453961338642</v>
      </c>
      <c r="AI248" s="208">
        <f t="shared" ca="1" si="218"/>
        <v>-15.515228745556508</v>
      </c>
      <c r="AJ248" s="208">
        <f t="shared" ca="1" si="218"/>
        <v>-15.75883362796816</v>
      </c>
      <c r="AK248" s="208">
        <f t="shared" ca="1" si="218"/>
        <v>-16.050104308574241</v>
      </c>
      <c r="AL248" s="208">
        <f t="shared" ca="1" si="218"/>
        <v>-16.206897138944708</v>
      </c>
      <c r="AM248" s="53"/>
    </row>
    <row r="249" spans="1:39" s="83" customFormat="1" outlineLevel="1">
      <c r="A249" s="98"/>
      <c r="B249" s="52"/>
      <c r="C249" s="52"/>
      <c r="D249" s="73" t="s">
        <v>560</v>
      </c>
      <c r="G249" s="259">
        <f t="shared" ref="G249:Z249" si="219">G246/SUM(G246:G247)</f>
        <v>1</v>
      </c>
      <c r="H249" s="259">
        <f t="shared" si="219"/>
        <v>1</v>
      </c>
      <c r="I249" s="259">
        <f t="shared" si="219"/>
        <v>1</v>
      </c>
      <c r="J249" s="259">
        <f t="shared" si="219"/>
        <v>1</v>
      </c>
      <c r="K249" s="259">
        <f t="shared" si="219"/>
        <v>1</v>
      </c>
      <c r="L249" s="259">
        <f t="shared" si="219"/>
        <v>1</v>
      </c>
      <c r="M249" s="259">
        <f t="shared" si="219"/>
        <v>1</v>
      </c>
      <c r="N249" s="259">
        <f t="shared" si="219"/>
        <v>1</v>
      </c>
      <c r="O249" s="259">
        <f t="shared" si="219"/>
        <v>1</v>
      </c>
      <c r="P249" s="259">
        <f t="shared" si="219"/>
        <v>1</v>
      </c>
      <c r="Q249" s="259">
        <f t="shared" si="219"/>
        <v>1</v>
      </c>
      <c r="R249" s="259">
        <f t="shared" si="219"/>
        <v>1</v>
      </c>
      <c r="S249" s="259">
        <f t="shared" si="219"/>
        <v>1</v>
      </c>
      <c r="T249" s="259">
        <f t="shared" si="219"/>
        <v>0.14060315558218489</v>
      </c>
      <c r="U249" s="259">
        <f t="shared" si="219"/>
        <v>0.12881562881562883</v>
      </c>
      <c r="V249" s="259">
        <f t="shared" si="219"/>
        <v>0.12900019876764063</v>
      </c>
      <c r="W249" s="259">
        <f t="shared" si="219"/>
        <v>0.12341215555989837</v>
      </c>
      <c r="X249" s="259">
        <f t="shared" si="219"/>
        <v>0.12073918039065501</v>
      </c>
      <c r="Y249" s="259">
        <f t="shared" si="219"/>
        <v>9.1580976863753823E-3</v>
      </c>
      <c r="Z249" s="259">
        <f t="shared" si="219"/>
        <v>2.6198162403774559E-2</v>
      </c>
      <c r="AA249" s="259">
        <f>AA246/SUM(AA246:AA247)</f>
        <v>0.2485549132947977</v>
      </c>
      <c r="AB249" s="259">
        <f>AB246/SUM(AB246:AB247)</f>
        <v>-0.1173076923076922</v>
      </c>
      <c r="AC249" s="316">
        <v>0.15</v>
      </c>
      <c r="AD249" s="316">
        <f t="shared" ref="AD249:AL249" si="220">AC249</f>
        <v>0.15</v>
      </c>
      <c r="AE249" s="316">
        <f t="shared" si="220"/>
        <v>0.15</v>
      </c>
      <c r="AF249" s="316">
        <f t="shared" si="220"/>
        <v>0.15</v>
      </c>
      <c r="AG249" s="316">
        <f t="shared" si="220"/>
        <v>0.15</v>
      </c>
      <c r="AH249" s="316">
        <f t="shared" si="220"/>
        <v>0.15</v>
      </c>
      <c r="AI249" s="316">
        <f t="shared" si="220"/>
        <v>0.15</v>
      </c>
      <c r="AJ249" s="316">
        <f t="shared" si="220"/>
        <v>0.15</v>
      </c>
      <c r="AK249" s="316">
        <f t="shared" si="220"/>
        <v>0.15</v>
      </c>
      <c r="AL249" s="316">
        <f t="shared" si="220"/>
        <v>0.15</v>
      </c>
      <c r="AM249" s="82"/>
    </row>
    <row r="250" spans="1:39" s="3" customFormat="1">
      <c r="A250" s="96"/>
      <c r="B250"/>
      <c r="C250"/>
      <c r="D250" s="59"/>
      <c r="E250"/>
      <c r="F250"/>
      <c r="G250"/>
      <c r="H250"/>
      <c r="I250"/>
      <c r="J250"/>
      <c r="K250"/>
      <c r="L250"/>
      <c r="M250"/>
      <c r="N250"/>
      <c r="O250"/>
      <c r="P250"/>
      <c r="Q250"/>
      <c r="R250"/>
      <c r="S250"/>
      <c r="T250"/>
      <c r="U250" s="7"/>
      <c r="V250" s="7"/>
      <c r="W250" s="7"/>
      <c r="X250" s="7"/>
      <c r="Y250" s="7"/>
      <c r="Z250" s="7"/>
      <c r="AA250" s="7"/>
      <c r="AB250" s="7"/>
      <c r="AC250" s="7"/>
      <c r="AD250" s="7"/>
      <c r="AE250" s="7"/>
      <c r="AF250" s="7"/>
      <c r="AG250" s="7"/>
      <c r="AH250" s="7"/>
      <c r="AI250" s="7"/>
      <c r="AJ250" s="7"/>
      <c r="AK250" s="7"/>
      <c r="AL250" s="7"/>
      <c r="AM250" s="53"/>
    </row>
    <row r="251" spans="1:39">
      <c r="C251" s="90"/>
      <c r="D251" s="91" t="s">
        <v>158</v>
      </c>
      <c r="E251" s="90"/>
      <c r="F251" s="90"/>
      <c r="G251" s="90"/>
      <c r="H251" s="90"/>
      <c r="I251" s="90"/>
      <c r="J251" s="90"/>
      <c r="K251" s="90"/>
      <c r="L251" s="90"/>
      <c r="M251" s="90"/>
      <c r="N251" s="90"/>
      <c r="O251" s="90"/>
      <c r="P251" s="90"/>
      <c r="Q251" s="90"/>
      <c r="R251" s="90"/>
      <c r="S251" s="90"/>
      <c r="T251" s="90"/>
      <c r="U251" s="90"/>
      <c r="V251" s="90"/>
      <c r="W251" s="90"/>
      <c r="X251" s="90"/>
      <c r="Y251" s="90"/>
      <c r="Z251" s="90"/>
      <c r="AA251" s="90"/>
      <c r="AB251" s="90"/>
      <c r="AC251" s="90"/>
      <c r="AD251" s="90"/>
      <c r="AE251" s="90"/>
      <c r="AF251" s="90"/>
      <c r="AG251" s="90"/>
      <c r="AH251" s="90"/>
      <c r="AI251" s="90"/>
      <c r="AJ251" s="90"/>
      <c r="AK251" s="90"/>
      <c r="AL251" s="90"/>
    </row>
    <row r="252" spans="1:39" ht="5.0999999999999996" customHeight="1"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  <c r="T252" s="7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7"/>
    </row>
    <row r="253" spans="1:39" outlineLevel="1">
      <c r="D253" s="59" t="s">
        <v>335</v>
      </c>
      <c r="G253" s="181"/>
      <c r="H253" s="181"/>
      <c r="I253" s="181"/>
      <c r="J253" s="181"/>
      <c r="K253" s="181"/>
      <c r="L253" s="181"/>
      <c r="M253" s="181"/>
      <c r="N253" s="181">
        <v>57.088999999999999</v>
      </c>
      <c r="O253" s="181"/>
      <c r="P253" s="181"/>
      <c r="Q253" s="181">
        <v>75.361999999999995</v>
      </c>
      <c r="R253" s="181">
        <v>84.978999999999999</v>
      </c>
      <c r="S253" s="181">
        <v>91.834000000000003</v>
      </c>
      <c r="T253" s="181">
        <v>102.18300000000001</v>
      </c>
      <c r="U253" s="181">
        <v>114.56399999999999</v>
      </c>
      <c r="V253" s="181">
        <v>108.988</v>
      </c>
      <c r="W253" s="181">
        <v>115.944</v>
      </c>
      <c r="X253" s="181">
        <v>130.22399999999999</v>
      </c>
      <c r="Y253" s="181">
        <v>144.25299999999999</v>
      </c>
      <c r="Z253" s="181">
        <v>151.46199999999999</v>
      </c>
      <c r="AA253" s="181">
        <v>176.10499999999999</v>
      </c>
      <c r="AB253" s="181">
        <v>192.893</v>
      </c>
      <c r="AC253" s="164"/>
      <c r="AD253" s="164"/>
      <c r="AE253" s="164"/>
      <c r="AF253" s="164"/>
      <c r="AG253" s="164"/>
      <c r="AH253" s="164"/>
      <c r="AI253" s="164"/>
      <c r="AJ253" s="164"/>
      <c r="AK253" s="164"/>
      <c r="AL253" s="164"/>
    </row>
    <row r="254" spans="1:39" outlineLevel="1">
      <c r="D254" s="59" t="s">
        <v>354</v>
      </c>
      <c r="G254" s="181"/>
      <c r="H254" s="181"/>
      <c r="I254" s="181"/>
      <c r="J254" s="181"/>
      <c r="K254" s="181"/>
      <c r="L254" s="181"/>
      <c r="M254" s="181"/>
      <c r="N254" s="181">
        <v>13.035</v>
      </c>
      <c r="O254" s="181"/>
      <c r="P254" s="181"/>
      <c r="Q254" s="181">
        <v>13.035</v>
      </c>
      <c r="R254" s="181">
        <v>13.035</v>
      </c>
      <c r="S254" s="181">
        <v>0</v>
      </c>
      <c r="T254" s="181">
        <v>0</v>
      </c>
      <c r="U254" s="181">
        <v>0</v>
      </c>
      <c r="V254" s="181">
        <v>0</v>
      </c>
      <c r="W254" s="181">
        <v>0</v>
      </c>
      <c r="X254" s="181">
        <v>0</v>
      </c>
      <c r="Y254" s="181">
        <v>0</v>
      </c>
      <c r="Z254" s="181">
        <v>0</v>
      </c>
      <c r="AA254" s="181">
        <v>0</v>
      </c>
      <c r="AB254" s="181">
        <v>0</v>
      </c>
      <c r="AC254" s="164"/>
      <c r="AD254" s="164"/>
      <c r="AE254" s="164"/>
      <c r="AF254" s="164"/>
      <c r="AG254" s="164"/>
      <c r="AH254" s="164"/>
      <c r="AI254" s="164"/>
      <c r="AJ254" s="164"/>
      <c r="AK254" s="164"/>
      <c r="AL254" s="164"/>
    </row>
    <row r="255" spans="1:39" outlineLevel="1">
      <c r="D255" s="59" t="s">
        <v>336</v>
      </c>
      <c r="G255" s="181"/>
      <c r="H255" s="181"/>
      <c r="I255" s="181"/>
      <c r="J255" s="181"/>
      <c r="K255" s="181"/>
      <c r="L255" s="181"/>
      <c r="M255" s="181"/>
      <c r="N255" s="181">
        <v>14.848000000000001</v>
      </c>
      <c r="O255" s="181"/>
      <c r="P255" s="181"/>
      <c r="Q255" s="181">
        <v>7.69</v>
      </c>
      <c r="R255" s="181">
        <v>8.6920000000000002</v>
      </c>
      <c r="S255" s="181">
        <v>10.406000000000001</v>
      </c>
      <c r="T255" s="181">
        <v>15.706</v>
      </c>
      <c r="U255" s="181">
        <v>13.525</v>
      </c>
      <c r="V255" s="181">
        <v>11.242000000000001</v>
      </c>
      <c r="W255" s="181">
        <v>22.135000000000002</v>
      </c>
      <c r="X255" s="181">
        <v>32.893000000000001</v>
      </c>
      <c r="Y255" s="181">
        <v>43.661999999999999</v>
      </c>
      <c r="Z255" s="181">
        <v>41.423999999999999</v>
      </c>
      <c r="AA255" s="181">
        <v>36.564</v>
      </c>
      <c r="AB255" s="181">
        <v>66.512</v>
      </c>
      <c r="AC255" s="164"/>
      <c r="AD255" s="164"/>
      <c r="AE255" s="164"/>
      <c r="AF255" s="164"/>
      <c r="AG255" s="164"/>
      <c r="AH255" s="164"/>
      <c r="AI255" s="164"/>
      <c r="AJ255" s="164"/>
      <c r="AK255" s="164"/>
      <c r="AL255" s="164"/>
    </row>
    <row r="256" spans="1:39" outlineLevel="1">
      <c r="D256" s="59" t="s">
        <v>334</v>
      </c>
      <c r="G256" s="181"/>
      <c r="H256" s="181"/>
      <c r="I256" s="181"/>
      <c r="J256" s="181"/>
      <c r="K256" s="181"/>
      <c r="L256" s="181"/>
      <c r="M256" s="181"/>
      <c r="N256" s="181">
        <v>16.344000000000001</v>
      </c>
      <c r="O256" s="181"/>
      <c r="P256" s="181"/>
      <c r="Q256" s="181">
        <v>27.966000000000001</v>
      </c>
      <c r="R256" s="181">
        <v>31.170999999999999</v>
      </c>
      <c r="S256" s="181">
        <v>36.670999999999999</v>
      </c>
      <c r="T256" s="181">
        <v>42.665999999999997</v>
      </c>
      <c r="U256" s="181">
        <v>48.046999999999997</v>
      </c>
      <c r="V256" s="181">
        <v>49.618000000000002</v>
      </c>
      <c r="W256" s="181">
        <v>53.722999999999999</v>
      </c>
      <c r="X256" s="181">
        <v>59.7</v>
      </c>
      <c r="Y256" s="181">
        <v>64.558999999999997</v>
      </c>
      <c r="Z256" s="181">
        <v>63.331000000000003</v>
      </c>
      <c r="AA256" s="181">
        <v>68.891999999999996</v>
      </c>
      <c r="AB256" s="181">
        <v>76.021000000000001</v>
      </c>
      <c r="AC256" s="164"/>
      <c r="AD256" s="164"/>
      <c r="AE256" s="164"/>
      <c r="AF256" s="164"/>
      <c r="AG256" s="164"/>
      <c r="AH256" s="164"/>
      <c r="AI256" s="164"/>
      <c r="AJ256" s="164"/>
      <c r="AK256" s="164"/>
      <c r="AL256" s="164"/>
    </row>
    <row r="257" spans="1:39" outlineLevel="1">
      <c r="D257" s="59" t="s">
        <v>337</v>
      </c>
      <c r="G257" s="181"/>
      <c r="H257" s="181"/>
      <c r="I257" s="181"/>
      <c r="J257" s="181"/>
      <c r="K257" s="181"/>
      <c r="L257" s="181"/>
      <c r="M257" s="181"/>
      <c r="N257" s="181">
        <v>6.5519999999999996</v>
      </c>
      <c r="O257" s="181"/>
      <c r="P257" s="181"/>
      <c r="Q257" s="181">
        <v>12.032999999999999</v>
      </c>
      <c r="R257" s="181">
        <v>13.528</v>
      </c>
      <c r="S257" s="181">
        <v>16.725000000000001</v>
      </c>
      <c r="T257" s="181">
        <v>17.885999999999999</v>
      </c>
      <c r="U257" s="181">
        <v>18.87</v>
      </c>
      <c r="V257" s="181">
        <v>17.867000000000001</v>
      </c>
      <c r="W257" s="181">
        <v>20.721</v>
      </c>
      <c r="X257" s="181">
        <v>22.856999999999999</v>
      </c>
      <c r="Y257" s="181">
        <v>23.803000000000001</v>
      </c>
      <c r="Z257" s="181">
        <v>24.451000000000001</v>
      </c>
      <c r="AA257" s="181">
        <v>29.329000000000001</v>
      </c>
      <c r="AB257" s="181">
        <v>34.118000000000002</v>
      </c>
      <c r="AC257" s="164"/>
      <c r="AD257" s="164"/>
      <c r="AE257" s="164"/>
      <c r="AF257" s="164"/>
      <c r="AG257" s="164"/>
      <c r="AH257" s="164"/>
      <c r="AI257" s="164"/>
      <c r="AJ257" s="164"/>
      <c r="AK257" s="164"/>
      <c r="AL257" s="164"/>
    </row>
    <row r="258" spans="1:39" outlineLevel="1">
      <c r="D258" s="59" t="s">
        <v>338</v>
      </c>
      <c r="G258" s="181"/>
      <c r="H258" s="181"/>
      <c r="I258" s="181"/>
      <c r="J258" s="181"/>
      <c r="K258" s="181"/>
      <c r="L258" s="181"/>
      <c r="M258" s="181"/>
      <c r="N258" s="181">
        <v>3.573</v>
      </c>
      <c r="O258" s="181"/>
      <c r="P258" s="181"/>
      <c r="Q258" s="181">
        <v>5.6680000000000001</v>
      </c>
      <c r="R258" s="181">
        <v>6.1239999999999997</v>
      </c>
      <c r="S258" s="181">
        <v>6.4850000000000003</v>
      </c>
      <c r="T258" s="181">
        <v>6.4779999999999998</v>
      </c>
      <c r="U258" s="181">
        <v>6.7359999999999998</v>
      </c>
      <c r="V258" s="181">
        <v>5.657</v>
      </c>
      <c r="W258" s="181">
        <v>5.6040000000000001</v>
      </c>
      <c r="X258" s="181">
        <v>5.5810000000000004</v>
      </c>
      <c r="Y258" s="181">
        <v>6.5030000000000001</v>
      </c>
      <c r="Z258" s="181">
        <v>5.9269999999999996</v>
      </c>
      <c r="AA258" s="181">
        <v>7.0949999999999998</v>
      </c>
      <c r="AB258" s="181">
        <v>6.6840000000000002</v>
      </c>
      <c r="AC258" s="164"/>
      <c r="AD258" s="164"/>
      <c r="AE258" s="164"/>
      <c r="AF258" s="164"/>
      <c r="AG258" s="164"/>
      <c r="AH258" s="164"/>
      <c r="AI258" s="164"/>
      <c r="AJ258" s="164"/>
      <c r="AK258" s="164"/>
      <c r="AL258" s="164"/>
    </row>
    <row r="259" spans="1:39" outlineLevel="1">
      <c r="D259" s="59" t="s">
        <v>236</v>
      </c>
      <c r="G259" s="181"/>
      <c r="H259" s="181"/>
      <c r="I259" s="181"/>
      <c r="J259" s="181"/>
      <c r="K259" s="181"/>
      <c r="L259" s="181"/>
      <c r="M259" s="181"/>
      <c r="N259" s="181">
        <v>0.84699999999999998</v>
      </c>
      <c r="O259" s="181"/>
      <c r="P259" s="181"/>
      <c r="Q259" s="181">
        <v>0.99</v>
      </c>
      <c r="R259" s="181">
        <v>1.0249999999999999</v>
      </c>
      <c r="S259" s="181">
        <v>1.236</v>
      </c>
      <c r="T259" s="181">
        <v>1.331</v>
      </c>
      <c r="U259" s="181">
        <v>2.2029999999999998</v>
      </c>
      <c r="V259" s="181">
        <v>1.8080000000000001</v>
      </c>
      <c r="W259" s="181">
        <v>2.569</v>
      </c>
      <c r="X259" s="181">
        <v>3.883</v>
      </c>
      <c r="Y259" s="181">
        <v>4.2530000000000001</v>
      </c>
      <c r="Z259" s="181">
        <v>4.032</v>
      </c>
      <c r="AA259" s="181">
        <v>5.0519999999999996</v>
      </c>
      <c r="AB259" s="181">
        <v>5.2619999999999996</v>
      </c>
      <c r="AC259" s="164"/>
      <c r="AD259" s="164"/>
      <c r="AE259" s="164"/>
      <c r="AF259" s="164"/>
      <c r="AG259" s="164"/>
      <c r="AH259" s="164"/>
      <c r="AI259" s="164"/>
      <c r="AJ259" s="164"/>
      <c r="AK259" s="164"/>
      <c r="AL259" s="164"/>
    </row>
    <row r="260" spans="1:39" outlineLevel="1">
      <c r="D260" s="59" t="s">
        <v>339</v>
      </c>
      <c r="G260" s="181"/>
      <c r="H260" s="181"/>
      <c r="I260" s="181"/>
      <c r="J260" s="181"/>
      <c r="K260" s="181"/>
      <c r="L260" s="181"/>
      <c r="M260" s="181"/>
      <c r="N260" s="181">
        <v>0.77200000000000002</v>
      </c>
      <c r="O260" s="181"/>
      <c r="P260" s="181"/>
      <c r="Q260" s="181">
        <v>8.3949999999999996</v>
      </c>
      <c r="R260" s="181">
        <v>9.8699999999999992</v>
      </c>
      <c r="S260" s="181">
        <v>11.625</v>
      </c>
      <c r="T260" s="181">
        <v>11.628</v>
      </c>
      <c r="U260" s="181">
        <v>11.472</v>
      </c>
      <c r="V260" s="181">
        <v>10.686</v>
      </c>
      <c r="W260" s="181">
        <v>10.686</v>
      </c>
      <c r="X260" s="181">
        <v>10.228999999999999</v>
      </c>
      <c r="Y260" s="181">
        <v>12.148</v>
      </c>
      <c r="Z260" s="181">
        <v>12.891999999999999</v>
      </c>
      <c r="AA260" s="181">
        <v>16.79</v>
      </c>
      <c r="AB260" s="181">
        <v>19.462</v>
      </c>
      <c r="AC260" s="164"/>
      <c r="AD260" s="164"/>
      <c r="AE260" s="164"/>
      <c r="AF260" s="164"/>
      <c r="AG260" s="164"/>
      <c r="AH260" s="164"/>
      <c r="AI260" s="164"/>
      <c r="AJ260" s="164"/>
      <c r="AK260" s="164"/>
      <c r="AL260" s="164"/>
    </row>
    <row r="261" spans="1:39" outlineLevel="1">
      <c r="D261" s="59" t="s">
        <v>340</v>
      </c>
      <c r="G261" s="181"/>
      <c r="H261" s="181"/>
      <c r="I261" s="181"/>
      <c r="J261" s="181"/>
      <c r="K261" s="181"/>
      <c r="L261" s="181"/>
      <c r="M261" s="181"/>
      <c r="N261" s="181">
        <v>4.9000000000000002E-2</v>
      </c>
      <c r="O261" s="181"/>
      <c r="P261" s="181"/>
      <c r="Q261" s="181">
        <v>0.23100000000000001</v>
      </c>
      <c r="R261" s="181">
        <v>0.23100000000000001</v>
      </c>
      <c r="S261" s="181">
        <v>0.42899999999999999</v>
      </c>
      <c r="T261" s="181">
        <v>0.42899999999999999</v>
      </c>
      <c r="U261" s="181">
        <v>0.42899999999999999</v>
      </c>
      <c r="V261" s="181">
        <v>0.43</v>
      </c>
      <c r="W261" s="181">
        <v>0.43</v>
      </c>
      <c r="X261" s="181">
        <v>0.43</v>
      </c>
      <c r="Y261" s="181">
        <v>0.43</v>
      </c>
      <c r="Z261" s="181">
        <v>0.43</v>
      </c>
      <c r="AA261" s="181">
        <v>0.82699999999999996</v>
      </c>
      <c r="AB261" s="181">
        <v>0.82699999999999996</v>
      </c>
      <c r="AC261" s="164"/>
      <c r="AD261" s="164"/>
      <c r="AE261" s="164"/>
      <c r="AF261" s="164"/>
      <c r="AG261" s="164"/>
      <c r="AH261" s="164"/>
      <c r="AI261" s="164"/>
      <c r="AJ261" s="164"/>
      <c r="AK261" s="164"/>
      <c r="AL261" s="164"/>
    </row>
    <row r="262" spans="1:39" s="3" customFormat="1" outlineLevel="1">
      <c r="A262" s="96"/>
      <c r="D262" s="209" t="s">
        <v>341</v>
      </c>
      <c r="E262" s="193"/>
      <c r="F262" s="193"/>
      <c r="G262" s="208"/>
      <c r="H262" s="208"/>
      <c r="I262" s="208"/>
      <c r="J262" s="208"/>
      <c r="K262" s="208">
        <f t="shared" ref="K262:AB262" si="221">SUM(K253:K261)</f>
        <v>0</v>
      </c>
      <c r="L262" s="208">
        <f t="shared" si="221"/>
        <v>0</v>
      </c>
      <c r="M262" s="208">
        <f t="shared" si="221"/>
        <v>0</v>
      </c>
      <c r="N262" s="208">
        <f t="shared" si="221"/>
        <v>113.10899999999999</v>
      </c>
      <c r="O262" s="208">
        <f t="shared" si="221"/>
        <v>0</v>
      </c>
      <c r="P262" s="208">
        <f t="shared" si="221"/>
        <v>0</v>
      </c>
      <c r="Q262" s="208">
        <f t="shared" si="221"/>
        <v>151.37</v>
      </c>
      <c r="R262" s="208">
        <f t="shared" si="221"/>
        <v>168.65499999999997</v>
      </c>
      <c r="S262" s="208">
        <f t="shared" si="221"/>
        <v>175.411</v>
      </c>
      <c r="T262" s="208">
        <f t="shared" si="221"/>
        <v>198.30699999999999</v>
      </c>
      <c r="U262" s="208">
        <f t="shared" si="221"/>
        <v>215.846</v>
      </c>
      <c r="V262" s="208">
        <f t="shared" si="221"/>
        <v>206.29600000000002</v>
      </c>
      <c r="W262" s="208">
        <f t="shared" si="221"/>
        <v>231.81200000000004</v>
      </c>
      <c r="X262" s="208">
        <f t="shared" si="221"/>
        <v>265.79700000000003</v>
      </c>
      <c r="Y262" s="208">
        <f t="shared" si="221"/>
        <v>299.61099999999999</v>
      </c>
      <c r="Z262" s="208">
        <f t="shared" si="221"/>
        <v>303.94900000000001</v>
      </c>
      <c r="AA262" s="208">
        <f t="shared" si="221"/>
        <v>340.65400000000005</v>
      </c>
      <c r="AB262" s="208">
        <f t="shared" si="221"/>
        <v>401.779</v>
      </c>
      <c r="AC262" s="207"/>
      <c r="AD262" s="207"/>
      <c r="AE262" s="207"/>
      <c r="AF262" s="207"/>
      <c r="AG262" s="207"/>
      <c r="AH262" s="207"/>
      <c r="AI262" s="207"/>
      <c r="AJ262" s="207"/>
      <c r="AK262" s="207"/>
      <c r="AL262" s="207"/>
      <c r="AM262"/>
    </row>
    <row r="263" spans="1:39" outlineLevel="1">
      <c r="D263" s="59" t="s">
        <v>342</v>
      </c>
      <c r="G263" s="181"/>
      <c r="H263" s="181"/>
      <c r="I263" s="181"/>
      <c r="J263" s="181"/>
      <c r="K263" s="181"/>
      <c r="L263" s="181"/>
      <c r="M263" s="181"/>
      <c r="N263" s="181">
        <v>-39.899000000000001</v>
      </c>
      <c r="O263" s="181"/>
      <c r="P263" s="181"/>
      <c r="Q263" s="181">
        <v>-58.884999999999998</v>
      </c>
      <c r="R263" s="181">
        <v>-67.188999999999993</v>
      </c>
      <c r="S263" s="181">
        <v>-75.236999999999995</v>
      </c>
      <c r="T263" s="181">
        <v>-83.757999999999996</v>
      </c>
      <c r="U263" s="181">
        <v>-93.423000000000002</v>
      </c>
      <c r="V263" s="181">
        <v>-82.608000000000004</v>
      </c>
      <c r="W263" s="181">
        <v>-96.016999999999996</v>
      </c>
      <c r="X263" s="181">
        <v>-109.078</v>
      </c>
      <c r="Y263" s="181">
        <v>-123.05500000000001</v>
      </c>
      <c r="Z263" s="181">
        <v>-120.21299999999999</v>
      </c>
      <c r="AA263" s="181">
        <v>-138.22200000000001</v>
      </c>
      <c r="AB263" s="181">
        <v>-157.21899999999999</v>
      </c>
      <c r="AC263" s="164"/>
      <c r="AD263" s="164"/>
      <c r="AE263" s="164"/>
      <c r="AF263" s="164"/>
      <c r="AG263" s="164"/>
      <c r="AH263" s="164"/>
      <c r="AI263" s="164"/>
      <c r="AJ263" s="164"/>
      <c r="AK263" s="164"/>
      <c r="AL263" s="164"/>
    </row>
    <row r="264" spans="1:39" s="3" customFormat="1" outlineLevel="1">
      <c r="A264" s="96"/>
      <c r="D264" s="209" t="s">
        <v>343</v>
      </c>
      <c r="E264" s="193"/>
      <c r="F264" s="193"/>
      <c r="G264" s="208"/>
      <c r="H264" s="208"/>
      <c r="I264" s="208"/>
      <c r="J264" s="208"/>
      <c r="K264" s="208">
        <f t="shared" ref="K264:AA264" si="222">K263+K262</f>
        <v>0</v>
      </c>
      <c r="L264" s="208">
        <f t="shared" si="222"/>
        <v>0</v>
      </c>
      <c r="M264" s="208">
        <f t="shared" si="222"/>
        <v>0</v>
      </c>
      <c r="N264" s="208">
        <f t="shared" si="222"/>
        <v>73.209999999999994</v>
      </c>
      <c r="O264" s="208">
        <f t="shared" si="222"/>
        <v>0</v>
      </c>
      <c r="P264" s="208">
        <f t="shared" si="222"/>
        <v>0</v>
      </c>
      <c r="Q264" s="208">
        <f t="shared" si="222"/>
        <v>92.485000000000014</v>
      </c>
      <c r="R264" s="208">
        <f t="shared" si="222"/>
        <v>101.46599999999998</v>
      </c>
      <c r="S264" s="208">
        <f t="shared" si="222"/>
        <v>100.17400000000001</v>
      </c>
      <c r="T264" s="208">
        <f t="shared" si="222"/>
        <v>114.54899999999999</v>
      </c>
      <c r="U264" s="208">
        <f t="shared" si="222"/>
        <v>122.423</v>
      </c>
      <c r="V264" s="208">
        <f t="shared" si="222"/>
        <v>123.68800000000002</v>
      </c>
      <c r="W264" s="208">
        <f t="shared" si="222"/>
        <v>135.79500000000004</v>
      </c>
      <c r="X264" s="208">
        <f t="shared" si="222"/>
        <v>156.71900000000002</v>
      </c>
      <c r="Y264" s="208">
        <f t="shared" si="222"/>
        <v>176.55599999999998</v>
      </c>
      <c r="Z264" s="208">
        <f t="shared" si="222"/>
        <v>183.73600000000002</v>
      </c>
      <c r="AA264" s="208">
        <f t="shared" si="222"/>
        <v>202.43200000000004</v>
      </c>
      <c r="AB264" s="208">
        <f>AB263+AB262</f>
        <v>244.56</v>
      </c>
      <c r="AC264" s="207"/>
      <c r="AD264" s="207"/>
      <c r="AE264" s="207"/>
      <c r="AF264" s="207"/>
      <c r="AG264" s="207"/>
      <c r="AH264" s="207"/>
      <c r="AI264" s="207"/>
      <c r="AJ264" s="207"/>
      <c r="AK264" s="207"/>
      <c r="AL264" s="207"/>
      <c r="AM264"/>
    </row>
    <row r="265" spans="1:39" outlineLevel="1">
      <c r="D265" s="59"/>
      <c r="G265" s="7"/>
      <c r="H265" s="7"/>
      <c r="I265" s="7"/>
      <c r="J265" s="7"/>
      <c r="K265" s="7" t="b">
        <f t="shared" ref="K265:AA265" si="223">K264=K271</f>
        <v>0</v>
      </c>
      <c r="L265" s="7" t="b">
        <f t="shared" si="223"/>
        <v>0</v>
      </c>
      <c r="M265" s="7" t="b">
        <f t="shared" si="223"/>
        <v>0</v>
      </c>
      <c r="N265" s="7" t="b">
        <f t="shared" si="223"/>
        <v>1</v>
      </c>
      <c r="O265" s="7" t="b">
        <f t="shared" si="223"/>
        <v>0</v>
      </c>
      <c r="P265" s="7" t="b">
        <f t="shared" si="223"/>
        <v>0</v>
      </c>
      <c r="Q265" s="7" t="b">
        <f t="shared" si="223"/>
        <v>1</v>
      </c>
      <c r="R265" s="7" t="b">
        <f t="shared" si="223"/>
        <v>1</v>
      </c>
      <c r="S265" s="7" t="b">
        <f t="shared" si="223"/>
        <v>1</v>
      </c>
      <c r="T265" s="7" t="b">
        <f t="shared" si="223"/>
        <v>1</v>
      </c>
      <c r="U265" s="7" t="b">
        <f t="shared" si="223"/>
        <v>1</v>
      </c>
      <c r="V265" s="7" t="b">
        <f t="shared" si="223"/>
        <v>1</v>
      </c>
      <c r="W265" s="7" t="b">
        <f t="shared" si="223"/>
        <v>1</v>
      </c>
      <c r="X265" s="7" t="b">
        <f t="shared" si="223"/>
        <v>1</v>
      </c>
      <c r="Y265" s="7" t="b">
        <f t="shared" si="223"/>
        <v>1</v>
      </c>
      <c r="Z265" s="7" t="b">
        <f t="shared" si="223"/>
        <v>1</v>
      </c>
      <c r="AA265" s="7" t="b">
        <f t="shared" si="223"/>
        <v>1</v>
      </c>
      <c r="AB265" s="7" t="b">
        <f>AB264=AB271</f>
        <v>1</v>
      </c>
      <c r="AC265" s="164"/>
      <c r="AD265" s="164"/>
      <c r="AE265" s="164"/>
      <c r="AF265" s="164"/>
      <c r="AG265" s="164"/>
      <c r="AH265" s="164"/>
      <c r="AI265" s="164"/>
      <c r="AJ265" s="164"/>
      <c r="AK265" s="164"/>
      <c r="AL265" s="164"/>
    </row>
    <row r="266" spans="1:39" outlineLevel="1">
      <c r="D266" s="59"/>
      <c r="H266" s="7"/>
      <c r="I266" s="7"/>
      <c r="J266" s="7"/>
      <c r="K266" s="7"/>
      <c r="L266" s="7"/>
      <c r="M266" s="7"/>
      <c r="N266" s="7"/>
      <c r="O266" s="7"/>
      <c r="P266" s="7"/>
      <c r="Q266" s="7"/>
      <c r="R266" s="7"/>
      <c r="S266" s="7"/>
      <c r="T266" s="7"/>
      <c r="U266" s="7"/>
      <c r="V266" s="164"/>
      <c r="W266" s="164"/>
      <c r="X266" s="164"/>
      <c r="Y266" s="164"/>
      <c r="Z266" s="164"/>
      <c r="AA266" s="164"/>
      <c r="AB266" s="164"/>
      <c r="AC266" s="164"/>
      <c r="AD266" s="164"/>
      <c r="AE266" s="164"/>
      <c r="AF266" s="164"/>
      <c r="AG266" s="164"/>
      <c r="AH266" s="164"/>
      <c r="AI266" s="164"/>
      <c r="AJ266" s="164"/>
      <c r="AK266" s="164"/>
      <c r="AL266" s="164"/>
    </row>
    <row r="267" spans="1:39" s="3" customFormat="1" outlineLevel="1">
      <c r="A267" s="96"/>
      <c r="D267" s="3" t="s">
        <v>355</v>
      </c>
      <c r="H267" s="53"/>
      <c r="I267" s="53"/>
      <c r="J267" s="53"/>
      <c r="K267" s="53"/>
      <c r="L267" s="53">
        <f t="shared" ref="L267:AL267" si="224">+K271</f>
        <v>53.314999999999998</v>
      </c>
      <c r="M267" s="53">
        <f t="shared" si="224"/>
        <v>55.158999999999999</v>
      </c>
      <c r="N267" s="53">
        <f t="shared" si="224"/>
        <v>58.38</v>
      </c>
      <c r="O267" s="53">
        <f t="shared" si="224"/>
        <v>73.209999999999994</v>
      </c>
      <c r="P267" s="53">
        <f t="shared" si="224"/>
        <v>81.757999999999996</v>
      </c>
      <c r="Q267" s="53">
        <f t="shared" si="224"/>
        <v>84.64</v>
      </c>
      <c r="R267" s="53">
        <f t="shared" si="224"/>
        <v>92.484999999999999</v>
      </c>
      <c r="S267" s="53">
        <f t="shared" si="224"/>
        <v>101.46599999999999</v>
      </c>
      <c r="T267" s="53">
        <f t="shared" si="224"/>
        <v>100.17400000000001</v>
      </c>
      <c r="U267" s="53">
        <f t="shared" si="224"/>
        <v>114.54900000000001</v>
      </c>
      <c r="V267" s="53">
        <f t="shared" si="224"/>
        <v>122.423</v>
      </c>
      <c r="W267" s="53">
        <f t="shared" si="224"/>
        <v>123.688</v>
      </c>
      <c r="X267" s="53">
        <f t="shared" si="224"/>
        <v>135.79499999999999</v>
      </c>
      <c r="Y267" s="53">
        <f t="shared" si="224"/>
        <v>156.71899999999999</v>
      </c>
      <c r="Z267" s="53">
        <f t="shared" si="224"/>
        <v>176.55600000000001</v>
      </c>
      <c r="AA267" s="53">
        <f t="shared" si="224"/>
        <v>183.73599999999999</v>
      </c>
      <c r="AB267" s="53">
        <f t="shared" si="224"/>
        <v>202.43199999999999</v>
      </c>
      <c r="AC267" s="53">
        <f t="shared" si="224"/>
        <v>244.56</v>
      </c>
      <c r="AD267" s="53">
        <f t="shared" si="224"/>
        <v>259.23359999999997</v>
      </c>
      <c r="AE267" s="53">
        <f t="shared" si="224"/>
        <v>274.59319079999995</v>
      </c>
      <c r="AF267" s="53">
        <f t="shared" si="224"/>
        <v>290.65689246179994</v>
      </c>
      <c r="AG267" s="53">
        <f t="shared" si="224"/>
        <v>307.44232800146887</v>
      </c>
      <c r="AH267" s="53">
        <f t="shared" si="224"/>
        <v>324.96654069755255</v>
      </c>
      <c r="AI267" s="53">
        <f t="shared" si="224"/>
        <v>343.24590861178984</v>
      </c>
      <c r="AJ267" s="53">
        <f t="shared" si="224"/>
        <v>362.29605653974414</v>
      </c>
      <c r="AK267" s="53">
        <f t="shared" si="224"/>
        <v>382.1317656352951</v>
      </c>
      <c r="AL267" s="53">
        <f t="shared" si="224"/>
        <v>402.76688097960101</v>
      </c>
    </row>
    <row r="268" spans="1:39" outlineLevel="1">
      <c r="D268" s="59" t="s">
        <v>126</v>
      </c>
      <c r="H268" s="7"/>
      <c r="I268" s="7"/>
      <c r="J268" s="7"/>
      <c r="K268" s="7"/>
      <c r="L268" s="7">
        <f t="shared" ref="L268:Z268" si="225">-(L154+L155)</f>
        <v>4.242</v>
      </c>
      <c r="M268" s="7">
        <f t="shared" si="225"/>
        <v>8.2289999999999992</v>
      </c>
      <c r="N268" s="7">
        <f t="shared" si="225"/>
        <v>16.687000000000001</v>
      </c>
      <c r="O268" s="7">
        <f t="shared" si="225"/>
        <v>12.433</v>
      </c>
      <c r="P268" s="7">
        <f t="shared" si="225"/>
        <v>14.028</v>
      </c>
      <c r="Q268" s="7">
        <f t="shared" si="225"/>
        <v>15.852</v>
      </c>
      <c r="R268" s="7">
        <f t="shared" si="225"/>
        <v>14.965999999999999</v>
      </c>
      <c r="S268" s="7">
        <f t="shared" si="225"/>
        <v>16.326999999999998</v>
      </c>
      <c r="T268" s="7">
        <f t="shared" si="225"/>
        <v>24.140999999999998</v>
      </c>
      <c r="U268" s="7">
        <f t="shared" si="225"/>
        <v>19.826999999999998</v>
      </c>
      <c r="V268" s="7">
        <f t="shared" si="225"/>
        <v>14.667</v>
      </c>
      <c r="W268" s="7">
        <f t="shared" si="225"/>
        <v>25.713000000000001</v>
      </c>
      <c r="X268" s="7">
        <f t="shared" si="225"/>
        <v>17.23</v>
      </c>
      <c r="Y268" s="7">
        <f t="shared" si="225"/>
        <v>32.814</v>
      </c>
      <c r="Z268" s="7">
        <f t="shared" si="225"/>
        <v>31.980999999999998</v>
      </c>
      <c r="AA268" s="7">
        <f>-(AA154+AA155)</f>
        <v>28.934000000000001</v>
      </c>
      <c r="AB268" s="7">
        <f>-(AB154+AB155)</f>
        <v>42.665000000000006</v>
      </c>
      <c r="AC268" s="164">
        <f t="shared" ref="AC268:AL268" si="226">-AC269*AC273</f>
        <v>39.129600000000003</v>
      </c>
      <c r="AD268" s="164">
        <f t="shared" si="226"/>
        <v>41.282950799999995</v>
      </c>
      <c r="AE268" s="164">
        <f t="shared" si="226"/>
        <v>43.523020741799989</v>
      </c>
      <c r="AF268" s="164">
        <f t="shared" si="226"/>
        <v>45.851124785848938</v>
      </c>
      <c r="AG268" s="164">
        <f t="shared" si="226"/>
        <v>48.268445496230605</v>
      </c>
      <c r="AH268" s="164">
        <f t="shared" si="226"/>
        <v>50.776021983992571</v>
      </c>
      <c r="AI268" s="164">
        <f t="shared" si="226"/>
        <v>53.37473878913331</v>
      </c>
      <c r="AJ268" s="164">
        <f t="shared" si="226"/>
        <v>56.065314749525399</v>
      </c>
      <c r="AK268" s="164">
        <f t="shared" si="226"/>
        <v>58.848291907835424</v>
      </c>
      <c r="AL268" s="164">
        <f t="shared" si="226"/>
        <v>61.72402451012384</v>
      </c>
    </row>
    <row r="269" spans="1:39" outlineLevel="1">
      <c r="D269" s="59" t="s">
        <v>7</v>
      </c>
      <c r="H269" s="7"/>
      <c r="I269" s="7"/>
      <c r="J269" s="7"/>
      <c r="K269" s="7"/>
      <c r="L269" s="7">
        <f t="shared" ref="L269:Z269" si="227">-SUM(L321:L323)</f>
        <v>-4.2550000000000008</v>
      </c>
      <c r="M269" s="7">
        <f t="shared" si="227"/>
        <v>-4.9719999999999995</v>
      </c>
      <c r="N269" s="7">
        <f t="shared" si="227"/>
        <v>-5.3999999999999986</v>
      </c>
      <c r="O269" s="7">
        <f t="shared" si="227"/>
        <v>-6.1389999999999993</v>
      </c>
      <c r="P269" s="7">
        <f t="shared" si="227"/>
        <v>-6.9580000000000002</v>
      </c>
      <c r="Q269" s="7">
        <f t="shared" si="227"/>
        <v>-7.7320000000000002</v>
      </c>
      <c r="R269" s="7">
        <f t="shared" si="227"/>
        <v>-8.524999999999995</v>
      </c>
      <c r="S269" s="7">
        <f t="shared" si="227"/>
        <v>-9.8320000000000007</v>
      </c>
      <c r="T269" s="7">
        <f t="shared" si="227"/>
        <v>-10.850000000000001</v>
      </c>
      <c r="U269" s="7">
        <f t="shared" si="227"/>
        <v>-12.215999999999999</v>
      </c>
      <c r="V269" s="7">
        <f t="shared" si="227"/>
        <v>-13.408000000000003</v>
      </c>
      <c r="W269" s="7">
        <f t="shared" si="227"/>
        <v>-14.518000000000001</v>
      </c>
      <c r="X269" s="7">
        <f t="shared" si="227"/>
        <v>-15.327</v>
      </c>
      <c r="Y269" s="7">
        <f t="shared" si="227"/>
        <v>-16.329999999999998</v>
      </c>
      <c r="Z269" s="7">
        <f t="shared" si="227"/>
        <v>-17.485999999999994</v>
      </c>
      <c r="AA269" s="7">
        <f>-SUM(AA321:AA323)</f>
        <v>-19.507000000000001</v>
      </c>
      <c r="AB269" s="7">
        <f>-SUM(AB321:AB323)</f>
        <v>-20.451000000000001</v>
      </c>
      <c r="AC269" s="164">
        <f t="shared" ref="AC269:AL269" si="228">-AC267/AC272/4</f>
        <v>-24.456</v>
      </c>
      <c r="AD269" s="164">
        <f t="shared" si="228"/>
        <v>-25.923359999999995</v>
      </c>
      <c r="AE269" s="164">
        <f t="shared" si="228"/>
        <v>-27.459319079999993</v>
      </c>
      <c r="AF269" s="164">
        <f t="shared" si="228"/>
        <v>-29.065689246179993</v>
      </c>
      <c r="AG269" s="164">
        <f t="shared" si="228"/>
        <v>-30.744232800146886</v>
      </c>
      <c r="AH269" s="164">
        <f t="shared" si="228"/>
        <v>-32.496654069755252</v>
      </c>
      <c r="AI269" s="164">
        <f t="shared" si="228"/>
        <v>-34.324590861178983</v>
      </c>
      <c r="AJ269" s="164">
        <f t="shared" si="228"/>
        <v>-36.229605653974417</v>
      </c>
      <c r="AK269" s="164">
        <f t="shared" si="228"/>
        <v>-38.213176563529508</v>
      </c>
      <c r="AL269" s="164">
        <f t="shared" si="228"/>
        <v>-40.276688097960104</v>
      </c>
    </row>
    <row r="270" spans="1:39" outlineLevel="1">
      <c r="D270" s="59" t="s">
        <v>361</v>
      </c>
      <c r="H270" s="7"/>
      <c r="I270" s="7"/>
      <c r="J270" s="7"/>
      <c r="K270" s="7"/>
      <c r="L270" s="7">
        <f t="shared" ref="L270:Z270" si="229">+L271-SUM(L267:L269)</f>
        <v>1.8570000000000064</v>
      </c>
      <c r="M270" s="7">
        <f t="shared" si="229"/>
        <v>-3.5999999999994259E-2</v>
      </c>
      <c r="N270" s="7">
        <f t="shared" si="229"/>
        <v>3.5429999999999922</v>
      </c>
      <c r="O270" s="7">
        <f t="shared" si="229"/>
        <v>2.2539999999999907</v>
      </c>
      <c r="P270" s="7">
        <f t="shared" si="229"/>
        <v>-4.1880000000000024</v>
      </c>
      <c r="Q270" s="7">
        <f t="shared" si="229"/>
        <v>-0.27500000000000568</v>
      </c>
      <c r="R270" s="7">
        <f t="shared" si="229"/>
        <v>2.539999999999992</v>
      </c>
      <c r="S270" s="7">
        <f t="shared" si="229"/>
        <v>-7.7869999999999777</v>
      </c>
      <c r="T270" s="7">
        <f t="shared" si="229"/>
        <v>1.0840000000000032</v>
      </c>
      <c r="U270" s="7">
        <f t="shared" si="229"/>
        <v>0.26299999999999102</v>
      </c>
      <c r="V270" s="7">
        <f t="shared" si="229"/>
        <v>6.0000000000002274E-3</v>
      </c>
      <c r="W270" s="7">
        <f t="shared" si="229"/>
        <v>0.91199999999997772</v>
      </c>
      <c r="X270" s="7">
        <f t="shared" si="229"/>
        <v>19.021000000000015</v>
      </c>
      <c r="Y270" s="7">
        <f t="shared" si="229"/>
        <v>3.3530000000000371</v>
      </c>
      <c r="Z270" s="7">
        <f t="shared" si="229"/>
        <v>-7.3150000000000261</v>
      </c>
      <c r="AA270" s="7">
        <f>+AA271-SUM(AA267:AA269)</f>
        <v>9.2690000000000055</v>
      </c>
      <c r="AB270" s="7">
        <f>+AB271-SUM(AB267:AB269)</f>
        <v>19.914000000000016</v>
      </c>
      <c r="AC270" s="68">
        <v>0</v>
      </c>
      <c r="AD270" s="68">
        <v>0</v>
      </c>
      <c r="AE270" s="68">
        <v>0</v>
      </c>
      <c r="AF270" s="68">
        <v>0</v>
      </c>
      <c r="AG270" s="68">
        <v>0</v>
      </c>
      <c r="AH270" s="68">
        <v>0</v>
      </c>
      <c r="AI270" s="68">
        <v>0</v>
      </c>
      <c r="AJ270" s="68">
        <v>0</v>
      </c>
      <c r="AK270" s="68">
        <v>0</v>
      </c>
      <c r="AL270" s="68">
        <v>0</v>
      </c>
    </row>
    <row r="271" spans="1:39" s="3" customFormat="1" outlineLevel="1">
      <c r="A271" s="96"/>
      <c r="D271" s="209" t="s">
        <v>356</v>
      </c>
      <c r="E271" s="193"/>
      <c r="F271" s="193"/>
      <c r="G271" s="208"/>
      <c r="H271" s="208"/>
      <c r="I271" s="208"/>
      <c r="J271" s="208"/>
      <c r="K271" s="208">
        <f t="shared" ref="K271:Z271" si="230">K180</f>
        <v>53.314999999999998</v>
      </c>
      <c r="L271" s="208">
        <f t="shared" si="230"/>
        <v>55.158999999999999</v>
      </c>
      <c r="M271" s="208">
        <f t="shared" si="230"/>
        <v>58.38</v>
      </c>
      <c r="N271" s="208">
        <f t="shared" si="230"/>
        <v>73.209999999999994</v>
      </c>
      <c r="O271" s="208">
        <f t="shared" si="230"/>
        <v>81.757999999999996</v>
      </c>
      <c r="P271" s="208">
        <f t="shared" si="230"/>
        <v>84.64</v>
      </c>
      <c r="Q271" s="208">
        <f t="shared" si="230"/>
        <v>92.484999999999999</v>
      </c>
      <c r="R271" s="208">
        <f t="shared" si="230"/>
        <v>101.46599999999999</v>
      </c>
      <c r="S271" s="208">
        <f t="shared" si="230"/>
        <v>100.17400000000001</v>
      </c>
      <c r="T271" s="208">
        <f t="shared" si="230"/>
        <v>114.54900000000001</v>
      </c>
      <c r="U271" s="208">
        <f t="shared" si="230"/>
        <v>122.423</v>
      </c>
      <c r="V271" s="208">
        <f t="shared" si="230"/>
        <v>123.688</v>
      </c>
      <c r="W271" s="208">
        <f t="shared" si="230"/>
        <v>135.79499999999999</v>
      </c>
      <c r="X271" s="208">
        <f t="shared" si="230"/>
        <v>156.71899999999999</v>
      </c>
      <c r="Y271" s="208">
        <f t="shared" si="230"/>
        <v>176.55600000000001</v>
      </c>
      <c r="Z271" s="208">
        <f t="shared" si="230"/>
        <v>183.73599999999999</v>
      </c>
      <c r="AA271" s="208">
        <f>AA180</f>
        <v>202.43199999999999</v>
      </c>
      <c r="AB271" s="208">
        <f>AB180</f>
        <v>244.56</v>
      </c>
      <c r="AC271" s="207">
        <f t="shared" ref="AC271:AL271" si="231">SUM(AC267:AC270)</f>
        <v>259.23359999999997</v>
      </c>
      <c r="AD271" s="207">
        <f t="shared" si="231"/>
        <v>274.59319079999995</v>
      </c>
      <c r="AE271" s="207">
        <f t="shared" si="231"/>
        <v>290.65689246179994</v>
      </c>
      <c r="AF271" s="207">
        <f t="shared" si="231"/>
        <v>307.44232800146887</v>
      </c>
      <c r="AG271" s="207">
        <f t="shared" si="231"/>
        <v>324.96654069755255</v>
      </c>
      <c r="AH271" s="207">
        <f t="shared" si="231"/>
        <v>343.24590861178984</v>
      </c>
      <c r="AI271" s="207">
        <f t="shared" si="231"/>
        <v>362.29605653974414</v>
      </c>
      <c r="AJ271" s="207">
        <f t="shared" si="231"/>
        <v>382.1317656352951</v>
      </c>
      <c r="AK271" s="207">
        <f t="shared" si="231"/>
        <v>402.76688097960101</v>
      </c>
      <c r="AL271" s="207">
        <f t="shared" si="231"/>
        <v>424.21421739176475</v>
      </c>
      <c r="AM271"/>
    </row>
    <row r="272" spans="1:39" outlineLevel="1">
      <c r="D272" s="59" t="s">
        <v>209</v>
      </c>
      <c r="H272" s="57"/>
      <c r="I272" s="57"/>
      <c r="J272" s="80"/>
      <c r="K272" s="80"/>
      <c r="L272" s="80">
        <f t="shared" ref="L272:Z272" si="232">AVERAGE(L267,L271)/(-L269*4)</f>
        <v>3.186662749706227</v>
      </c>
      <c r="M272" s="80">
        <f t="shared" si="232"/>
        <v>2.8544599758648435</v>
      </c>
      <c r="N272" s="80">
        <f t="shared" si="232"/>
        <v>3.0460648148148155</v>
      </c>
      <c r="O272" s="80">
        <f t="shared" si="232"/>
        <v>3.1553999022642127</v>
      </c>
      <c r="P272" s="80">
        <f t="shared" si="232"/>
        <v>2.9893288301235987</v>
      </c>
      <c r="Q272" s="80">
        <f t="shared" si="232"/>
        <v>2.8635055613036728</v>
      </c>
      <c r="R272" s="80">
        <f t="shared" si="232"/>
        <v>2.8438563049853389</v>
      </c>
      <c r="S272" s="80">
        <f t="shared" si="232"/>
        <v>2.5635679414157848</v>
      </c>
      <c r="T272" s="80">
        <f t="shared" si="232"/>
        <v>2.4737672811059905</v>
      </c>
      <c r="U272" s="80">
        <f t="shared" si="232"/>
        <v>2.424811722331369</v>
      </c>
      <c r="V272" s="80">
        <f t="shared" si="232"/>
        <v>2.2944417511933168</v>
      </c>
      <c r="W272" s="80">
        <f t="shared" si="232"/>
        <v>2.2341489874638381</v>
      </c>
      <c r="X272" s="80">
        <f t="shared" si="232"/>
        <v>2.3856103608012007</v>
      </c>
      <c r="Y272" s="80">
        <f t="shared" si="232"/>
        <v>2.5510946111451318</v>
      </c>
      <c r="Z272" s="80">
        <f t="shared" si="232"/>
        <v>2.5755747455106954</v>
      </c>
      <c r="AA272" s="80">
        <f>AVERAGE(AA267,AA271)/(-AA269*4)</f>
        <v>2.4745475982980465</v>
      </c>
      <c r="AB272" s="80">
        <f>AVERAGE(AB267,AB271)/(-AB269*4)</f>
        <v>2.7320913402767588</v>
      </c>
      <c r="AC272" s="86">
        <v>2.5</v>
      </c>
      <c r="AD272" s="86">
        <v>2.5</v>
      </c>
      <c r="AE272" s="86">
        <v>2.5</v>
      </c>
      <c r="AF272" s="86">
        <v>2.5</v>
      </c>
      <c r="AG272" s="86">
        <v>2.5</v>
      </c>
      <c r="AH272" s="86">
        <v>2.5</v>
      </c>
      <c r="AI272" s="86">
        <v>2.5</v>
      </c>
      <c r="AJ272" s="86">
        <v>2.5</v>
      </c>
      <c r="AK272" s="86">
        <v>2.5</v>
      </c>
      <c r="AL272" s="86">
        <v>2.5</v>
      </c>
    </row>
    <row r="273" spans="1:39" outlineLevel="1">
      <c r="D273" s="59" t="s">
        <v>231</v>
      </c>
      <c r="H273" s="57"/>
      <c r="I273" s="57"/>
      <c r="J273" s="54"/>
      <c r="K273" s="54"/>
      <c r="L273" s="54">
        <f t="shared" ref="L273:Z273" si="233">-L268/L269</f>
        <v>0.99694477085781419</v>
      </c>
      <c r="M273" s="54">
        <f t="shared" si="233"/>
        <v>1.6550683829444892</v>
      </c>
      <c r="N273" s="54">
        <f t="shared" si="233"/>
        <v>3.0901851851851863</v>
      </c>
      <c r="O273" s="54">
        <f t="shared" si="233"/>
        <v>2.0252484117934517</v>
      </c>
      <c r="P273" s="54">
        <f t="shared" si="233"/>
        <v>2.0160965794768613</v>
      </c>
      <c r="Q273" s="54">
        <f t="shared" si="233"/>
        <v>2.0501810657009831</v>
      </c>
      <c r="R273" s="54">
        <f t="shared" si="233"/>
        <v>1.7555425219941359</v>
      </c>
      <c r="S273" s="54">
        <f t="shared" si="233"/>
        <v>1.6605980471928394</v>
      </c>
      <c r="T273" s="54">
        <f t="shared" si="233"/>
        <v>2.2249769585253452</v>
      </c>
      <c r="U273" s="54">
        <f t="shared" si="233"/>
        <v>1.6230353634577603</v>
      </c>
      <c r="V273" s="54">
        <f t="shared" si="233"/>
        <v>1.093899164677804</v>
      </c>
      <c r="W273" s="54">
        <f t="shared" si="233"/>
        <v>1.7711117233778757</v>
      </c>
      <c r="X273" s="54">
        <f t="shared" si="233"/>
        <v>1.1241599791218113</v>
      </c>
      <c r="Y273" s="54">
        <f t="shared" si="233"/>
        <v>2.0094304960195961</v>
      </c>
      <c r="Z273" s="54">
        <f t="shared" si="233"/>
        <v>1.8289488733844224</v>
      </c>
      <c r="AA273" s="54">
        <f>-AA268/AA269</f>
        <v>1.4832624186189571</v>
      </c>
      <c r="AB273" s="54">
        <f>-AB268/AB269</f>
        <v>2.0862060534937168</v>
      </c>
      <c r="AC273" s="65">
        <v>1.6</v>
      </c>
      <c r="AD273" s="65">
        <f>AC273-0.0075</f>
        <v>1.5925</v>
      </c>
      <c r="AE273" s="65">
        <f t="shared" ref="AE273:AL273" si="234">AD273-0.0075</f>
        <v>1.585</v>
      </c>
      <c r="AF273" s="65">
        <f t="shared" si="234"/>
        <v>1.5774999999999999</v>
      </c>
      <c r="AG273" s="65">
        <f t="shared" si="234"/>
        <v>1.5699999999999998</v>
      </c>
      <c r="AH273" s="65">
        <f t="shared" si="234"/>
        <v>1.5624999999999998</v>
      </c>
      <c r="AI273" s="65">
        <f t="shared" si="234"/>
        <v>1.5549999999999997</v>
      </c>
      <c r="AJ273" s="65">
        <f t="shared" si="234"/>
        <v>1.5474999999999997</v>
      </c>
      <c r="AK273" s="65">
        <f t="shared" si="234"/>
        <v>1.5399999999999996</v>
      </c>
      <c r="AL273" s="65">
        <f t="shared" si="234"/>
        <v>1.5324999999999995</v>
      </c>
    </row>
    <row r="274" spans="1:39" s="3" customFormat="1" outlineLevel="1">
      <c r="A274" s="58"/>
      <c r="B274" s="58"/>
      <c r="C274" s="58"/>
      <c r="D274" s="59" t="s">
        <v>210</v>
      </c>
      <c r="E274" s="58"/>
      <c r="F274" s="58"/>
      <c r="G274" s="58"/>
      <c r="H274" s="57"/>
      <c r="I274" s="57"/>
      <c r="J274" s="127"/>
      <c r="K274" s="127"/>
      <c r="L274" s="127">
        <f t="shared" ref="L274:AL274" si="235">L104*4/AVERAGE(K271:L271)</f>
        <v>3.3394914910485465</v>
      </c>
      <c r="M274" s="127">
        <f t="shared" si="235"/>
        <v>3.5279507482010586</v>
      </c>
      <c r="N274" s="127">
        <f t="shared" si="235"/>
        <v>3.3740557793145376</v>
      </c>
      <c r="O274" s="127">
        <f t="shared" si="235"/>
        <v>3.1865675494295598</v>
      </c>
      <c r="P274" s="127">
        <f t="shared" si="235"/>
        <v>3.2415774228055629</v>
      </c>
      <c r="Q274" s="127">
        <f t="shared" si="235"/>
        <v>3.3396076217360622</v>
      </c>
      <c r="R274" s="127">
        <f t="shared" si="235"/>
        <v>3.4619053266031115</v>
      </c>
      <c r="S274" s="127">
        <f t="shared" si="235"/>
        <v>3.6203134298750252</v>
      </c>
      <c r="T274" s="127">
        <f t="shared" si="235"/>
        <v>3.7153355718763241</v>
      </c>
      <c r="U274" s="127">
        <f t="shared" si="235"/>
        <v>3.8540249480951339</v>
      </c>
      <c r="V274" s="127">
        <f t="shared" si="235"/>
        <v>4.093307491335211</v>
      </c>
      <c r="W274" s="127">
        <f t="shared" si="235"/>
        <v>4.2563096619046332</v>
      </c>
      <c r="X274" s="127">
        <f t="shared" si="235"/>
        <v>4.1687714092316943</v>
      </c>
      <c r="Y274" s="127">
        <f t="shared" si="235"/>
        <v>4.1370519840972175</v>
      </c>
      <c r="Z274" s="127">
        <f t="shared" si="235"/>
        <v>4.2986466532701249</v>
      </c>
      <c r="AA274" s="127">
        <f t="shared" si="235"/>
        <v>4.3953305297176355</v>
      </c>
      <c r="AB274" s="127">
        <f t="shared" si="235"/>
        <v>4.1972473780291368</v>
      </c>
      <c r="AC274" s="127">
        <f t="shared" si="235"/>
        <v>4.0433230235286342</v>
      </c>
      <c r="AD274" s="127">
        <f t="shared" si="235"/>
        <v>4.0717970504501428</v>
      </c>
      <c r="AE274" s="127">
        <f t="shared" si="235"/>
        <v>4.1160241720768118</v>
      </c>
      <c r="AF274" s="127">
        <f t="shared" si="235"/>
        <v>4.2325291886506164</v>
      </c>
      <c r="AG274" s="127">
        <f t="shared" si="235"/>
        <v>4.2598805566247773</v>
      </c>
      <c r="AH274" s="127">
        <f t="shared" si="235"/>
        <v>4.3534518315154278</v>
      </c>
      <c r="AI274" s="127">
        <f t="shared" si="235"/>
        <v>4.3574530079243416</v>
      </c>
      <c r="AJ274" s="127">
        <f t="shared" si="235"/>
        <v>4.4761583950420079</v>
      </c>
      <c r="AK274" s="127">
        <f t="shared" si="235"/>
        <v>4.4940941615204659</v>
      </c>
      <c r="AL274" s="127">
        <f t="shared" si="235"/>
        <v>4.5890490279924592</v>
      </c>
      <c r="AM274"/>
    </row>
    <row r="275" spans="1:39" s="3" customFormat="1" outlineLevel="1">
      <c r="A275" s="58"/>
      <c r="B275" s="58"/>
      <c r="C275" s="58"/>
      <c r="D275" s="59" t="s">
        <v>538</v>
      </c>
      <c r="E275" s="58"/>
      <c r="F275" s="58"/>
      <c r="G275" s="58"/>
      <c r="H275" s="57"/>
      <c r="I275" s="57"/>
      <c r="J275" s="127"/>
      <c r="K275" s="127"/>
      <c r="L275" s="54">
        <f t="shared" ref="L275:Z275" si="236">L155/SUM(L154:L155)</f>
        <v>0.41419141914191415</v>
      </c>
      <c r="M275" s="54">
        <f t="shared" si="236"/>
        <v>0.24656701907886744</v>
      </c>
      <c r="N275" s="54">
        <f t="shared" si="236"/>
        <v>0.22340744291963804</v>
      </c>
      <c r="O275" s="54">
        <f t="shared" si="236"/>
        <v>0.27322448323011339</v>
      </c>
      <c r="P275" s="54">
        <f t="shared" si="236"/>
        <v>0.29041916167664666</v>
      </c>
      <c r="Q275" s="54">
        <f t="shared" si="236"/>
        <v>0.2435654806964421</v>
      </c>
      <c r="R275" s="54">
        <f t="shared" si="236"/>
        <v>0.17760256581584927</v>
      </c>
      <c r="S275" s="54">
        <f t="shared" si="236"/>
        <v>0.30146383291480372</v>
      </c>
      <c r="T275" s="54">
        <f t="shared" si="236"/>
        <v>0.20467254877594135</v>
      </c>
      <c r="U275" s="54">
        <f t="shared" si="236"/>
        <v>0.22545014374338024</v>
      </c>
      <c r="V275" s="54">
        <f t="shared" si="236"/>
        <v>0.29003886275311924</v>
      </c>
      <c r="W275" s="54">
        <f t="shared" si="236"/>
        <v>0.13397892116828061</v>
      </c>
      <c r="X275" s="54">
        <f t="shared" si="236"/>
        <v>0.21230412071967497</v>
      </c>
      <c r="Y275" s="54">
        <f t="shared" si="236"/>
        <v>0.12196013896507588</v>
      </c>
      <c r="Z275" s="54">
        <f t="shared" si="236"/>
        <v>0.1140364591476189</v>
      </c>
      <c r="AA275" s="54">
        <f>AA155/SUM(AA154:AA155)</f>
        <v>0.15390198382525749</v>
      </c>
      <c r="AB275" s="54">
        <f>AB155/SUM(AB154:AB155)</f>
        <v>0.13080979725770536</v>
      </c>
      <c r="AC275" s="65">
        <v>0.14000000000000001</v>
      </c>
      <c r="AD275" s="65">
        <f>AC275*0.95</f>
        <v>0.13300000000000001</v>
      </c>
      <c r="AE275" s="65">
        <f t="shared" ref="AE275:AL275" si="237">AD275*0.95</f>
        <v>0.12634999999999999</v>
      </c>
      <c r="AF275" s="65">
        <f t="shared" si="237"/>
        <v>0.12003249999999999</v>
      </c>
      <c r="AG275" s="65">
        <f t="shared" si="237"/>
        <v>0.11403087499999998</v>
      </c>
      <c r="AH275" s="65">
        <f t="shared" si="237"/>
        <v>0.10832933124999997</v>
      </c>
      <c r="AI275" s="65">
        <f t="shared" si="237"/>
        <v>0.10291286468749997</v>
      </c>
      <c r="AJ275" s="65">
        <f t="shared" si="237"/>
        <v>9.7767221453124969E-2</v>
      </c>
      <c r="AK275" s="65">
        <f t="shared" si="237"/>
        <v>9.287886038046872E-2</v>
      </c>
      <c r="AL275" s="65">
        <f t="shared" si="237"/>
        <v>8.8234917361445286E-2</v>
      </c>
      <c r="AM275"/>
    </row>
    <row r="276" spans="1:39" ht="15" customHeight="1">
      <c r="G276" s="7"/>
      <c r="H276" s="7"/>
      <c r="I276" s="7"/>
      <c r="J276" s="7"/>
      <c r="K276" s="7"/>
      <c r="L276" s="7"/>
      <c r="M276" s="7"/>
      <c r="N276" s="7"/>
      <c r="O276" s="7"/>
      <c r="P276" s="7"/>
      <c r="Q276" s="7"/>
      <c r="R276" s="7"/>
      <c r="S276" s="7"/>
      <c r="T276" s="7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7"/>
    </row>
    <row r="277" spans="1:39" s="3" customFormat="1" outlineLevel="1">
      <c r="A277" s="96"/>
      <c r="D277" s="3" t="s">
        <v>214</v>
      </c>
      <c r="H277" s="53"/>
      <c r="I277" s="53"/>
      <c r="J277" s="53"/>
      <c r="K277" s="53"/>
      <c r="L277" s="53"/>
      <c r="M277" s="53"/>
      <c r="N277" s="53"/>
      <c r="O277" s="53"/>
      <c r="P277" s="53"/>
      <c r="Q277" s="53"/>
      <c r="R277" s="53"/>
      <c r="S277" s="53"/>
      <c r="T277" s="53">
        <f t="shared" ref="T277:AL277" si="238">+S280</f>
        <v>48.234000000000002</v>
      </c>
      <c r="U277" s="53">
        <f t="shared" si="238"/>
        <v>46.15</v>
      </c>
      <c r="V277" s="53">
        <f t="shared" si="238"/>
        <v>45.106000000000002</v>
      </c>
      <c r="W277" s="53">
        <f t="shared" si="238"/>
        <v>43.148000000000003</v>
      </c>
      <c r="X277" s="53">
        <f t="shared" si="238"/>
        <v>41.744999999999997</v>
      </c>
      <c r="Y277" s="53">
        <f t="shared" si="238"/>
        <v>44.456000000000003</v>
      </c>
      <c r="Z277" s="53">
        <f t="shared" si="238"/>
        <v>101.26</v>
      </c>
      <c r="AA277" s="53">
        <f t="shared" si="238"/>
        <v>130.31399999999999</v>
      </c>
      <c r="AB277" s="53">
        <f t="shared" si="238"/>
        <v>138.87100000000001</v>
      </c>
      <c r="AC277" s="53">
        <f t="shared" si="238"/>
        <v>132.16499999999999</v>
      </c>
      <c r="AD277" s="53">
        <f t="shared" si="238"/>
        <v>153.01503667809257</v>
      </c>
      <c r="AE277" s="53">
        <f t="shared" si="238"/>
        <v>144.77286957751406</v>
      </c>
      <c r="AF277" s="53">
        <f t="shared" si="238"/>
        <v>166.98925322300178</v>
      </c>
      <c r="AG277" s="53">
        <f t="shared" si="238"/>
        <v>164.63363226691368</v>
      </c>
      <c r="AH277" s="53">
        <f t="shared" si="238"/>
        <v>180.19660691491461</v>
      </c>
      <c r="AI277" s="53">
        <f t="shared" si="238"/>
        <v>183.43223199598125</v>
      </c>
      <c r="AJ277" s="53">
        <f t="shared" si="238"/>
        <v>191.64041491251984</v>
      </c>
      <c r="AK277" s="53">
        <f t="shared" si="238"/>
        <v>204.88862972954539</v>
      </c>
      <c r="AL277" s="53">
        <f t="shared" si="238"/>
        <v>204.29074758638367</v>
      </c>
    </row>
    <row r="278" spans="1:39" outlineLevel="1">
      <c r="D278" s="59" t="s">
        <v>232</v>
      </c>
      <c r="H278" s="7"/>
      <c r="I278" s="7"/>
      <c r="J278" s="7"/>
      <c r="K278" s="7"/>
      <c r="L278" s="7"/>
      <c r="M278" s="7"/>
      <c r="N278" s="7"/>
      <c r="O278" s="7"/>
      <c r="P278" s="7"/>
      <c r="Q278" s="7"/>
      <c r="R278" s="7"/>
      <c r="S278" s="7"/>
      <c r="T278" s="7">
        <f t="shared" ref="T278:AL278" si="239">T280-SUM(T279:T279,T277)</f>
        <v>2.7049999999999983</v>
      </c>
      <c r="U278" s="7">
        <f t="shared" si="239"/>
        <v>3.7580000000000027</v>
      </c>
      <c r="V278" s="7">
        <f t="shared" si="239"/>
        <v>3.6730000000000018</v>
      </c>
      <c r="W278" s="7">
        <f t="shared" si="239"/>
        <v>3.9429999999999907</v>
      </c>
      <c r="X278" s="7">
        <f t="shared" si="239"/>
        <v>8.3690000000000069</v>
      </c>
      <c r="Y278" s="7">
        <f t="shared" si="239"/>
        <v>63.54</v>
      </c>
      <c r="Z278" s="7">
        <f t="shared" si="239"/>
        <v>36.404999999999987</v>
      </c>
      <c r="AA278" s="7">
        <f>AA280-SUM(AA279:AA279,AA277)</f>
        <v>17.167000000000016</v>
      </c>
      <c r="AB278" s="7">
        <f>AB280-SUM(AB279:AB279,AB277)</f>
        <v>2.789999999999992</v>
      </c>
      <c r="AC278" s="7">
        <f t="shared" si="239"/>
        <v>29.545102467566267</v>
      </c>
      <c r="AD278" s="7">
        <f t="shared" si="239"/>
        <v>1.8246116282433604</v>
      </c>
      <c r="AE278" s="7">
        <f t="shared" si="239"/>
        <v>31.740914538745216</v>
      </c>
      <c r="AF278" s="7">
        <f t="shared" si="239"/>
        <v>8.6305141243725529</v>
      </c>
      <c r="AG278" s="7">
        <f t="shared" si="239"/>
        <v>26.39413466556104</v>
      </c>
      <c r="AH278" s="7">
        <f t="shared" si="239"/>
        <v>15.090665009679441</v>
      </c>
      <c r="AI278" s="7">
        <f t="shared" si="239"/>
        <v>20.276092916274195</v>
      </c>
      <c r="AJ278" s="7">
        <f t="shared" si="239"/>
        <v>25.856136850743951</v>
      </c>
      <c r="AK278" s="7">
        <f t="shared" si="239"/>
        <v>12.881632970624167</v>
      </c>
      <c r="AL278" s="7">
        <f t="shared" si="239"/>
        <v>33.700104627860213</v>
      </c>
    </row>
    <row r="279" spans="1:39" outlineLevel="1">
      <c r="D279" s="59" t="s">
        <v>7</v>
      </c>
      <c r="H279" s="7"/>
      <c r="I279" s="7"/>
      <c r="J279" s="7"/>
      <c r="K279" s="7"/>
      <c r="L279" s="7"/>
      <c r="M279" s="7"/>
      <c r="N279" s="7"/>
      <c r="O279" s="7"/>
      <c r="P279" s="7"/>
      <c r="Q279" s="7"/>
      <c r="R279" s="7"/>
      <c r="S279" s="7">
        <f t="shared" ref="S279:AA279" si="240">-S139</f>
        <v>-4.5430000000000001</v>
      </c>
      <c r="T279" s="7">
        <f t="shared" si="240"/>
        <v>-4.7889999999999997</v>
      </c>
      <c r="U279" s="7">
        <f t="shared" si="240"/>
        <v>-4.8019999999999996</v>
      </c>
      <c r="V279" s="7">
        <f t="shared" si="240"/>
        <v>-5.6310000000000002</v>
      </c>
      <c r="W279" s="7">
        <f t="shared" si="240"/>
        <v>-5.3460000000000001</v>
      </c>
      <c r="X279" s="7">
        <f t="shared" si="240"/>
        <v>-5.6580000000000004</v>
      </c>
      <c r="Y279" s="7">
        <f t="shared" si="240"/>
        <v>-6.7359999999999998</v>
      </c>
      <c r="Z279" s="7">
        <f t="shared" si="240"/>
        <v>-7.351</v>
      </c>
      <c r="AA279" s="7">
        <f t="shared" si="240"/>
        <v>-8.61</v>
      </c>
      <c r="AB279" s="7">
        <f>-AB139</f>
        <v>-9.4960000000000004</v>
      </c>
      <c r="AC279" s="164">
        <f t="shared" ref="AC279:AL279" si="241">-AC277/AC281/4</f>
        <v>-8.6950657894736842</v>
      </c>
      <c r="AD279" s="164">
        <f t="shared" si="241"/>
        <v>-10.06677872882188</v>
      </c>
      <c r="AE279" s="164">
        <f t="shared" si="241"/>
        <v>-9.5245308932575039</v>
      </c>
      <c r="AF279" s="164">
        <f t="shared" si="241"/>
        <v>-10.986135080460643</v>
      </c>
      <c r="AG279" s="164">
        <f t="shared" si="241"/>
        <v>-10.83116001756011</v>
      </c>
      <c r="AH279" s="164">
        <f t="shared" si="241"/>
        <v>-11.855039928612804</v>
      </c>
      <c r="AI279" s="164">
        <f t="shared" si="241"/>
        <v>-12.06790999973561</v>
      </c>
      <c r="AJ279" s="164">
        <f t="shared" si="241"/>
        <v>-12.607922033718411</v>
      </c>
      <c r="AK279" s="164">
        <f t="shared" si="241"/>
        <v>-13.479515113785881</v>
      </c>
      <c r="AL279" s="164">
        <f t="shared" si="241"/>
        <v>-13.440180762262084</v>
      </c>
    </row>
    <row r="280" spans="1:39" s="3" customFormat="1" outlineLevel="1">
      <c r="A280" s="96"/>
      <c r="D280" s="209" t="s">
        <v>215</v>
      </c>
      <c r="E280" s="193"/>
      <c r="F280" s="193"/>
      <c r="G280" s="208"/>
      <c r="H280" s="208"/>
      <c r="I280" s="208"/>
      <c r="J280" s="208"/>
      <c r="K280" s="208"/>
      <c r="L280" s="208"/>
      <c r="M280" s="208"/>
      <c r="N280" s="208"/>
      <c r="O280" s="208"/>
      <c r="P280" s="208"/>
      <c r="Q280" s="208"/>
      <c r="R280" s="208"/>
      <c r="S280" s="208">
        <f t="shared" ref="S280:Z280" si="242">S181</f>
        <v>48.234000000000002</v>
      </c>
      <c r="T280" s="208">
        <f t="shared" si="242"/>
        <v>46.15</v>
      </c>
      <c r="U280" s="208">
        <f t="shared" si="242"/>
        <v>45.106000000000002</v>
      </c>
      <c r="V280" s="208">
        <f t="shared" si="242"/>
        <v>43.148000000000003</v>
      </c>
      <c r="W280" s="208">
        <f t="shared" si="242"/>
        <v>41.744999999999997</v>
      </c>
      <c r="X280" s="208">
        <f t="shared" si="242"/>
        <v>44.456000000000003</v>
      </c>
      <c r="Y280" s="208">
        <f t="shared" si="242"/>
        <v>101.26</v>
      </c>
      <c r="Z280" s="208">
        <f t="shared" si="242"/>
        <v>130.31399999999999</v>
      </c>
      <c r="AA280" s="208">
        <f>AA181</f>
        <v>138.87100000000001</v>
      </c>
      <c r="AB280" s="208">
        <f>AB181</f>
        <v>132.16499999999999</v>
      </c>
      <c r="AC280" s="210">
        <f t="shared" ref="AC280:AL280" si="243">+AC104*4*AC282*2-AB280</f>
        <v>153.01503667809257</v>
      </c>
      <c r="AD280" s="210">
        <f t="shared" si="243"/>
        <v>144.77286957751406</v>
      </c>
      <c r="AE280" s="210">
        <f t="shared" si="243"/>
        <v>166.98925322300178</v>
      </c>
      <c r="AF280" s="210">
        <f t="shared" si="243"/>
        <v>164.63363226691368</v>
      </c>
      <c r="AG280" s="210">
        <f t="shared" si="243"/>
        <v>180.19660691491461</v>
      </c>
      <c r="AH280" s="210">
        <f t="shared" si="243"/>
        <v>183.43223199598125</v>
      </c>
      <c r="AI280" s="210">
        <f t="shared" si="243"/>
        <v>191.64041491251984</v>
      </c>
      <c r="AJ280" s="210">
        <f t="shared" si="243"/>
        <v>204.88862972954539</v>
      </c>
      <c r="AK280" s="210">
        <f t="shared" si="243"/>
        <v>204.29074758638367</v>
      </c>
      <c r="AL280" s="210">
        <f t="shared" si="243"/>
        <v>224.5506714519818</v>
      </c>
      <c r="AM280"/>
    </row>
    <row r="281" spans="1:39" outlineLevel="1">
      <c r="D281" s="59" t="s">
        <v>209</v>
      </c>
      <c r="H281" s="57"/>
      <c r="I281" s="57"/>
      <c r="J281" s="57"/>
      <c r="K281" s="57"/>
      <c r="L281" s="80"/>
      <c r="M281" s="80"/>
      <c r="N281" s="80"/>
      <c r="O281" s="80"/>
      <c r="P281" s="80"/>
      <c r="Q281" s="80"/>
      <c r="R281" s="80"/>
      <c r="S281" s="80"/>
      <c r="T281" s="80">
        <f t="shared" ref="T281:Z281" si="244">-AVERAGE(T277,T280)/(T279*4)</f>
        <v>2.4635623303403635</v>
      </c>
      <c r="U281" s="80">
        <f t="shared" si="244"/>
        <v>2.3754685547688466</v>
      </c>
      <c r="V281" s="80">
        <f t="shared" si="244"/>
        <v>1.9591102823654769</v>
      </c>
      <c r="W281" s="80">
        <f t="shared" si="244"/>
        <v>1.9849653946876169</v>
      </c>
      <c r="X281" s="80">
        <f t="shared" si="244"/>
        <v>1.9044052668787554</v>
      </c>
      <c r="Y281" s="80">
        <f t="shared" si="244"/>
        <v>2.7040528503562946</v>
      </c>
      <c r="Z281" s="80">
        <f t="shared" si="244"/>
        <v>3.9377975785607404</v>
      </c>
      <c r="AA281" s="80">
        <f>-AVERAGE(AA277,AA280)/(AA279*4)</f>
        <v>3.908028455284553</v>
      </c>
      <c r="AB281" s="80">
        <f>-AVERAGE(AB277,AB280)/(AB279*4)</f>
        <v>3.5677653748946923</v>
      </c>
      <c r="AC281" s="49">
        <v>3.8</v>
      </c>
      <c r="AD281" s="49">
        <f t="shared" ref="AD281:AL281" si="245">AC281</f>
        <v>3.8</v>
      </c>
      <c r="AE281" s="49">
        <f t="shared" si="245"/>
        <v>3.8</v>
      </c>
      <c r="AF281" s="49">
        <f t="shared" si="245"/>
        <v>3.8</v>
      </c>
      <c r="AG281" s="49">
        <f t="shared" si="245"/>
        <v>3.8</v>
      </c>
      <c r="AH281" s="49">
        <f t="shared" si="245"/>
        <v>3.8</v>
      </c>
      <c r="AI281" s="49">
        <f t="shared" si="245"/>
        <v>3.8</v>
      </c>
      <c r="AJ281" s="49">
        <f t="shared" si="245"/>
        <v>3.8</v>
      </c>
      <c r="AK281" s="49">
        <f t="shared" si="245"/>
        <v>3.8</v>
      </c>
      <c r="AL281" s="49">
        <f t="shared" si="245"/>
        <v>3.8</v>
      </c>
    </row>
    <row r="282" spans="1:39" s="3" customFormat="1" outlineLevel="1">
      <c r="A282" s="58"/>
      <c r="B282" s="58"/>
      <c r="C282" s="58"/>
      <c r="D282" s="59" t="s">
        <v>234</v>
      </c>
      <c r="E282" s="58"/>
      <c r="F282" s="58"/>
      <c r="G282" s="58"/>
      <c r="H282" s="57"/>
      <c r="I282" s="57"/>
      <c r="J282" s="57"/>
      <c r="K282" s="186"/>
      <c r="L282" s="186"/>
      <c r="M282" s="186"/>
      <c r="N282" s="186"/>
      <c r="O282" s="186"/>
      <c r="P282" s="186"/>
      <c r="Q282" s="186"/>
      <c r="R282" s="186"/>
      <c r="S282" s="186"/>
      <c r="T282" s="76">
        <f t="shared" ref="T282:AB282" si="246">AVERAGE(S280:T280)/(T104*4)</f>
        <v>0.11831008513753372</v>
      </c>
      <c r="U282" s="76">
        <f t="shared" si="246"/>
        <v>9.9919412764317372E-2</v>
      </c>
      <c r="V282" s="76">
        <f t="shared" si="246"/>
        <v>8.7605021997045882E-2</v>
      </c>
      <c r="W282" s="76">
        <f t="shared" si="246"/>
        <v>7.6865198652710867E-2</v>
      </c>
      <c r="X282" s="76">
        <f t="shared" si="246"/>
        <v>7.0689932295903632E-2</v>
      </c>
      <c r="Y282" s="76">
        <f t="shared" si="246"/>
        <v>0.10568504238542012</v>
      </c>
      <c r="Z282" s="76">
        <f t="shared" si="246"/>
        <v>0.14952142606252194</v>
      </c>
      <c r="AA282" s="76">
        <f t="shared" si="246"/>
        <v>0.15859264164549625</v>
      </c>
      <c r="AB282" s="76">
        <f t="shared" si="246"/>
        <v>0.14446500680121271</v>
      </c>
      <c r="AC282" s="17">
        <v>0.14000000000000001</v>
      </c>
      <c r="AD282" s="17">
        <f>AC282-0.003</f>
        <v>0.13700000000000001</v>
      </c>
      <c r="AE282" s="17">
        <f t="shared" ref="AE282:AL282" si="247">AD282-0.003</f>
        <v>0.13400000000000001</v>
      </c>
      <c r="AF282" s="17">
        <f t="shared" si="247"/>
        <v>0.13100000000000001</v>
      </c>
      <c r="AG282" s="17">
        <f t="shared" si="247"/>
        <v>0.128</v>
      </c>
      <c r="AH282" s="17">
        <f t="shared" si="247"/>
        <v>0.125</v>
      </c>
      <c r="AI282" s="17">
        <f t="shared" si="247"/>
        <v>0.122</v>
      </c>
      <c r="AJ282" s="17">
        <f t="shared" si="247"/>
        <v>0.11899999999999999</v>
      </c>
      <c r="AK282" s="17">
        <f t="shared" si="247"/>
        <v>0.11599999999999999</v>
      </c>
      <c r="AL282" s="17">
        <f t="shared" si="247"/>
        <v>0.11299999999999999</v>
      </c>
      <c r="AM282"/>
    </row>
    <row r="283" spans="1:39" s="3" customFormat="1" outlineLevel="1">
      <c r="A283" s="58"/>
      <c r="B283" s="58"/>
      <c r="C283" s="58"/>
      <c r="D283" s="59" t="s">
        <v>233</v>
      </c>
      <c r="E283" s="58"/>
      <c r="F283" s="58"/>
      <c r="G283" s="58"/>
      <c r="H283" s="57"/>
      <c r="I283" s="57"/>
      <c r="J283" s="57"/>
      <c r="K283" s="127"/>
      <c r="L283" s="127"/>
      <c r="M283" s="127"/>
      <c r="N283" s="127"/>
      <c r="O283" s="127"/>
      <c r="P283" s="127"/>
      <c r="Q283" s="127"/>
      <c r="R283" s="127"/>
      <c r="S283" s="127"/>
      <c r="T283" s="127">
        <f t="shared" ref="T283:AL283" si="248">T280/T271</f>
        <v>0.4028843551667845</v>
      </c>
      <c r="U283" s="127">
        <f t="shared" si="248"/>
        <v>0.36844383816766457</v>
      </c>
      <c r="V283" s="127">
        <f t="shared" si="248"/>
        <v>0.3488454821809715</v>
      </c>
      <c r="W283" s="127">
        <f t="shared" si="248"/>
        <v>0.30741190765492105</v>
      </c>
      <c r="X283" s="127">
        <f t="shared" si="248"/>
        <v>0.28366694529699654</v>
      </c>
      <c r="Y283" s="127">
        <f t="shared" si="248"/>
        <v>0.57352907859262781</v>
      </c>
      <c r="Z283" s="127">
        <f t="shared" si="248"/>
        <v>0.70924587451560939</v>
      </c>
      <c r="AA283" s="127">
        <f>AA280/AA271</f>
        <v>0.68601308093582047</v>
      </c>
      <c r="AB283" s="127">
        <f>AB280/AB271</f>
        <v>0.54041952894995093</v>
      </c>
      <c r="AC283" s="127">
        <f t="shared" si="248"/>
        <v>0.59025927456198812</v>
      </c>
      <c r="AD283" s="127">
        <f t="shared" si="248"/>
        <v>0.52722672822196615</v>
      </c>
      <c r="AE283" s="127">
        <f t="shared" si="248"/>
        <v>0.57452363096790704</v>
      </c>
      <c r="AF283" s="127">
        <f t="shared" si="248"/>
        <v>0.53549435868871997</v>
      </c>
      <c r="AG283" s="127">
        <f t="shared" si="248"/>
        <v>0.55450818576003558</v>
      </c>
      <c r="AH283" s="127">
        <f t="shared" si="248"/>
        <v>0.53440471508559939</v>
      </c>
      <c r="AI283" s="127">
        <f t="shared" si="248"/>
        <v>0.52896080830373804</v>
      </c>
      <c r="AJ283" s="127">
        <f t="shared" si="248"/>
        <v>0.53617272405741379</v>
      </c>
      <c r="AK283" s="127">
        <f t="shared" si="248"/>
        <v>0.50721833704278785</v>
      </c>
      <c r="AL283" s="127">
        <f t="shared" si="248"/>
        <v>0.52933320536168571</v>
      </c>
      <c r="AM283"/>
    </row>
    <row r="284" spans="1:39" ht="15" customHeight="1">
      <c r="D284" s="59" t="s">
        <v>381</v>
      </c>
      <c r="G284" s="7"/>
      <c r="H284" s="7"/>
      <c r="I284" s="7"/>
      <c r="J284" s="7"/>
      <c r="K284" s="7"/>
      <c r="L284" s="7"/>
      <c r="M284" s="7"/>
      <c r="N284" s="7"/>
      <c r="O284" s="7"/>
      <c r="P284" s="7"/>
      <c r="Q284" s="7"/>
      <c r="R284" s="7"/>
      <c r="S284" s="7"/>
      <c r="T284" s="7">
        <f t="shared" ref="T284:AA284" si="249">T144</f>
        <v>-5.4009999999999998</v>
      </c>
      <c r="U284" s="7">
        <f t="shared" si="249"/>
        <v>-4.9260000000000002</v>
      </c>
      <c r="V284" s="7">
        <f t="shared" si="249"/>
        <v>-5.5869999999999997</v>
      </c>
      <c r="W284" s="7">
        <f t="shared" si="249"/>
        <v>-5.3520000000000003</v>
      </c>
      <c r="X284" s="7">
        <f t="shared" si="249"/>
        <v>-5.0190000000000001</v>
      </c>
      <c r="Y284" s="7">
        <f t="shared" si="249"/>
        <v>-5.944</v>
      </c>
      <c r="Z284" s="7">
        <f t="shared" si="249"/>
        <v>-6.7560000000000002</v>
      </c>
      <c r="AA284" s="7">
        <f t="shared" si="249"/>
        <v>-9.4550000000000001</v>
      </c>
      <c r="AB284" s="7">
        <f>AB144</f>
        <v>-11.068</v>
      </c>
      <c r="AC284" s="68">
        <f t="shared" ref="AC284:AL284" si="250">AC279*AC285</f>
        <v>-8.6950657894736842</v>
      </c>
      <c r="AD284" s="68">
        <f t="shared" si="250"/>
        <v>-10.06677872882188</v>
      </c>
      <c r="AE284" s="68">
        <f t="shared" si="250"/>
        <v>-9.5245308932575039</v>
      </c>
      <c r="AF284" s="68">
        <f t="shared" si="250"/>
        <v>-10.986135080460643</v>
      </c>
      <c r="AG284" s="68">
        <f t="shared" si="250"/>
        <v>-10.83116001756011</v>
      </c>
      <c r="AH284" s="68">
        <f t="shared" si="250"/>
        <v>-11.855039928612804</v>
      </c>
      <c r="AI284" s="68">
        <f t="shared" si="250"/>
        <v>-12.06790999973561</v>
      </c>
      <c r="AJ284" s="68">
        <f t="shared" si="250"/>
        <v>-12.607922033718411</v>
      </c>
      <c r="AK284" s="68">
        <f t="shared" si="250"/>
        <v>-13.479515113785881</v>
      </c>
      <c r="AL284" s="68">
        <f t="shared" si="250"/>
        <v>-13.440180762262084</v>
      </c>
      <c r="AM284" s="7"/>
    </row>
    <row r="285" spans="1:39" ht="15" customHeight="1">
      <c r="D285" s="185" t="s">
        <v>382</v>
      </c>
      <c r="G285" s="7"/>
      <c r="H285" s="7"/>
      <c r="I285" s="7"/>
      <c r="J285" s="7"/>
      <c r="K285" s="7"/>
      <c r="L285" s="7"/>
      <c r="M285" s="7"/>
      <c r="N285" s="7"/>
      <c r="O285" s="7"/>
      <c r="P285" s="7"/>
      <c r="Q285" s="7"/>
      <c r="R285" s="7"/>
      <c r="S285" s="7"/>
      <c r="T285" s="62">
        <f t="shared" ref="T285:Z285" si="251">T284/T279</f>
        <v>1.1277928586343704</v>
      </c>
      <c r="U285" s="62">
        <f t="shared" si="251"/>
        <v>1.0258225739275304</v>
      </c>
      <c r="V285" s="62">
        <f t="shared" si="251"/>
        <v>0.99218611259101397</v>
      </c>
      <c r="W285" s="62">
        <f t="shared" si="251"/>
        <v>1.0011223344556679</v>
      </c>
      <c r="X285" s="62">
        <f t="shared" si="251"/>
        <v>0.88706256627783664</v>
      </c>
      <c r="Y285" s="62">
        <f t="shared" si="251"/>
        <v>0.88242280285035635</v>
      </c>
      <c r="Z285" s="62">
        <f t="shared" si="251"/>
        <v>0.91905863147871036</v>
      </c>
      <c r="AA285" s="62">
        <f>AA284/AA279</f>
        <v>1.0981416957026713</v>
      </c>
      <c r="AB285" s="62">
        <f>AB284/AB279</f>
        <v>1.1655433866891323</v>
      </c>
      <c r="AC285" s="65">
        <v>1</v>
      </c>
      <c r="AD285" s="65">
        <v>1</v>
      </c>
      <c r="AE285" s="65">
        <v>1</v>
      </c>
      <c r="AF285" s="65">
        <v>1</v>
      </c>
      <c r="AG285" s="65">
        <v>1</v>
      </c>
      <c r="AH285" s="65">
        <v>1</v>
      </c>
      <c r="AI285" s="65">
        <v>1</v>
      </c>
      <c r="AJ285" s="65">
        <v>1</v>
      </c>
      <c r="AK285" s="65">
        <v>1</v>
      </c>
      <c r="AL285" s="65">
        <v>1</v>
      </c>
      <c r="AM285" s="7"/>
    </row>
    <row r="286" spans="1:39" ht="15" customHeight="1">
      <c r="D286" s="185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  <c r="S286" s="7"/>
      <c r="T286" s="62"/>
      <c r="U286" s="62"/>
      <c r="V286" s="62"/>
      <c r="W286" s="62"/>
      <c r="X286" s="62"/>
      <c r="Y286" s="62"/>
      <c r="Z286" s="62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7"/>
    </row>
    <row r="287" spans="1:39" ht="15" customHeight="1">
      <c r="D287" s="185" t="s">
        <v>539</v>
      </c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  <c r="S287" s="7">
        <f t="shared" ref="S287:Z287" si="252">S190</f>
        <v>17.009</v>
      </c>
      <c r="T287" s="7">
        <f t="shared" si="252"/>
        <v>17.239000000000001</v>
      </c>
      <c r="U287" s="7">
        <f t="shared" si="252"/>
        <v>17.265000000000001</v>
      </c>
      <c r="V287" s="7">
        <f t="shared" si="252"/>
        <v>17.716999999999999</v>
      </c>
      <c r="W287" s="7">
        <f t="shared" si="252"/>
        <v>17.989999999999998</v>
      </c>
      <c r="X287" s="7">
        <f t="shared" si="252"/>
        <v>20.030999999999999</v>
      </c>
      <c r="Y287" s="7">
        <f t="shared" si="252"/>
        <v>23.45</v>
      </c>
      <c r="Z287" s="7">
        <f t="shared" si="252"/>
        <v>25.175000000000001</v>
      </c>
      <c r="AA287" s="7">
        <f>AA190</f>
        <v>27.305</v>
      </c>
      <c r="AB287" s="7">
        <f>AB190</f>
        <v>28.297999999999998</v>
      </c>
      <c r="AC287" s="164">
        <f t="shared" ref="AC287:AL287" si="253">AC289*AC291</f>
        <v>30.899207335618513</v>
      </c>
      <c r="AD287" s="164">
        <f t="shared" si="253"/>
        <v>29.616408589446596</v>
      </c>
      <c r="AE287" s="164">
        <f t="shared" si="253"/>
        <v>34.536401910715369</v>
      </c>
      <c r="AF287" s="164">
        <f t="shared" si="253"/>
        <v>34.468786195384588</v>
      </c>
      <c r="AG287" s="164">
        <f t="shared" si="253"/>
        <v>38.152297452132068</v>
      </c>
      <c r="AH287" s="164">
        <f t="shared" si="253"/>
        <v>39.294061799146021</v>
      </c>
      <c r="AI287" s="164">
        <f t="shared" si="253"/>
        <v>41.521104206191772</v>
      </c>
      <c r="AJ287" s="164">
        <f t="shared" si="253"/>
        <v>44.885394466176123</v>
      </c>
      <c r="AK287" s="164">
        <f t="shared" si="253"/>
        <v>45.269784469004414</v>
      </c>
      <c r="AL287" s="164">
        <f t="shared" si="253"/>
        <v>50.292046898065955</v>
      </c>
      <c r="AM287" s="7"/>
    </row>
    <row r="288" spans="1:39" ht="15" customHeight="1">
      <c r="D288" s="185" t="s">
        <v>540</v>
      </c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>
        <f t="shared" ref="S288:Z288" si="254">+S195</f>
        <v>33.795000000000002</v>
      </c>
      <c r="T288" s="7">
        <f t="shared" si="254"/>
        <v>30.869</v>
      </c>
      <c r="U288" s="7">
        <f t="shared" si="254"/>
        <v>29.675000000000001</v>
      </c>
      <c r="V288" s="7">
        <f t="shared" si="254"/>
        <v>27.309000000000001</v>
      </c>
      <c r="W288" s="7">
        <f t="shared" si="254"/>
        <v>25.626999999999999</v>
      </c>
      <c r="X288" s="7">
        <f t="shared" si="254"/>
        <v>26.936</v>
      </c>
      <c r="Y288" s="7">
        <f t="shared" si="254"/>
        <v>81.113</v>
      </c>
      <c r="Z288" s="7">
        <f t="shared" si="254"/>
        <v>109.03700000000001</v>
      </c>
      <c r="AA288" s="7">
        <f>+AA195</f>
        <v>114.619</v>
      </c>
      <c r="AB288" s="7">
        <f>+AB195</f>
        <v>105.348</v>
      </c>
      <c r="AC288" s="164">
        <f t="shared" ref="AC288:AL288" si="255">AC289-AC287</f>
        <v>123.59682934247405</v>
      </c>
      <c r="AD288" s="164">
        <f t="shared" si="255"/>
        <v>116.63746098806746</v>
      </c>
      <c r="AE288" s="164">
        <f t="shared" si="255"/>
        <v>133.93385131228641</v>
      </c>
      <c r="AF288" s="164">
        <f t="shared" si="255"/>
        <v>131.64584607152909</v>
      </c>
      <c r="AG288" s="164">
        <f t="shared" si="255"/>
        <v>143.52530946278253</v>
      </c>
      <c r="AH288" s="164">
        <f t="shared" si="255"/>
        <v>145.61917019683523</v>
      </c>
      <c r="AI288" s="164">
        <f t="shared" si="255"/>
        <v>151.60031070632806</v>
      </c>
      <c r="AJ288" s="164">
        <f t="shared" si="255"/>
        <v>161.48423526336927</v>
      </c>
      <c r="AK288" s="164">
        <f t="shared" si="255"/>
        <v>160.50196311737926</v>
      </c>
      <c r="AL288" s="164">
        <f t="shared" si="255"/>
        <v>175.73962455391583</v>
      </c>
      <c r="AM288" s="7"/>
    </row>
    <row r="289" spans="1:39" s="3" customFormat="1">
      <c r="A289" s="96"/>
      <c r="D289" s="209" t="s">
        <v>546</v>
      </c>
      <c r="E289" s="193"/>
      <c r="F289" s="193"/>
      <c r="G289" s="208"/>
      <c r="H289" s="208"/>
      <c r="I289" s="208"/>
      <c r="J289" s="208"/>
      <c r="K289" s="208"/>
      <c r="L289" s="208"/>
      <c r="M289" s="208"/>
      <c r="N289" s="208"/>
      <c r="O289" s="208"/>
      <c r="P289" s="208"/>
      <c r="Q289" s="208"/>
      <c r="R289" s="208"/>
      <c r="S289" s="208">
        <f t="shared" ref="S289:Z289" si="256">SUM(S287:S288)</f>
        <v>50.804000000000002</v>
      </c>
      <c r="T289" s="208">
        <f t="shared" si="256"/>
        <v>48.108000000000004</v>
      </c>
      <c r="U289" s="208">
        <f t="shared" si="256"/>
        <v>46.94</v>
      </c>
      <c r="V289" s="208">
        <f t="shared" si="256"/>
        <v>45.025999999999996</v>
      </c>
      <c r="W289" s="208">
        <f t="shared" si="256"/>
        <v>43.616999999999997</v>
      </c>
      <c r="X289" s="208">
        <f t="shared" si="256"/>
        <v>46.966999999999999</v>
      </c>
      <c r="Y289" s="208">
        <f t="shared" si="256"/>
        <v>104.563</v>
      </c>
      <c r="Z289" s="208">
        <f t="shared" si="256"/>
        <v>134.21200000000002</v>
      </c>
      <c r="AA289" s="208">
        <f>SUM(AA287:AA288)</f>
        <v>141.92400000000001</v>
      </c>
      <c r="AB289" s="208">
        <f>SUM(AB287:AB288)</f>
        <v>133.64599999999999</v>
      </c>
      <c r="AC289" s="210">
        <f t="shared" ref="AC289:AL289" si="257">AC280-AB280+AB289+(AC284-AC279)</f>
        <v>154.49603667809257</v>
      </c>
      <c r="AD289" s="210">
        <f t="shared" si="257"/>
        <v>146.25386957751405</v>
      </c>
      <c r="AE289" s="210">
        <f t="shared" si="257"/>
        <v>168.47025322300178</v>
      </c>
      <c r="AF289" s="210">
        <f t="shared" si="257"/>
        <v>166.11463226691367</v>
      </c>
      <c r="AG289" s="210">
        <f t="shared" si="257"/>
        <v>181.67760691491461</v>
      </c>
      <c r="AH289" s="210">
        <f t="shared" si="257"/>
        <v>184.91323199598125</v>
      </c>
      <c r="AI289" s="210">
        <f t="shared" si="257"/>
        <v>193.12141491251984</v>
      </c>
      <c r="AJ289" s="210">
        <f t="shared" si="257"/>
        <v>206.36962972954538</v>
      </c>
      <c r="AK289" s="210">
        <f t="shared" si="257"/>
        <v>205.77174758638367</v>
      </c>
      <c r="AL289" s="210">
        <f t="shared" si="257"/>
        <v>226.03167145198179</v>
      </c>
      <c r="AM289"/>
    </row>
    <row r="290" spans="1:39" ht="15" customHeight="1">
      <c r="D290" s="185" t="s">
        <v>548</v>
      </c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  <c r="T290" s="62">
        <f t="shared" ref="T290:AL290" si="258">T289/T280</f>
        <v>1.0424268689057423</v>
      </c>
      <c r="U290" s="62">
        <f t="shared" si="258"/>
        <v>1.0406597791868044</v>
      </c>
      <c r="V290" s="62">
        <f t="shared" si="258"/>
        <v>1.0435246129600444</v>
      </c>
      <c r="W290" s="62">
        <f t="shared" si="258"/>
        <v>1.0448436938555516</v>
      </c>
      <c r="X290" s="62">
        <f t="shared" si="258"/>
        <v>1.0564828144682381</v>
      </c>
      <c r="Y290" s="62">
        <f t="shared" si="258"/>
        <v>1.032619000592534</v>
      </c>
      <c r="Z290" s="62">
        <f t="shared" si="258"/>
        <v>1.0299123655171358</v>
      </c>
      <c r="AA290" s="62">
        <f>AA289/AA280</f>
        <v>1.0219844315947895</v>
      </c>
      <c r="AB290" s="62">
        <f>AB289/AB280</f>
        <v>1.0112056898573751</v>
      </c>
      <c r="AC290" s="62">
        <f t="shared" si="258"/>
        <v>1.0096787873411139</v>
      </c>
      <c r="AD290" s="62">
        <f t="shared" si="258"/>
        <v>1.0102298172601121</v>
      </c>
      <c r="AE290" s="62">
        <f t="shared" si="258"/>
        <v>1.0088688341999004</v>
      </c>
      <c r="AF290" s="62">
        <f t="shared" si="258"/>
        <v>1.0089957317931182</v>
      </c>
      <c r="AG290" s="62">
        <f t="shared" si="258"/>
        <v>1.0082188007052724</v>
      </c>
      <c r="AH290" s="62">
        <f t="shared" si="258"/>
        <v>1.0080738264147189</v>
      </c>
      <c r="AI290" s="62">
        <f t="shared" si="258"/>
        <v>1.00772801499452</v>
      </c>
      <c r="AJ290" s="62">
        <f t="shared" si="258"/>
        <v>1.007228317168966</v>
      </c>
      <c r="AK290" s="62">
        <f t="shared" si="258"/>
        <v>1.0072494717332892</v>
      </c>
      <c r="AL290" s="62">
        <f t="shared" si="258"/>
        <v>1.0065953933266982</v>
      </c>
      <c r="AM290" s="7"/>
    </row>
    <row r="291" spans="1:39" ht="15" customHeight="1">
      <c r="D291" s="185" t="s">
        <v>547</v>
      </c>
      <c r="G291" s="7"/>
      <c r="H291" s="7"/>
      <c r="I291" s="7"/>
      <c r="J291" s="7"/>
      <c r="K291" s="7"/>
      <c r="L291" s="7"/>
      <c r="M291" s="7"/>
      <c r="N291" s="7"/>
      <c r="O291" s="7"/>
      <c r="P291" s="7"/>
      <c r="Q291" s="7"/>
      <c r="R291" s="7"/>
      <c r="S291" s="62">
        <f t="shared" ref="S291:Z291" si="259">S287/S289</f>
        <v>0.33479647271868357</v>
      </c>
      <c r="T291" s="62">
        <f t="shared" si="259"/>
        <v>0.3583395693024029</v>
      </c>
      <c r="U291" s="62">
        <f t="shared" si="259"/>
        <v>0.36780997017469114</v>
      </c>
      <c r="V291" s="62">
        <f t="shared" si="259"/>
        <v>0.39348376493581488</v>
      </c>
      <c r="W291" s="62">
        <f t="shared" si="259"/>
        <v>0.41245385973359011</v>
      </c>
      <c r="X291" s="62">
        <f t="shared" si="259"/>
        <v>0.42649094044754826</v>
      </c>
      <c r="Y291" s="62">
        <f t="shared" si="259"/>
        <v>0.22426671002170939</v>
      </c>
      <c r="Z291" s="62">
        <f t="shared" si="259"/>
        <v>0.18757637171042826</v>
      </c>
      <c r="AA291" s="62">
        <f>AA287/AA289</f>
        <v>0.19239170260139229</v>
      </c>
      <c r="AB291" s="62">
        <f>AB287/AB289</f>
        <v>0.21173847328015805</v>
      </c>
      <c r="AC291" s="65">
        <v>0.2</v>
      </c>
      <c r="AD291" s="65">
        <f t="shared" ref="AD291:AL291" si="260">AC291+0.0025</f>
        <v>0.20250000000000001</v>
      </c>
      <c r="AE291" s="65">
        <f t="shared" si="260"/>
        <v>0.20500000000000002</v>
      </c>
      <c r="AF291" s="65">
        <f t="shared" si="260"/>
        <v>0.20750000000000002</v>
      </c>
      <c r="AG291" s="65">
        <f t="shared" si="260"/>
        <v>0.21000000000000002</v>
      </c>
      <c r="AH291" s="65">
        <f t="shared" si="260"/>
        <v>0.21250000000000002</v>
      </c>
      <c r="AI291" s="65">
        <f t="shared" si="260"/>
        <v>0.21500000000000002</v>
      </c>
      <c r="AJ291" s="65">
        <f t="shared" si="260"/>
        <v>0.21750000000000003</v>
      </c>
      <c r="AK291" s="65">
        <f t="shared" si="260"/>
        <v>0.22000000000000003</v>
      </c>
      <c r="AL291" s="65">
        <f t="shared" si="260"/>
        <v>0.22250000000000003</v>
      </c>
      <c r="AM291" s="7"/>
    </row>
    <row r="292" spans="1:39" ht="15" customHeight="1">
      <c r="G292" s="7"/>
      <c r="H292" s="7"/>
      <c r="I292" s="7"/>
      <c r="J292" s="7"/>
      <c r="K292" s="7"/>
      <c r="L292" s="7"/>
      <c r="M292" s="7"/>
      <c r="N292" s="7"/>
      <c r="O292" s="7"/>
      <c r="P292" s="7"/>
      <c r="Q292" s="7"/>
      <c r="R292" s="7"/>
      <c r="S292" s="7"/>
      <c r="T292" s="7"/>
      <c r="U292" s="7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7"/>
    </row>
    <row r="293" spans="1:39" s="3" customFormat="1" outlineLevel="1">
      <c r="A293" s="96"/>
      <c r="D293" s="3" t="s">
        <v>229</v>
      </c>
      <c r="H293" s="53"/>
      <c r="I293" s="53"/>
      <c r="J293" s="53"/>
      <c r="K293" s="53"/>
      <c r="L293" s="53">
        <f t="shared" ref="L293:AL293" si="261">+K297</f>
        <v>0.55800000000000005</v>
      </c>
      <c r="M293" s="53">
        <f t="shared" si="261"/>
        <v>0.41099999999999998</v>
      </c>
      <c r="N293" s="53">
        <f t="shared" si="261"/>
        <v>0.26400000000000001</v>
      </c>
      <c r="O293" s="53">
        <f t="shared" si="261"/>
        <v>0.156</v>
      </c>
      <c r="P293" s="53">
        <f t="shared" si="261"/>
        <v>0.125</v>
      </c>
      <c r="Q293" s="53">
        <f t="shared" si="261"/>
        <v>9.4E-2</v>
      </c>
      <c r="R293" s="53">
        <f t="shared" si="261"/>
        <v>6.2E-2</v>
      </c>
      <c r="S293" s="53">
        <f t="shared" si="261"/>
        <v>3.1E-2</v>
      </c>
      <c r="T293" s="53">
        <f t="shared" si="261"/>
        <v>4.9000000000000004</v>
      </c>
      <c r="U293" s="53">
        <f t="shared" si="261"/>
        <v>4.2</v>
      </c>
      <c r="V293" s="53">
        <f t="shared" si="261"/>
        <v>3.5</v>
      </c>
      <c r="W293" s="53">
        <f t="shared" si="261"/>
        <v>2.8</v>
      </c>
      <c r="X293" s="53">
        <f t="shared" si="261"/>
        <v>2.1</v>
      </c>
      <c r="Y293" s="53">
        <f t="shared" si="261"/>
        <v>1.4</v>
      </c>
      <c r="Z293" s="53">
        <f t="shared" si="261"/>
        <v>0.7</v>
      </c>
      <c r="AA293" s="53">
        <f t="shared" si="261"/>
        <v>1.254</v>
      </c>
      <c r="AB293" s="53">
        <f t="shared" si="261"/>
        <v>3.8460000000000001</v>
      </c>
      <c r="AC293" s="53">
        <f t="shared" si="261"/>
        <v>42.258000000000003</v>
      </c>
      <c r="AD293" s="53">
        <f t="shared" si="261"/>
        <v>37.458000000000006</v>
      </c>
      <c r="AE293" s="53">
        <f t="shared" si="261"/>
        <v>32.658000000000008</v>
      </c>
      <c r="AF293" s="53">
        <f t="shared" si="261"/>
        <v>27.858000000000008</v>
      </c>
      <c r="AG293" s="53">
        <f t="shared" si="261"/>
        <v>23.058000000000007</v>
      </c>
      <c r="AH293" s="53">
        <f t="shared" si="261"/>
        <v>18.258000000000006</v>
      </c>
      <c r="AI293" s="53">
        <f t="shared" si="261"/>
        <v>13.458000000000006</v>
      </c>
      <c r="AJ293" s="53">
        <f t="shared" si="261"/>
        <v>8.6580000000000048</v>
      </c>
      <c r="AK293" s="53">
        <f t="shared" si="261"/>
        <v>3.858000000000005</v>
      </c>
      <c r="AL293" s="53">
        <f t="shared" si="261"/>
        <v>0</v>
      </c>
    </row>
    <row r="294" spans="1:39" outlineLevel="1">
      <c r="D294" s="59" t="s">
        <v>126</v>
      </c>
      <c r="H294" s="7"/>
      <c r="I294" s="7"/>
      <c r="J294" s="68"/>
      <c r="K294" s="68"/>
      <c r="L294" s="68">
        <v>0</v>
      </c>
      <c r="M294" s="68">
        <v>0</v>
      </c>
      <c r="N294" s="68">
        <v>0</v>
      </c>
      <c r="O294" s="68">
        <v>0</v>
      </c>
      <c r="P294" s="68">
        <v>0</v>
      </c>
      <c r="Q294" s="68">
        <v>0</v>
      </c>
      <c r="R294" s="68">
        <v>0</v>
      </c>
      <c r="S294" s="68">
        <v>0</v>
      </c>
      <c r="T294" s="68">
        <v>0</v>
      </c>
      <c r="U294" s="68">
        <v>0</v>
      </c>
      <c r="V294" s="68">
        <v>0</v>
      </c>
      <c r="W294" s="68">
        <v>0</v>
      </c>
      <c r="X294" s="68">
        <v>0</v>
      </c>
      <c r="Y294" s="68">
        <v>0</v>
      </c>
      <c r="Z294" s="68">
        <v>0</v>
      </c>
      <c r="AA294" s="68">
        <v>0</v>
      </c>
      <c r="AB294" s="68">
        <v>0</v>
      </c>
      <c r="AC294" s="68">
        <v>0</v>
      </c>
      <c r="AD294" s="68">
        <v>0</v>
      </c>
      <c r="AE294" s="68">
        <v>0</v>
      </c>
      <c r="AF294" s="68">
        <v>0</v>
      </c>
      <c r="AG294" s="68">
        <v>0</v>
      </c>
      <c r="AH294" s="68">
        <v>0</v>
      </c>
      <c r="AI294" s="68">
        <v>0</v>
      </c>
      <c r="AJ294" s="68">
        <v>0</v>
      </c>
      <c r="AK294" s="68">
        <v>0</v>
      </c>
      <c r="AL294" s="68">
        <v>0</v>
      </c>
    </row>
    <row r="295" spans="1:39" outlineLevel="1">
      <c r="D295" s="59" t="s">
        <v>7</v>
      </c>
      <c r="H295" s="7"/>
      <c r="I295" s="7"/>
      <c r="J295" s="7"/>
      <c r="K295" s="7"/>
      <c r="L295" s="80">
        <f t="shared" ref="L295:Z295" si="262">-L320</f>
        <v>-0.14699999999999999</v>
      </c>
      <c r="M295" s="80">
        <f t="shared" si="262"/>
        <v>-0.14699999999999999</v>
      </c>
      <c r="N295" s="80">
        <f t="shared" si="262"/>
        <v>-0.108</v>
      </c>
      <c r="O295" s="80">
        <f t="shared" si="262"/>
        <v>-3.1E-2</v>
      </c>
      <c r="P295" s="80">
        <f t="shared" si="262"/>
        <v>-3.2000000000000001E-2</v>
      </c>
      <c r="Q295" s="80">
        <f t="shared" si="262"/>
        <v>-3.1E-2</v>
      </c>
      <c r="R295" s="80">
        <f t="shared" si="262"/>
        <v>-3.1E-2</v>
      </c>
      <c r="S295" s="80">
        <f t="shared" si="262"/>
        <v>-0.73099999999999998</v>
      </c>
      <c r="T295" s="80">
        <f t="shared" si="262"/>
        <v>-0.7</v>
      </c>
      <c r="U295" s="80">
        <f t="shared" si="262"/>
        <v>-0.7</v>
      </c>
      <c r="V295" s="80">
        <f t="shared" si="262"/>
        <v>-0.95</v>
      </c>
      <c r="W295" s="80">
        <f t="shared" si="262"/>
        <v>-0.7</v>
      </c>
      <c r="X295" s="80">
        <f t="shared" si="262"/>
        <v>-0.7</v>
      </c>
      <c r="Y295" s="80">
        <f t="shared" si="262"/>
        <v>-0.7</v>
      </c>
      <c r="Z295" s="80">
        <f t="shared" si="262"/>
        <v>-0.84600000000000053</v>
      </c>
      <c r="AA295" s="80">
        <f>-AA320</f>
        <v>-0.50700000000000001</v>
      </c>
      <c r="AB295" s="80">
        <f>-AB320</f>
        <v>-4.8869999999999996</v>
      </c>
      <c r="AC295" s="68">
        <f>+IF(AC293-4.8&lt;0,-AC293,-4.8)</f>
        <v>-4.8</v>
      </c>
      <c r="AD295" s="68">
        <f t="shared" ref="AD295:AL295" si="263">+IF(AD293-4.8&lt;0,-AD293,-4.8)</f>
        <v>-4.8</v>
      </c>
      <c r="AE295" s="68">
        <f t="shared" si="263"/>
        <v>-4.8</v>
      </c>
      <c r="AF295" s="68">
        <f t="shared" si="263"/>
        <v>-4.8</v>
      </c>
      <c r="AG295" s="68">
        <f t="shared" si="263"/>
        <v>-4.8</v>
      </c>
      <c r="AH295" s="68">
        <f t="shared" si="263"/>
        <v>-4.8</v>
      </c>
      <c r="AI295" s="68">
        <f t="shared" si="263"/>
        <v>-4.8</v>
      </c>
      <c r="AJ295" s="68">
        <f t="shared" si="263"/>
        <v>-4.8</v>
      </c>
      <c r="AK295" s="68">
        <f t="shared" si="263"/>
        <v>-3.858000000000005</v>
      </c>
      <c r="AL295" s="68">
        <f t="shared" si="263"/>
        <v>0</v>
      </c>
    </row>
    <row r="296" spans="1:39" outlineLevel="1">
      <c r="D296" s="59" t="s">
        <v>361</v>
      </c>
      <c r="H296" s="7"/>
      <c r="I296" s="7"/>
      <c r="J296" s="7"/>
      <c r="K296" s="7"/>
      <c r="L296" s="7">
        <f t="shared" ref="L296:Z296" si="264">+L297-SUM(L293:L295)</f>
        <v>0</v>
      </c>
      <c r="M296" s="7">
        <f t="shared" si="264"/>
        <v>0</v>
      </c>
      <c r="N296" s="7">
        <f t="shared" si="264"/>
        <v>0</v>
      </c>
      <c r="O296" s="7">
        <f t="shared" si="264"/>
        <v>0</v>
      </c>
      <c r="P296" s="7">
        <f t="shared" si="264"/>
        <v>1.0000000000000009E-3</v>
      </c>
      <c r="Q296" s="7">
        <f t="shared" si="264"/>
        <v>-1.0000000000000009E-3</v>
      </c>
      <c r="R296" s="7">
        <f t="shared" si="264"/>
        <v>0</v>
      </c>
      <c r="S296" s="7">
        <f t="shared" si="264"/>
        <v>5.6000000000000005</v>
      </c>
      <c r="T296" s="7">
        <f t="shared" si="264"/>
        <v>0</v>
      </c>
      <c r="U296" s="7">
        <f t="shared" si="264"/>
        <v>0</v>
      </c>
      <c r="V296" s="7">
        <f t="shared" si="264"/>
        <v>0.25</v>
      </c>
      <c r="W296" s="7">
        <f t="shared" si="264"/>
        <v>0</v>
      </c>
      <c r="X296" s="7">
        <f t="shared" si="264"/>
        <v>0</v>
      </c>
      <c r="Y296" s="7">
        <f t="shared" si="264"/>
        <v>0</v>
      </c>
      <c r="Z296" s="7">
        <f t="shared" si="264"/>
        <v>1.4000000000000006</v>
      </c>
      <c r="AA296" s="7">
        <f>+AA297-SUM(AA293:AA295)</f>
        <v>3.0990000000000002</v>
      </c>
      <c r="AB296" s="7">
        <f>+AB297-SUM(AB293:AB295)</f>
        <v>43.298999999999999</v>
      </c>
      <c r="AC296" s="68">
        <v>0</v>
      </c>
      <c r="AD296" s="68">
        <v>0</v>
      </c>
      <c r="AE296" s="68">
        <v>0</v>
      </c>
      <c r="AF296" s="68">
        <v>0</v>
      </c>
      <c r="AG296" s="68">
        <v>0</v>
      </c>
      <c r="AH296" s="68">
        <v>0</v>
      </c>
      <c r="AI296" s="68">
        <v>0</v>
      </c>
      <c r="AJ296" s="68">
        <v>0</v>
      </c>
      <c r="AK296" s="68">
        <v>0</v>
      </c>
      <c r="AL296" s="68">
        <v>0</v>
      </c>
    </row>
    <row r="297" spans="1:39" s="3" customFormat="1" outlineLevel="1">
      <c r="A297" s="96"/>
      <c r="D297" s="209" t="s">
        <v>230</v>
      </c>
      <c r="E297" s="193"/>
      <c r="F297" s="193"/>
      <c r="G297" s="208"/>
      <c r="H297" s="208"/>
      <c r="I297" s="208"/>
      <c r="J297" s="208"/>
      <c r="K297" s="208">
        <f t="shared" ref="K297:Z297" si="265">K183</f>
        <v>0.55800000000000005</v>
      </c>
      <c r="L297" s="208">
        <f t="shared" si="265"/>
        <v>0.41099999999999998</v>
      </c>
      <c r="M297" s="208">
        <f t="shared" si="265"/>
        <v>0.26400000000000001</v>
      </c>
      <c r="N297" s="208">
        <f t="shared" si="265"/>
        <v>0.156</v>
      </c>
      <c r="O297" s="208">
        <f t="shared" si="265"/>
        <v>0.125</v>
      </c>
      <c r="P297" s="208">
        <f t="shared" si="265"/>
        <v>9.4E-2</v>
      </c>
      <c r="Q297" s="208">
        <f t="shared" si="265"/>
        <v>6.2E-2</v>
      </c>
      <c r="R297" s="208">
        <f t="shared" si="265"/>
        <v>3.1E-2</v>
      </c>
      <c r="S297" s="208">
        <f t="shared" si="265"/>
        <v>4.9000000000000004</v>
      </c>
      <c r="T297" s="208">
        <f t="shared" si="265"/>
        <v>4.2</v>
      </c>
      <c r="U297" s="208">
        <f t="shared" si="265"/>
        <v>3.5</v>
      </c>
      <c r="V297" s="208">
        <f t="shared" si="265"/>
        <v>2.8</v>
      </c>
      <c r="W297" s="208">
        <f t="shared" si="265"/>
        <v>2.1</v>
      </c>
      <c r="X297" s="208">
        <f t="shared" si="265"/>
        <v>1.4</v>
      </c>
      <c r="Y297" s="208">
        <f t="shared" si="265"/>
        <v>0.7</v>
      </c>
      <c r="Z297" s="208">
        <f t="shared" si="265"/>
        <v>1.254</v>
      </c>
      <c r="AA297" s="208">
        <f>AA183</f>
        <v>3.8460000000000001</v>
      </c>
      <c r="AB297" s="208">
        <f>AB183</f>
        <v>42.258000000000003</v>
      </c>
      <c r="AC297" s="207">
        <f t="shared" ref="AC297:AL297" si="266">SUM(AC293:AC296)</f>
        <v>37.458000000000006</v>
      </c>
      <c r="AD297" s="207">
        <f t="shared" si="266"/>
        <v>32.658000000000008</v>
      </c>
      <c r="AE297" s="207">
        <f t="shared" si="266"/>
        <v>27.858000000000008</v>
      </c>
      <c r="AF297" s="207">
        <f t="shared" si="266"/>
        <v>23.058000000000007</v>
      </c>
      <c r="AG297" s="207">
        <f t="shared" si="266"/>
        <v>18.258000000000006</v>
      </c>
      <c r="AH297" s="207">
        <f t="shared" si="266"/>
        <v>13.458000000000006</v>
      </c>
      <c r="AI297" s="207">
        <f t="shared" si="266"/>
        <v>8.6580000000000048</v>
      </c>
      <c r="AJ297" s="207">
        <f t="shared" si="266"/>
        <v>3.858000000000005</v>
      </c>
      <c r="AK297" s="207">
        <f t="shared" si="266"/>
        <v>0</v>
      </c>
      <c r="AL297" s="207">
        <f t="shared" si="266"/>
        <v>0</v>
      </c>
      <c r="AM297"/>
    </row>
    <row r="298" spans="1:39" outlineLevel="1">
      <c r="D298" s="59" t="s">
        <v>209</v>
      </c>
      <c r="H298" s="57"/>
      <c r="I298" s="57"/>
      <c r="J298" s="80"/>
      <c r="K298" s="80"/>
      <c r="L298" s="80">
        <f t="shared" ref="L298:AL298" si="267">IF(K297&lt;=0,0,-AVERAGE(K297:L297)/(L295*4))</f>
        <v>0.82397959183673486</v>
      </c>
      <c r="M298" s="80">
        <f t="shared" si="267"/>
        <v>0.57397959183673475</v>
      </c>
      <c r="N298" s="80">
        <f t="shared" si="267"/>
        <v>0.48611111111111116</v>
      </c>
      <c r="O298" s="80">
        <f t="shared" si="267"/>
        <v>1.1330645161290325</v>
      </c>
      <c r="P298" s="80">
        <f t="shared" si="267"/>
        <v>0.85546875</v>
      </c>
      <c r="Q298" s="80">
        <f t="shared" si="267"/>
        <v>0.62903225806451613</v>
      </c>
      <c r="R298" s="80">
        <f t="shared" si="267"/>
        <v>0.375</v>
      </c>
      <c r="S298" s="80">
        <f t="shared" si="267"/>
        <v>0.84319425444596441</v>
      </c>
      <c r="T298" s="80">
        <f t="shared" si="267"/>
        <v>1.6250000000000004</v>
      </c>
      <c r="U298" s="80">
        <f t="shared" si="267"/>
        <v>1.3750000000000002</v>
      </c>
      <c r="V298" s="80">
        <f t="shared" si="267"/>
        <v>0.82894736842105265</v>
      </c>
      <c r="W298" s="80">
        <f t="shared" si="267"/>
        <v>0.87500000000000011</v>
      </c>
      <c r="X298" s="80">
        <f t="shared" si="267"/>
        <v>0.625</v>
      </c>
      <c r="Y298" s="80">
        <f t="shared" si="267"/>
        <v>0.37499999999999994</v>
      </c>
      <c r="Z298" s="80">
        <f t="shared" si="267"/>
        <v>0.2887115839243497</v>
      </c>
      <c r="AA298" s="80">
        <f t="shared" si="267"/>
        <v>1.2573964497041419</v>
      </c>
      <c r="AB298" s="80">
        <f t="shared" si="267"/>
        <v>1.1792510742786986</v>
      </c>
      <c r="AC298" s="80">
        <f t="shared" si="267"/>
        <v>2.0759375000000002</v>
      </c>
      <c r="AD298" s="80">
        <f t="shared" si="267"/>
        <v>1.8259375000000004</v>
      </c>
      <c r="AE298" s="80">
        <f t="shared" si="267"/>
        <v>1.5759375000000007</v>
      </c>
      <c r="AF298" s="80">
        <f t="shared" si="267"/>
        <v>1.3259375000000004</v>
      </c>
      <c r="AG298" s="80">
        <f t="shared" si="267"/>
        <v>1.0759375000000004</v>
      </c>
      <c r="AH298" s="80">
        <f t="shared" si="267"/>
        <v>0.82593750000000032</v>
      </c>
      <c r="AI298" s="80">
        <f t="shared" si="267"/>
        <v>0.57593750000000032</v>
      </c>
      <c r="AJ298" s="80">
        <f t="shared" si="267"/>
        <v>0.32593750000000027</v>
      </c>
      <c r="AK298" s="80">
        <f t="shared" si="267"/>
        <v>0.125</v>
      </c>
      <c r="AL298" s="80">
        <f t="shared" si="267"/>
        <v>0</v>
      </c>
    </row>
    <row r="299" spans="1:39" outlineLevel="1">
      <c r="D299" s="59"/>
      <c r="H299" s="7"/>
      <c r="I299" s="7"/>
      <c r="J299" s="7"/>
      <c r="K299" s="7"/>
      <c r="L299" s="7"/>
      <c r="M299" s="7"/>
      <c r="N299" s="7"/>
      <c r="O299" s="7"/>
      <c r="P299" s="7"/>
      <c r="Q299" s="7"/>
      <c r="R299" s="7"/>
      <c r="S299" s="7"/>
      <c r="T299" s="7"/>
      <c r="U299" s="7"/>
      <c r="V299" s="164"/>
      <c r="W299" s="164"/>
      <c r="X299" s="164"/>
      <c r="Y299" s="164"/>
      <c r="Z299" s="164"/>
      <c r="AA299" s="164"/>
      <c r="AB299" s="164"/>
      <c r="AC299" s="164"/>
      <c r="AD299" s="164"/>
      <c r="AE299" s="164"/>
      <c r="AF299" s="164"/>
      <c r="AG299" s="164"/>
      <c r="AH299" s="164"/>
      <c r="AI299" s="164"/>
      <c r="AJ299" s="164"/>
      <c r="AK299" s="164"/>
      <c r="AL299" s="164"/>
    </row>
    <row r="300" spans="1:39" s="3" customFormat="1" outlineLevel="1">
      <c r="A300" s="96"/>
      <c r="D300" s="3" t="s">
        <v>533</v>
      </c>
      <c r="H300" s="53"/>
      <c r="I300" s="53"/>
      <c r="J300" s="53"/>
      <c r="K300" s="53"/>
      <c r="L300" s="53">
        <f t="shared" ref="L300:AL300" si="268">K304</f>
        <v>11.821999999999999</v>
      </c>
      <c r="M300" s="53">
        <f t="shared" si="268"/>
        <v>13.032999999999999</v>
      </c>
      <c r="N300" s="53">
        <f t="shared" si="268"/>
        <v>14.414</v>
      </c>
      <c r="O300" s="53">
        <f t="shared" si="268"/>
        <v>15.94</v>
      </c>
      <c r="P300" s="53">
        <f t="shared" si="268"/>
        <v>17.846</v>
      </c>
      <c r="Q300" s="53">
        <f t="shared" si="268"/>
        <v>19.481999999999999</v>
      </c>
      <c r="R300" s="53">
        <f t="shared" si="268"/>
        <v>21.140999999999998</v>
      </c>
      <c r="S300" s="53">
        <f t="shared" si="268"/>
        <v>25.184000000000001</v>
      </c>
      <c r="T300" s="53">
        <f t="shared" si="268"/>
        <v>28.170999999999999</v>
      </c>
      <c r="U300" s="53">
        <f t="shared" si="268"/>
        <v>33.880000000000003</v>
      </c>
      <c r="V300" s="53">
        <f t="shared" si="268"/>
        <v>37.713999999999999</v>
      </c>
      <c r="W300" s="53">
        <f t="shared" si="268"/>
        <v>44.176000000000002</v>
      </c>
      <c r="X300" s="53">
        <f t="shared" si="268"/>
        <v>48.981999999999999</v>
      </c>
      <c r="Y300" s="53">
        <f t="shared" si="268"/>
        <v>56.587000000000003</v>
      </c>
      <c r="Z300" s="53">
        <f t="shared" si="268"/>
        <v>61.606999999999999</v>
      </c>
      <c r="AA300" s="53">
        <f t="shared" si="268"/>
        <v>70.319999999999993</v>
      </c>
      <c r="AB300" s="53">
        <f t="shared" si="268"/>
        <v>76.266000000000005</v>
      </c>
      <c r="AC300" s="53">
        <f t="shared" si="268"/>
        <v>80.706000000000003</v>
      </c>
      <c r="AD300" s="53">
        <f t="shared" si="268"/>
        <v>86.572511134420949</v>
      </c>
      <c r="AE300" s="53">
        <f t="shared" si="268"/>
        <v>91.292642793689609</v>
      </c>
      <c r="AF300" s="53">
        <f t="shared" si="268"/>
        <v>96.553194747920941</v>
      </c>
      <c r="AG300" s="53">
        <f t="shared" si="268"/>
        <v>103.79036874111857</v>
      </c>
      <c r="AH300" s="53">
        <f t="shared" si="268"/>
        <v>109.10644286612533</v>
      </c>
      <c r="AI300" s="53">
        <f t="shared" si="268"/>
        <v>116.36122845148665</v>
      </c>
      <c r="AJ300" s="53">
        <f t="shared" si="268"/>
        <v>121.43745535152289</v>
      </c>
      <c r="AK300" s="53">
        <f t="shared" si="268"/>
        <v>129.95489698353396</v>
      </c>
      <c r="AL300" s="53">
        <f t="shared" si="268"/>
        <v>135.80522436778679</v>
      </c>
    </row>
    <row r="301" spans="1:39" outlineLevel="1">
      <c r="D301" s="59" t="s">
        <v>534</v>
      </c>
      <c r="H301" s="7"/>
      <c r="I301" s="7"/>
      <c r="J301" s="7"/>
      <c r="K301" s="7"/>
      <c r="L301" s="7">
        <f t="shared" ref="L301:Z301" si="269">-L146</f>
        <v>2.8039999999999998</v>
      </c>
      <c r="M301" s="7">
        <f t="shared" si="269"/>
        <v>3.2330000000000001</v>
      </c>
      <c r="N301" s="7">
        <f t="shared" si="269"/>
        <v>3.5960000000000001</v>
      </c>
      <c r="O301" s="7">
        <f t="shared" si="269"/>
        <v>4.2249999999999996</v>
      </c>
      <c r="P301" s="7">
        <f t="shared" si="269"/>
        <v>4.2210000000000001</v>
      </c>
      <c r="Q301" s="7">
        <f t="shared" si="269"/>
        <v>4.4770000000000003</v>
      </c>
      <c r="R301" s="7">
        <f t="shared" si="269"/>
        <v>7.1420000000000003</v>
      </c>
      <c r="S301" s="7">
        <f t="shared" si="269"/>
        <v>6.4859999999999998</v>
      </c>
      <c r="T301" s="7">
        <f t="shared" si="269"/>
        <v>9.6720000000000006</v>
      </c>
      <c r="U301" s="7">
        <f t="shared" si="269"/>
        <v>8.4570000000000007</v>
      </c>
      <c r="V301" s="7">
        <f t="shared" si="269"/>
        <v>11.7</v>
      </c>
      <c r="W301" s="7">
        <f t="shared" si="269"/>
        <v>10.866</v>
      </c>
      <c r="X301" s="7">
        <f t="shared" si="269"/>
        <v>14.46</v>
      </c>
      <c r="Y301" s="7">
        <f t="shared" si="269"/>
        <v>12.792999999999999</v>
      </c>
      <c r="Z301" s="7">
        <f t="shared" si="269"/>
        <v>17.292000000000002</v>
      </c>
      <c r="AA301" s="7">
        <f>-AA146</f>
        <v>15.608000000000001</v>
      </c>
      <c r="AB301" s="7">
        <f>-AB146</f>
        <v>14.996</v>
      </c>
      <c r="AC301" s="164">
        <f t="shared" ref="AC301:AL301" si="270">AC304-SUM(AC302:AC303,AC300)</f>
        <v>16.598691985484777</v>
      </c>
      <c r="AD301" s="164">
        <f t="shared" si="270"/>
        <v>16.232433671824637</v>
      </c>
      <c r="AE301" s="164">
        <f t="shared" si="270"/>
        <v>17.400531049136873</v>
      </c>
      <c r="AF301" s="164">
        <f t="shared" si="270"/>
        <v>20.07669457137861</v>
      </c>
      <c r="AG301" s="164">
        <f t="shared" si="270"/>
        <v>19.117984861857636</v>
      </c>
      <c r="AH301" s="164">
        <f t="shared" si="270"/>
        <v>21.763621072877982</v>
      </c>
      <c r="AI301" s="164">
        <f t="shared" si="270"/>
        <v>20.549794513265837</v>
      </c>
      <c r="AJ301" s="164">
        <f t="shared" si="270"/>
        <v>24.666039418117833</v>
      </c>
      <c r="AK301" s="164">
        <f t="shared" si="270"/>
        <v>23.13156368525469</v>
      </c>
      <c r="AL301" s="164">
        <f t="shared" si="270"/>
        <v>26.466139614941511</v>
      </c>
    </row>
    <row r="302" spans="1:39" outlineLevel="1">
      <c r="D302" s="59" t="s">
        <v>498</v>
      </c>
      <c r="H302" s="7"/>
      <c r="I302" s="7"/>
      <c r="J302" s="7">
        <f t="shared" ref="J302:AA302" si="271">-J140</f>
        <v>0</v>
      </c>
      <c r="K302" s="7">
        <f t="shared" si="271"/>
        <v>-1.5449999999999999</v>
      </c>
      <c r="L302" s="7">
        <f t="shared" si="271"/>
        <v>-1.593</v>
      </c>
      <c r="M302" s="7">
        <f t="shared" si="271"/>
        <v>-1.8520000000000001</v>
      </c>
      <c r="N302" s="7">
        <f t="shared" si="271"/>
        <v>-2.0699999999999998</v>
      </c>
      <c r="O302" s="7">
        <f t="shared" si="271"/>
        <v>-2.319</v>
      </c>
      <c r="P302" s="7">
        <f t="shared" si="271"/>
        <v>-2.585</v>
      </c>
      <c r="Q302" s="7">
        <f t="shared" si="271"/>
        <v>-2.8180000000000001</v>
      </c>
      <c r="R302" s="7">
        <f t="shared" si="271"/>
        <v>-3.0990000000000002</v>
      </c>
      <c r="S302" s="7">
        <f t="shared" si="271"/>
        <v>-3.4990000000000001</v>
      </c>
      <c r="T302" s="7">
        <f t="shared" si="271"/>
        <v>-3.9630000000000001</v>
      </c>
      <c r="U302" s="7">
        <f t="shared" si="271"/>
        <v>-4.6230000000000002</v>
      </c>
      <c r="V302" s="7">
        <f t="shared" si="271"/>
        <v>-5.2389999999999999</v>
      </c>
      <c r="W302" s="7">
        <f t="shared" si="271"/>
        <v>-6.06</v>
      </c>
      <c r="X302" s="7">
        <f t="shared" si="271"/>
        <v>-6.8550000000000004</v>
      </c>
      <c r="Y302" s="7">
        <f t="shared" si="271"/>
        <v>-7.7729999999999997</v>
      </c>
      <c r="Z302" s="7">
        <f t="shared" si="271"/>
        <v>-8.5790000000000006</v>
      </c>
      <c r="AA302" s="7">
        <f t="shared" si="271"/>
        <v>-9.6620000000000008</v>
      </c>
      <c r="AB302" s="7">
        <f>-AB140</f>
        <v>-10.555999999999999</v>
      </c>
      <c r="AC302" s="164">
        <f t="shared" ref="AC302:AL302" si="272">-AC300/AC305/4</f>
        <v>-10.732180851063831</v>
      </c>
      <c r="AD302" s="164">
        <f t="shared" si="272"/>
        <v>-11.512302012555978</v>
      </c>
      <c r="AE302" s="164">
        <f t="shared" si="272"/>
        <v>-12.139979094905534</v>
      </c>
      <c r="AF302" s="164">
        <f t="shared" si="272"/>
        <v>-12.839520578180977</v>
      </c>
      <c r="AG302" s="164">
        <f t="shared" si="272"/>
        <v>-13.801910736850875</v>
      </c>
      <c r="AH302" s="164">
        <f t="shared" si="272"/>
        <v>-14.508835487516668</v>
      </c>
      <c r="AI302" s="164">
        <f t="shared" si="272"/>
        <v>-15.473567613229608</v>
      </c>
      <c r="AJ302" s="164">
        <f t="shared" si="272"/>
        <v>-16.148597786106766</v>
      </c>
      <c r="AK302" s="164">
        <f t="shared" si="272"/>
        <v>-17.281236301001858</v>
      </c>
      <c r="AL302" s="164">
        <f t="shared" si="272"/>
        <v>-18.059205368056755</v>
      </c>
    </row>
    <row r="303" spans="1:39" outlineLevel="1">
      <c r="D303" s="59" t="s">
        <v>361</v>
      </c>
      <c r="H303" s="7"/>
      <c r="I303" s="7"/>
      <c r="J303" s="7"/>
      <c r="K303" s="7"/>
      <c r="L303" s="7">
        <f t="shared" ref="L303:Z303" si="273">+L304-SUM(L300:L302)</f>
        <v>0</v>
      </c>
      <c r="M303" s="7">
        <f t="shared" si="273"/>
        <v>0</v>
      </c>
      <c r="N303" s="7">
        <f t="shared" si="273"/>
        <v>0</v>
      </c>
      <c r="O303" s="7">
        <f t="shared" si="273"/>
        <v>0</v>
      </c>
      <c r="P303" s="7">
        <f t="shared" si="273"/>
        <v>0</v>
      </c>
      <c r="Q303" s="7">
        <f t="shared" si="273"/>
        <v>0</v>
      </c>
      <c r="R303" s="7">
        <f t="shared" si="273"/>
        <v>0</v>
      </c>
      <c r="S303" s="7">
        <f t="shared" si="273"/>
        <v>0</v>
      </c>
      <c r="T303" s="7">
        <f t="shared" si="273"/>
        <v>0</v>
      </c>
      <c r="U303" s="7">
        <f t="shared" si="273"/>
        <v>0</v>
      </c>
      <c r="V303" s="7">
        <f t="shared" si="273"/>
        <v>9.9999999999766942E-4</v>
      </c>
      <c r="W303" s="7">
        <f t="shared" si="273"/>
        <v>0</v>
      </c>
      <c r="X303" s="7">
        <f t="shared" si="273"/>
        <v>0</v>
      </c>
      <c r="Y303" s="7">
        <f t="shared" si="273"/>
        <v>0</v>
      </c>
      <c r="Z303" s="7">
        <f t="shared" si="273"/>
        <v>0</v>
      </c>
      <c r="AA303" s="7">
        <f>+AA304-SUM(AA300:AA302)</f>
        <v>0</v>
      </c>
      <c r="AB303" s="7">
        <f>+AB304-SUM(AB300:AB302)</f>
        <v>0</v>
      </c>
      <c r="AC303" s="68">
        <v>0</v>
      </c>
      <c r="AD303" s="68">
        <v>0</v>
      </c>
      <c r="AE303" s="68">
        <v>0</v>
      </c>
      <c r="AF303" s="68">
        <v>0</v>
      </c>
      <c r="AG303" s="68">
        <v>0</v>
      </c>
      <c r="AH303" s="68">
        <v>0</v>
      </c>
      <c r="AI303" s="68">
        <v>0</v>
      </c>
      <c r="AJ303" s="68">
        <v>0</v>
      </c>
      <c r="AK303" s="68">
        <v>0</v>
      </c>
      <c r="AL303" s="68">
        <v>0</v>
      </c>
    </row>
    <row r="304" spans="1:39" s="3" customFormat="1" outlineLevel="1">
      <c r="A304" s="96"/>
      <c r="D304" s="209" t="s">
        <v>535</v>
      </c>
      <c r="E304" s="193"/>
      <c r="F304" s="193"/>
      <c r="G304" s="208"/>
      <c r="H304" s="208"/>
      <c r="I304" s="208"/>
      <c r="J304" s="208"/>
      <c r="K304" s="208">
        <f t="shared" ref="K304:Z304" si="274">K184</f>
        <v>11.821999999999999</v>
      </c>
      <c r="L304" s="208">
        <f t="shared" si="274"/>
        <v>13.032999999999999</v>
      </c>
      <c r="M304" s="208">
        <f t="shared" si="274"/>
        <v>14.414</v>
      </c>
      <c r="N304" s="208">
        <f t="shared" si="274"/>
        <v>15.94</v>
      </c>
      <c r="O304" s="208">
        <f t="shared" si="274"/>
        <v>17.846</v>
      </c>
      <c r="P304" s="208">
        <f t="shared" si="274"/>
        <v>19.481999999999999</v>
      </c>
      <c r="Q304" s="208">
        <f t="shared" si="274"/>
        <v>21.140999999999998</v>
      </c>
      <c r="R304" s="208">
        <f t="shared" si="274"/>
        <v>25.184000000000001</v>
      </c>
      <c r="S304" s="208">
        <f t="shared" si="274"/>
        <v>28.170999999999999</v>
      </c>
      <c r="T304" s="208">
        <f t="shared" si="274"/>
        <v>33.880000000000003</v>
      </c>
      <c r="U304" s="208">
        <f t="shared" si="274"/>
        <v>37.713999999999999</v>
      </c>
      <c r="V304" s="208">
        <f t="shared" si="274"/>
        <v>44.176000000000002</v>
      </c>
      <c r="W304" s="208">
        <f t="shared" si="274"/>
        <v>48.981999999999999</v>
      </c>
      <c r="X304" s="208">
        <f t="shared" si="274"/>
        <v>56.587000000000003</v>
      </c>
      <c r="Y304" s="208">
        <f t="shared" si="274"/>
        <v>61.606999999999999</v>
      </c>
      <c r="Z304" s="208">
        <f t="shared" si="274"/>
        <v>70.319999999999993</v>
      </c>
      <c r="AA304" s="208">
        <f>AA184</f>
        <v>76.266000000000005</v>
      </c>
      <c r="AB304" s="208">
        <f>AB184</f>
        <v>80.706000000000003</v>
      </c>
      <c r="AC304" s="207">
        <f t="shared" ref="AC304:AL304" si="275">AC11*4*AC306</f>
        <v>86.572511134420949</v>
      </c>
      <c r="AD304" s="207">
        <f t="shared" si="275"/>
        <v>91.292642793689609</v>
      </c>
      <c r="AE304" s="207">
        <f t="shared" si="275"/>
        <v>96.553194747920941</v>
      </c>
      <c r="AF304" s="207">
        <f t="shared" si="275"/>
        <v>103.79036874111857</v>
      </c>
      <c r="AG304" s="207">
        <f t="shared" si="275"/>
        <v>109.10644286612533</v>
      </c>
      <c r="AH304" s="207">
        <f t="shared" si="275"/>
        <v>116.36122845148665</v>
      </c>
      <c r="AI304" s="207">
        <f t="shared" si="275"/>
        <v>121.43745535152289</v>
      </c>
      <c r="AJ304" s="207">
        <f t="shared" si="275"/>
        <v>129.95489698353396</v>
      </c>
      <c r="AK304" s="207">
        <f t="shared" si="275"/>
        <v>135.80522436778679</v>
      </c>
      <c r="AL304" s="207">
        <f t="shared" si="275"/>
        <v>144.21215861467155</v>
      </c>
      <c r="AM304"/>
    </row>
    <row r="305" spans="1:39" outlineLevel="1">
      <c r="D305" s="59" t="s">
        <v>209</v>
      </c>
      <c r="H305" s="57"/>
      <c r="I305" s="57"/>
      <c r="J305" s="80"/>
      <c r="K305" s="80"/>
      <c r="L305" s="80">
        <f t="shared" ref="L305:Z305" si="276">AVERAGE(L300,L304)/(-L302*4)</f>
        <v>1.9503295668549905</v>
      </c>
      <c r="M305" s="80">
        <f t="shared" si="276"/>
        <v>1.8525242980561554</v>
      </c>
      <c r="N305" s="80">
        <f t="shared" si="276"/>
        <v>1.8329710144927538</v>
      </c>
      <c r="O305" s="80">
        <f t="shared" si="276"/>
        <v>1.8211513583441139</v>
      </c>
      <c r="P305" s="80">
        <f t="shared" si="276"/>
        <v>1.8050290135396521</v>
      </c>
      <c r="Q305" s="80">
        <f t="shared" si="276"/>
        <v>1.8019428672817599</v>
      </c>
      <c r="R305" s="80">
        <f t="shared" si="276"/>
        <v>1.8685463052597613</v>
      </c>
      <c r="S305" s="80">
        <f t="shared" si="276"/>
        <v>1.9060803086596172</v>
      </c>
      <c r="T305" s="80">
        <f t="shared" si="276"/>
        <v>1.9571978299268231</v>
      </c>
      <c r="U305" s="80">
        <f t="shared" si="276"/>
        <v>1.9358100800346094</v>
      </c>
      <c r="V305" s="80">
        <f t="shared" si="276"/>
        <v>1.9538556976522237</v>
      </c>
      <c r="W305" s="80">
        <f t="shared" si="276"/>
        <v>1.9215759075907592</v>
      </c>
      <c r="X305" s="80">
        <f t="shared" si="276"/>
        <v>1.9250364697301239</v>
      </c>
      <c r="Y305" s="80">
        <f t="shared" si="276"/>
        <v>1.9007140100347357</v>
      </c>
      <c r="Z305" s="80">
        <f t="shared" si="276"/>
        <v>1.9222374402611024</v>
      </c>
      <c r="AA305" s="80">
        <f>AVERAGE(AA300,AA304)/(-AA302*4)</f>
        <v>1.8964241357896916</v>
      </c>
      <c r="AB305" s="80">
        <f>AVERAGE(AB300,AB304)/(-AB302*4)</f>
        <v>1.8588006820765444</v>
      </c>
      <c r="AC305" s="86">
        <v>1.88</v>
      </c>
      <c r="AD305" s="86">
        <f t="shared" ref="AD305:AL305" si="277">AC305</f>
        <v>1.88</v>
      </c>
      <c r="AE305" s="86">
        <f t="shared" si="277"/>
        <v>1.88</v>
      </c>
      <c r="AF305" s="86">
        <f t="shared" si="277"/>
        <v>1.88</v>
      </c>
      <c r="AG305" s="86">
        <f t="shared" si="277"/>
        <v>1.88</v>
      </c>
      <c r="AH305" s="86">
        <f t="shared" si="277"/>
        <v>1.88</v>
      </c>
      <c r="AI305" s="86">
        <f t="shared" si="277"/>
        <v>1.88</v>
      </c>
      <c r="AJ305" s="86">
        <f t="shared" si="277"/>
        <v>1.88</v>
      </c>
      <c r="AK305" s="86">
        <f t="shared" si="277"/>
        <v>1.88</v>
      </c>
      <c r="AL305" s="86">
        <f t="shared" si="277"/>
        <v>1.88</v>
      </c>
    </row>
    <row r="306" spans="1:39" s="3" customFormat="1" outlineLevel="1">
      <c r="A306" s="58"/>
      <c r="B306" s="58"/>
      <c r="C306" s="58"/>
      <c r="D306" s="59" t="s">
        <v>584</v>
      </c>
      <c r="E306" s="58"/>
      <c r="F306" s="58"/>
      <c r="G306" s="58"/>
      <c r="H306" s="57"/>
      <c r="I306" s="57"/>
      <c r="J306" s="127"/>
      <c r="K306" s="127"/>
      <c r="L306" s="76">
        <f t="shared" ref="L306:AB306" si="278">AVERAGE(K304:L304)/(L104*4)</f>
        <v>6.8613215255846821E-2</v>
      </c>
      <c r="M306" s="76">
        <f t="shared" si="278"/>
        <v>6.8521569802276805E-2</v>
      </c>
      <c r="N306" s="76">
        <f t="shared" si="278"/>
        <v>6.8366096686426778E-2</v>
      </c>
      <c r="O306" s="76">
        <f t="shared" si="278"/>
        <v>6.8418196251235283E-2</v>
      </c>
      <c r="P306" s="76">
        <f t="shared" si="278"/>
        <v>6.9203844328429048E-2</v>
      </c>
      <c r="Q306" s="76">
        <f t="shared" si="278"/>
        <v>6.867468657443096E-2</v>
      </c>
      <c r="R306" s="76">
        <f t="shared" si="278"/>
        <v>6.8993506493506496E-2</v>
      </c>
      <c r="S306" s="76">
        <f t="shared" si="278"/>
        <v>7.3089041095890414E-2</v>
      </c>
      <c r="T306" s="76">
        <f t="shared" si="278"/>
        <v>7.7780758315700804E-2</v>
      </c>
      <c r="U306" s="76">
        <f t="shared" si="278"/>
        <v>7.8390795536167887E-2</v>
      </c>
      <c r="V306" s="76">
        <f t="shared" si="278"/>
        <v>8.1287819830694219E-2</v>
      </c>
      <c r="W306" s="76">
        <f t="shared" si="278"/>
        <v>8.4348629169533881E-2</v>
      </c>
      <c r="X306" s="76">
        <f t="shared" si="278"/>
        <v>8.6572840947857346E-2</v>
      </c>
      <c r="Y306" s="76">
        <f t="shared" si="278"/>
        <v>8.5723859423140522E-2</v>
      </c>
      <c r="Z306" s="76">
        <f t="shared" si="278"/>
        <v>8.5181899419409485E-2</v>
      </c>
      <c r="AA306" s="76">
        <f t="shared" si="278"/>
        <v>8.6362393774715204E-2</v>
      </c>
      <c r="AB306" s="76">
        <f t="shared" si="278"/>
        <v>8.3667708524328727E-2</v>
      </c>
      <c r="AC306" s="166">
        <v>8.4999999999999992E-2</v>
      </c>
      <c r="AD306" s="166">
        <f t="shared" ref="AD306:AL306" si="279">AC306-0.001</f>
        <v>8.3999999999999991E-2</v>
      </c>
      <c r="AE306" s="166">
        <f t="shared" si="279"/>
        <v>8.299999999999999E-2</v>
      </c>
      <c r="AF306" s="166">
        <f t="shared" si="279"/>
        <v>8.199999999999999E-2</v>
      </c>
      <c r="AG306" s="166">
        <f t="shared" si="279"/>
        <v>8.0999999999999989E-2</v>
      </c>
      <c r="AH306" s="166">
        <f t="shared" si="279"/>
        <v>7.9999999999999988E-2</v>
      </c>
      <c r="AI306" s="166">
        <f t="shared" si="279"/>
        <v>7.8999999999999987E-2</v>
      </c>
      <c r="AJ306" s="166">
        <f t="shared" si="279"/>
        <v>7.7999999999999986E-2</v>
      </c>
      <c r="AK306" s="166">
        <f t="shared" si="279"/>
        <v>7.6999999999999985E-2</v>
      </c>
      <c r="AL306" s="166">
        <f t="shared" si="279"/>
        <v>7.5999999999999984E-2</v>
      </c>
      <c r="AM306"/>
    </row>
    <row r="307" spans="1:39" s="3" customFormat="1" outlineLevel="1">
      <c r="A307" s="96"/>
      <c r="D307" s="3" t="s">
        <v>536</v>
      </c>
      <c r="H307" s="53"/>
      <c r="I307" s="53"/>
      <c r="J307" s="53"/>
      <c r="K307" s="53"/>
      <c r="L307" s="53">
        <f t="shared" ref="L307:Z307" si="280">L177</f>
        <v>1.1220000000000001</v>
      </c>
      <c r="M307" s="53">
        <f t="shared" si="280"/>
        <v>1.3660000000000001</v>
      </c>
      <c r="N307" s="53">
        <f t="shared" si="280"/>
        <v>1.552</v>
      </c>
      <c r="O307" s="53">
        <f t="shared" si="280"/>
        <v>1.3720000000000001</v>
      </c>
      <c r="P307" s="53">
        <f t="shared" si="280"/>
        <v>1.7050000000000001</v>
      </c>
      <c r="Q307" s="53">
        <f t="shared" si="280"/>
        <v>1.47</v>
      </c>
      <c r="R307" s="53">
        <f t="shared" si="280"/>
        <v>2.0630000000000002</v>
      </c>
      <c r="S307" s="53">
        <f t="shared" si="280"/>
        <v>1.7789999999999999</v>
      </c>
      <c r="T307" s="53">
        <f t="shared" si="280"/>
        <v>2.2240000000000002</v>
      </c>
      <c r="U307" s="53">
        <f t="shared" si="280"/>
        <v>2.0859999999999999</v>
      </c>
      <c r="V307" s="53">
        <f t="shared" si="280"/>
        <v>3.5379999999999998</v>
      </c>
      <c r="W307" s="53">
        <f t="shared" si="280"/>
        <v>3.66</v>
      </c>
      <c r="X307" s="53">
        <f t="shared" si="280"/>
        <v>5.2489999999999997</v>
      </c>
      <c r="Y307" s="53">
        <f t="shared" si="280"/>
        <v>5.0490000000000004</v>
      </c>
      <c r="Z307" s="53">
        <f t="shared" si="280"/>
        <v>6.0789999999999997</v>
      </c>
      <c r="AA307" s="53">
        <f>AA177</f>
        <v>6.3289999999999997</v>
      </c>
      <c r="AB307" s="53">
        <f>AB177</f>
        <v>7.1950000000000003</v>
      </c>
      <c r="AC307" s="164">
        <f t="shared" ref="AC307:AL307" si="281">AC304*AC308</f>
        <v>6.9258008907536759</v>
      </c>
      <c r="AD307" s="164">
        <f t="shared" si="281"/>
        <v>7.3034114234951693</v>
      </c>
      <c r="AE307" s="164">
        <f t="shared" si="281"/>
        <v>7.7242555798336756</v>
      </c>
      <c r="AF307" s="164">
        <f t="shared" si="281"/>
        <v>8.3032294992894862</v>
      </c>
      <c r="AG307" s="164">
        <f t="shared" si="281"/>
        <v>8.7285154292900273</v>
      </c>
      <c r="AH307" s="164">
        <f t="shared" si="281"/>
        <v>9.3088982761189332</v>
      </c>
      <c r="AI307" s="164">
        <f t="shared" si="281"/>
        <v>9.7149964281218306</v>
      </c>
      <c r="AJ307" s="164">
        <f t="shared" si="281"/>
        <v>10.396391758682716</v>
      </c>
      <c r="AK307" s="164">
        <f t="shared" si="281"/>
        <v>10.864417949422943</v>
      </c>
      <c r="AL307" s="164">
        <f t="shared" si="281"/>
        <v>11.536972689173725</v>
      </c>
    </row>
    <row r="308" spans="1:39" s="52" customFormat="1" outlineLevel="1">
      <c r="A308" s="161"/>
      <c r="D308" s="73" t="s">
        <v>537</v>
      </c>
      <c r="H308" s="163"/>
      <c r="I308" s="163"/>
      <c r="J308" s="163"/>
      <c r="K308" s="163"/>
      <c r="L308" s="62">
        <f t="shared" ref="L308:Z308" si="282">L307/L304</f>
        <v>8.6089158290493378E-2</v>
      </c>
      <c r="M308" s="62">
        <f t="shared" si="282"/>
        <v>9.4768974608019987E-2</v>
      </c>
      <c r="N308" s="62">
        <f t="shared" si="282"/>
        <v>9.7365119196988717E-2</v>
      </c>
      <c r="O308" s="62">
        <f t="shared" si="282"/>
        <v>7.6879973103216412E-2</v>
      </c>
      <c r="P308" s="62">
        <f t="shared" si="282"/>
        <v>8.7516682065496357E-2</v>
      </c>
      <c r="Q308" s="62">
        <f t="shared" si="282"/>
        <v>6.9533134667234292E-2</v>
      </c>
      <c r="R308" s="62">
        <f t="shared" si="282"/>
        <v>8.1917090216010166E-2</v>
      </c>
      <c r="S308" s="62">
        <f t="shared" si="282"/>
        <v>6.315004792162153E-2</v>
      </c>
      <c r="T308" s="62">
        <f t="shared" si="282"/>
        <v>6.5643447461629284E-2</v>
      </c>
      <c r="U308" s="62">
        <f t="shared" si="282"/>
        <v>5.5311025083523362E-2</v>
      </c>
      <c r="V308" s="62">
        <f t="shared" si="282"/>
        <v>8.0088735965229987E-2</v>
      </c>
      <c r="W308" s="62">
        <f t="shared" si="282"/>
        <v>7.4721326201461769E-2</v>
      </c>
      <c r="X308" s="62">
        <f t="shared" si="282"/>
        <v>9.2759821160337166E-2</v>
      </c>
      <c r="Y308" s="62">
        <f t="shared" si="282"/>
        <v>8.1954972649211949E-2</v>
      </c>
      <c r="Z308" s="62">
        <f t="shared" si="282"/>
        <v>8.64476678043231E-2</v>
      </c>
      <c r="AA308" s="62">
        <f>AA307/AA304</f>
        <v>8.2985865261059971E-2</v>
      </c>
      <c r="AB308" s="62">
        <f>AB307/AB304</f>
        <v>8.9150744678214752E-2</v>
      </c>
      <c r="AC308" s="65">
        <v>0.08</v>
      </c>
      <c r="AD308" s="65">
        <v>0.08</v>
      </c>
      <c r="AE308" s="65">
        <v>0.08</v>
      </c>
      <c r="AF308" s="65">
        <v>0.08</v>
      </c>
      <c r="AG308" s="65">
        <v>0.08</v>
      </c>
      <c r="AH308" s="65">
        <v>0.08</v>
      </c>
      <c r="AI308" s="65">
        <v>0.08</v>
      </c>
      <c r="AJ308" s="65">
        <v>0.08</v>
      </c>
      <c r="AK308" s="65">
        <v>0.08</v>
      </c>
      <c r="AL308" s="65">
        <v>0.08</v>
      </c>
    </row>
    <row r="309" spans="1:39" s="52" customFormat="1" outlineLevel="1">
      <c r="A309" s="161"/>
      <c r="D309" s="73"/>
      <c r="H309" s="163"/>
      <c r="I309" s="163"/>
      <c r="J309" s="163"/>
      <c r="K309" s="163"/>
      <c r="L309" s="62"/>
      <c r="M309" s="62"/>
      <c r="N309" s="62"/>
      <c r="O309" s="62"/>
      <c r="P309" s="62"/>
      <c r="Q309" s="62"/>
      <c r="R309" s="62"/>
      <c r="S309" s="62"/>
      <c r="T309" s="62"/>
      <c r="U309" s="62"/>
      <c r="V309" s="62"/>
      <c r="W309" s="62"/>
      <c r="X309" s="62"/>
      <c r="Y309" s="62"/>
      <c r="Z309" s="62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</row>
    <row r="310" spans="1:39" s="3" customFormat="1" outlineLevel="1">
      <c r="A310" s="96"/>
      <c r="D310" s="3" t="s">
        <v>543</v>
      </c>
      <c r="H310" s="53"/>
      <c r="I310" s="53"/>
      <c r="J310" s="53"/>
      <c r="K310" s="53"/>
      <c r="L310" s="53">
        <f t="shared" ref="L310:AL310" si="283">K313</f>
        <v>18.729000000000003</v>
      </c>
      <c r="M310" s="53">
        <f t="shared" si="283"/>
        <v>18.263000000000002</v>
      </c>
      <c r="N310" s="53">
        <f t="shared" si="283"/>
        <v>17.397000000000002</v>
      </c>
      <c r="O310" s="53">
        <f t="shared" si="283"/>
        <v>17.036999999999999</v>
      </c>
      <c r="P310" s="53">
        <f t="shared" si="283"/>
        <v>24.437000000000001</v>
      </c>
      <c r="Q310" s="53">
        <f t="shared" si="283"/>
        <v>27.764000000000003</v>
      </c>
      <c r="R310" s="53">
        <f t="shared" si="283"/>
        <v>30.651</v>
      </c>
      <c r="S310" s="53">
        <f t="shared" si="283"/>
        <v>31.646999999999998</v>
      </c>
      <c r="T310" s="53">
        <f t="shared" si="283"/>
        <v>38.091999999999999</v>
      </c>
      <c r="U310" s="53">
        <f t="shared" si="283"/>
        <v>45.017999999999994</v>
      </c>
      <c r="V310" s="53">
        <f t="shared" si="283"/>
        <v>50.072000000000003</v>
      </c>
      <c r="W310" s="53">
        <f t="shared" si="283"/>
        <v>56.835999999999999</v>
      </c>
      <c r="X310" s="53">
        <f t="shared" si="283"/>
        <v>71.481999999999999</v>
      </c>
      <c r="Y310" s="53">
        <f t="shared" si="283"/>
        <v>84.556999999999988</v>
      </c>
      <c r="Z310" s="53">
        <f t="shared" si="283"/>
        <v>96.975999999999999</v>
      </c>
      <c r="AA310" s="53">
        <f t="shared" si="283"/>
        <v>121.226</v>
      </c>
      <c r="AB310" s="53">
        <f t="shared" si="283"/>
        <v>137.227</v>
      </c>
      <c r="AC310" s="53">
        <f t="shared" si="283"/>
        <v>162.65200000000002</v>
      </c>
      <c r="AD310" s="53">
        <f t="shared" si="283"/>
        <v>174.05191026034646</v>
      </c>
      <c r="AE310" s="53">
        <f t="shared" si="283"/>
        <v>183.00959552579715</v>
      </c>
      <c r="AF310" s="53">
        <f t="shared" si="283"/>
        <v>192.97891042191119</v>
      </c>
      <c r="AG310" s="53">
        <f t="shared" si="283"/>
        <v>206.80916392350028</v>
      </c>
      <c r="AH310" s="53">
        <f t="shared" si="283"/>
        <v>216.71828263021584</v>
      </c>
      <c r="AI310" s="53">
        <f t="shared" si="283"/>
        <v>230.38129108611761</v>
      </c>
      <c r="AJ310" s="53">
        <f t="shared" si="283"/>
        <v>239.63209284588837</v>
      </c>
      <c r="AK310" s="53">
        <f t="shared" si="283"/>
        <v>255.56199493294039</v>
      </c>
      <c r="AL310" s="53">
        <f t="shared" si="283"/>
        <v>266.12606091350614</v>
      </c>
    </row>
    <row r="311" spans="1:39" outlineLevel="1">
      <c r="D311" s="59" t="s">
        <v>627</v>
      </c>
      <c r="H311" s="7"/>
      <c r="I311" s="7"/>
      <c r="J311" s="7"/>
      <c r="K311" s="7"/>
      <c r="L311" s="7">
        <f t="shared" ref="L311:Z311" si="284">L147</f>
        <v>-0.46700000000000003</v>
      </c>
      <c r="M311" s="7">
        <f t="shared" si="284"/>
        <v>-0.86599999999999999</v>
      </c>
      <c r="N311" s="7">
        <f t="shared" si="284"/>
        <v>-0.36</v>
      </c>
      <c r="O311" s="7">
        <f t="shared" si="284"/>
        <v>7.4</v>
      </c>
      <c r="P311" s="7">
        <f t="shared" si="284"/>
        <v>3.327</v>
      </c>
      <c r="Q311" s="7">
        <f t="shared" si="284"/>
        <v>2.887</v>
      </c>
      <c r="R311" s="7">
        <f t="shared" si="284"/>
        <v>0.996</v>
      </c>
      <c r="S311" s="7">
        <f t="shared" si="284"/>
        <v>6.4450000000000003</v>
      </c>
      <c r="T311" s="7">
        <f t="shared" si="284"/>
        <v>6.9260000000000002</v>
      </c>
      <c r="U311" s="7">
        <f t="shared" si="284"/>
        <v>5.0540000000000003</v>
      </c>
      <c r="V311" s="7">
        <f t="shared" si="284"/>
        <v>6.7640000000000002</v>
      </c>
      <c r="W311" s="7">
        <f t="shared" si="284"/>
        <v>14.646000000000001</v>
      </c>
      <c r="X311" s="7">
        <f t="shared" si="284"/>
        <v>13.074999999999999</v>
      </c>
      <c r="Y311" s="7">
        <f t="shared" si="284"/>
        <v>12.419</v>
      </c>
      <c r="Z311" s="7">
        <f t="shared" si="284"/>
        <v>24.25</v>
      </c>
      <c r="AA311" s="7">
        <f>AA147</f>
        <v>16.001000000000001</v>
      </c>
      <c r="AB311" s="7">
        <f>AB147</f>
        <v>18.475999999999999</v>
      </c>
      <c r="AC311" s="164">
        <f t="shared" ref="AC311:AL311" si="285">AC313-AC310</f>
        <v>11.399910260346445</v>
      </c>
      <c r="AD311" s="164">
        <f t="shared" si="285"/>
        <v>8.9576852654506922</v>
      </c>
      <c r="AE311" s="164">
        <f t="shared" si="285"/>
        <v>9.9693148961140423</v>
      </c>
      <c r="AF311" s="164">
        <f t="shared" si="285"/>
        <v>13.830253501589084</v>
      </c>
      <c r="AG311" s="164">
        <f t="shared" si="285"/>
        <v>9.9091187067155602</v>
      </c>
      <c r="AH311" s="164">
        <f t="shared" si="285"/>
        <v>13.663008455901775</v>
      </c>
      <c r="AI311" s="164">
        <f t="shared" si="285"/>
        <v>9.2508017597707521</v>
      </c>
      <c r="AJ311" s="164">
        <f t="shared" si="285"/>
        <v>15.929902087052028</v>
      </c>
      <c r="AK311" s="164">
        <f t="shared" si="285"/>
        <v>10.564065980565744</v>
      </c>
      <c r="AL311" s="164">
        <f t="shared" si="285"/>
        <v>15.448966623632771</v>
      </c>
    </row>
    <row r="312" spans="1:39" outlineLevel="1">
      <c r="D312" s="59" t="s">
        <v>123</v>
      </c>
      <c r="H312" s="7"/>
      <c r="I312" s="7"/>
      <c r="J312" s="7"/>
      <c r="K312" s="7"/>
      <c r="L312" s="7">
        <f t="shared" ref="L312:Z312" si="286">+L313-SUM(L310:L311)</f>
        <v>9.9999999999766942E-4</v>
      </c>
      <c r="M312" s="7">
        <f t="shared" si="286"/>
        <v>0</v>
      </c>
      <c r="N312" s="7">
        <f t="shared" si="286"/>
        <v>0</v>
      </c>
      <c r="O312" s="7">
        <f t="shared" si="286"/>
        <v>0</v>
      </c>
      <c r="P312" s="7">
        <f t="shared" si="286"/>
        <v>0</v>
      </c>
      <c r="Q312" s="7">
        <f t="shared" si="286"/>
        <v>0</v>
      </c>
      <c r="R312" s="7">
        <f t="shared" si="286"/>
        <v>0</v>
      </c>
      <c r="S312" s="7">
        <f t="shared" si="286"/>
        <v>0</v>
      </c>
      <c r="T312" s="7">
        <f t="shared" si="286"/>
        <v>0</v>
      </c>
      <c r="U312" s="7">
        <f t="shared" si="286"/>
        <v>0</v>
      </c>
      <c r="V312" s="7">
        <f t="shared" si="286"/>
        <v>0</v>
      </c>
      <c r="W312" s="7">
        <f t="shared" si="286"/>
        <v>0</v>
      </c>
      <c r="X312" s="7">
        <f t="shared" si="286"/>
        <v>0</v>
      </c>
      <c r="Y312" s="7">
        <f t="shared" si="286"/>
        <v>0</v>
      </c>
      <c r="Z312" s="7">
        <f t="shared" si="286"/>
        <v>0</v>
      </c>
      <c r="AA312" s="7">
        <f>+AA313-SUM(AA310:AA311)</f>
        <v>0</v>
      </c>
      <c r="AB312" s="7">
        <f>+AB313-SUM(AB310:AB311)</f>
        <v>6.9490000000000123</v>
      </c>
      <c r="AC312" s="68">
        <v>0</v>
      </c>
      <c r="AD312" s="68">
        <v>0</v>
      </c>
      <c r="AE312" s="68">
        <v>0</v>
      </c>
      <c r="AF312" s="68">
        <v>0</v>
      </c>
      <c r="AG312" s="68">
        <v>0</v>
      </c>
      <c r="AH312" s="68">
        <v>0</v>
      </c>
      <c r="AI312" s="68">
        <v>0</v>
      </c>
      <c r="AJ312" s="68">
        <v>0</v>
      </c>
      <c r="AK312" s="68">
        <v>0</v>
      </c>
      <c r="AL312" s="68">
        <v>0</v>
      </c>
    </row>
    <row r="313" spans="1:39" s="3" customFormat="1" outlineLevel="1">
      <c r="A313" s="96"/>
      <c r="D313" s="209" t="s">
        <v>542</v>
      </c>
      <c r="E313" s="193"/>
      <c r="F313" s="193"/>
      <c r="G313" s="208"/>
      <c r="H313" s="208"/>
      <c r="I313" s="208"/>
      <c r="J313" s="208"/>
      <c r="K313" s="208">
        <f t="shared" ref="K313:Z313" si="287">SUM(K314:K315)</f>
        <v>18.729000000000003</v>
      </c>
      <c r="L313" s="208">
        <f t="shared" si="287"/>
        <v>18.263000000000002</v>
      </c>
      <c r="M313" s="208">
        <f t="shared" si="287"/>
        <v>17.397000000000002</v>
      </c>
      <c r="N313" s="208">
        <f t="shared" si="287"/>
        <v>17.036999999999999</v>
      </c>
      <c r="O313" s="208">
        <f t="shared" si="287"/>
        <v>24.437000000000001</v>
      </c>
      <c r="P313" s="208">
        <f t="shared" si="287"/>
        <v>27.764000000000003</v>
      </c>
      <c r="Q313" s="208">
        <f t="shared" si="287"/>
        <v>30.651</v>
      </c>
      <c r="R313" s="208">
        <f t="shared" si="287"/>
        <v>31.646999999999998</v>
      </c>
      <c r="S313" s="208">
        <f t="shared" si="287"/>
        <v>38.091999999999999</v>
      </c>
      <c r="T313" s="208">
        <f t="shared" si="287"/>
        <v>45.017999999999994</v>
      </c>
      <c r="U313" s="208">
        <f t="shared" si="287"/>
        <v>50.072000000000003</v>
      </c>
      <c r="V313" s="208">
        <f t="shared" si="287"/>
        <v>56.835999999999999</v>
      </c>
      <c r="W313" s="208">
        <f t="shared" si="287"/>
        <v>71.481999999999999</v>
      </c>
      <c r="X313" s="208">
        <f t="shared" si="287"/>
        <v>84.556999999999988</v>
      </c>
      <c r="Y313" s="208">
        <f t="shared" si="287"/>
        <v>96.975999999999999</v>
      </c>
      <c r="Z313" s="208">
        <f t="shared" si="287"/>
        <v>121.226</v>
      </c>
      <c r="AA313" s="208">
        <f>SUM(AA314:AA315)</f>
        <v>137.227</v>
      </c>
      <c r="AB313" s="208">
        <f>SUM(AB314:AB315)</f>
        <v>162.65200000000002</v>
      </c>
      <c r="AC313" s="207">
        <f t="shared" ref="AC313:AL313" si="288">+AC11*4*AC317</f>
        <v>174.05191026034646</v>
      </c>
      <c r="AD313" s="207">
        <f t="shared" si="288"/>
        <v>183.00959552579715</v>
      </c>
      <c r="AE313" s="207">
        <f t="shared" si="288"/>
        <v>192.97891042191119</v>
      </c>
      <c r="AF313" s="207">
        <f t="shared" si="288"/>
        <v>206.80916392350028</v>
      </c>
      <c r="AG313" s="207">
        <f t="shared" si="288"/>
        <v>216.71828263021584</v>
      </c>
      <c r="AH313" s="207">
        <f t="shared" si="288"/>
        <v>230.38129108611761</v>
      </c>
      <c r="AI313" s="207">
        <f t="shared" si="288"/>
        <v>239.63209284588837</v>
      </c>
      <c r="AJ313" s="207">
        <f t="shared" si="288"/>
        <v>255.56199493294039</v>
      </c>
      <c r="AK313" s="207">
        <f t="shared" si="288"/>
        <v>266.12606091350614</v>
      </c>
      <c r="AL313" s="207">
        <f t="shared" si="288"/>
        <v>281.57502753713891</v>
      </c>
      <c r="AM313"/>
    </row>
    <row r="314" spans="1:39" outlineLevel="1">
      <c r="D314" s="59" t="s">
        <v>539</v>
      </c>
      <c r="H314" s="7"/>
      <c r="I314" s="7"/>
      <c r="J314" s="7"/>
      <c r="K314" s="7">
        <f t="shared" ref="K314:Z314" si="289">K191</f>
        <v>18.440000000000001</v>
      </c>
      <c r="L314" s="7">
        <f t="shared" si="289"/>
        <v>17.952000000000002</v>
      </c>
      <c r="M314" s="7">
        <f t="shared" si="289"/>
        <v>17.187000000000001</v>
      </c>
      <c r="N314" s="7">
        <f t="shared" si="289"/>
        <v>16.817</v>
      </c>
      <c r="O314" s="7">
        <f t="shared" si="289"/>
        <v>23.209</v>
      </c>
      <c r="P314" s="7">
        <f t="shared" si="289"/>
        <v>26.757000000000001</v>
      </c>
      <c r="Q314" s="7">
        <f t="shared" si="289"/>
        <v>29.835000000000001</v>
      </c>
      <c r="R314" s="7">
        <f t="shared" si="289"/>
        <v>30.843</v>
      </c>
      <c r="S314" s="7">
        <f t="shared" si="289"/>
        <v>37.095999999999997</v>
      </c>
      <c r="T314" s="7">
        <f t="shared" si="289"/>
        <v>43.418999999999997</v>
      </c>
      <c r="U314" s="7">
        <f t="shared" si="289"/>
        <v>48.435000000000002</v>
      </c>
      <c r="V314" s="7">
        <f t="shared" si="289"/>
        <v>54.945</v>
      </c>
      <c r="W314" s="7">
        <f t="shared" si="289"/>
        <v>66.418000000000006</v>
      </c>
      <c r="X314" s="7">
        <f t="shared" si="289"/>
        <v>79.828999999999994</v>
      </c>
      <c r="Y314" s="7">
        <f t="shared" si="289"/>
        <v>92.415000000000006</v>
      </c>
      <c r="Z314" s="7">
        <f t="shared" si="289"/>
        <v>116.54600000000001</v>
      </c>
      <c r="AA314" s="7">
        <f>AA191</f>
        <v>131.65</v>
      </c>
      <c r="AB314" s="7">
        <f>AB191</f>
        <v>155.81100000000001</v>
      </c>
      <c r="AC314" s="164">
        <f t="shared" ref="AC314:AL314" si="290">AC313-AC315</f>
        <v>165.34931474732915</v>
      </c>
      <c r="AD314" s="164">
        <f t="shared" si="290"/>
        <v>173.85911574950728</v>
      </c>
      <c r="AE314" s="164">
        <f t="shared" si="290"/>
        <v>183.32996490081564</v>
      </c>
      <c r="AF314" s="164">
        <f t="shared" si="290"/>
        <v>196.46870572732527</v>
      </c>
      <c r="AG314" s="164">
        <f t="shared" si="290"/>
        <v>205.88236849870503</v>
      </c>
      <c r="AH314" s="164">
        <f t="shared" si="290"/>
        <v>218.86222653181173</v>
      </c>
      <c r="AI314" s="164">
        <f t="shared" si="290"/>
        <v>227.65048820359394</v>
      </c>
      <c r="AJ314" s="164">
        <f t="shared" si="290"/>
        <v>242.78389518629336</v>
      </c>
      <c r="AK314" s="164">
        <f t="shared" si="290"/>
        <v>252.81975786783084</v>
      </c>
      <c r="AL314" s="164">
        <f t="shared" si="290"/>
        <v>267.49627616028198</v>
      </c>
    </row>
    <row r="315" spans="1:39" outlineLevel="1">
      <c r="D315" s="59" t="s">
        <v>540</v>
      </c>
      <c r="H315" s="7"/>
      <c r="I315" s="7"/>
      <c r="J315" s="7"/>
      <c r="K315" s="7">
        <f t="shared" ref="K315:Z315" si="291">K196</f>
        <v>0.28899999999999998</v>
      </c>
      <c r="L315" s="7">
        <f t="shared" si="291"/>
        <v>0.311</v>
      </c>
      <c r="M315" s="7">
        <f t="shared" si="291"/>
        <v>0.21</v>
      </c>
      <c r="N315" s="7">
        <f t="shared" si="291"/>
        <v>0.22</v>
      </c>
      <c r="O315" s="7">
        <f t="shared" si="291"/>
        <v>1.228</v>
      </c>
      <c r="P315" s="7">
        <f t="shared" si="291"/>
        <v>1.0069999999999999</v>
      </c>
      <c r="Q315" s="7">
        <f t="shared" si="291"/>
        <v>0.81599999999999995</v>
      </c>
      <c r="R315" s="7">
        <f t="shared" si="291"/>
        <v>0.80400000000000005</v>
      </c>
      <c r="S315" s="7">
        <f t="shared" si="291"/>
        <v>0.996</v>
      </c>
      <c r="T315" s="7">
        <f t="shared" si="291"/>
        <v>1.599</v>
      </c>
      <c r="U315" s="7">
        <f t="shared" si="291"/>
        <v>1.637</v>
      </c>
      <c r="V315" s="7">
        <f t="shared" si="291"/>
        <v>1.891</v>
      </c>
      <c r="W315" s="7">
        <f t="shared" si="291"/>
        <v>5.0640000000000001</v>
      </c>
      <c r="X315" s="7">
        <f t="shared" si="291"/>
        <v>4.7279999999999998</v>
      </c>
      <c r="Y315" s="7">
        <f t="shared" si="291"/>
        <v>4.5609999999999999</v>
      </c>
      <c r="Z315" s="7">
        <f t="shared" si="291"/>
        <v>4.68</v>
      </c>
      <c r="AA315" s="7">
        <f>AA196</f>
        <v>5.577</v>
      </c>
      <c r="AB315" s="7">
        <f>AB196</f>
        <v>6.8410000000000002</v>
      </c>
      <c r="AC315" s="164">
        <f t="shared" ref="AC315:AL315" si="292">AC313*AC318</f>
        <v>8.7025955130173234</v>
      </c>
      <c r="AD315" s="164">
        <f t="shared" si="292"/>
        <v>9.150479776289858</v>
      </c>
      <c r="AE315" s="164">
        <f t="shared" si="292"/>
        <v>9.6489455210955608</v>
      </c>
      <c r="AF315" s="164">
        <f t="shared" si="292"/>
        <v>10.340458196175014</v>
      </c>
      <c r="AG315" s="164">
        <f t="shared" si="292"/>
        <v>10.835914131510792</v>
      </c>
      <c r="AH315" s="164">
        <f t="shared" si="292"/>
        <v>11.519064554305881</v>
      </c>
      <c r="AI315" s="164">
        <f t="shared" si="292"/>
        <v>11.981604642294419</v>
      </c>
      <c r="AJ315" s="164">
        <f t="shared" si="292"/>
        <v>12.778099746647021</v>
      </c>
      <c r="AK315" s="164">
        <f t="shared" si="292"/>
        <v>13.306303045675307</v>
      </c>
      <c r="AL315" s="164">
        <f t="shared" si="292"/>
        <v>14.078751376856946</v>
      </c>
    </row>
    <row r="316" spans="1:39" s="52" customFormat="1" outlineLevel="1">
      <c r="A316" s="161"/>
      <c r="D316" s="73" t="s">
        <v>537</v>
      </c>
      <c r="H316" s="163"/>
      <c r="I316" s="163"/>
      <c r="J316" s="163"/>
      <c r="K316" s="163"/>
      <c r="L316" s="62">
        <f t="shared" ref="L316:Y316" si="293">L313/(L304+L307)</f>
        <v>1.2902154715648182</v>
      </c>
      <c r="M316" s="62">
        <f t="shared" si="293"/>
        <v>1.102471482889734</v>
      </c>
      <c r="N316" s="62">
        <f t="shared" si="293"/>
        <v>0.97398810884975984</v>
      </c>
      <c r="O316" s="62">
        <f t="shared" si="293"/>
        <v>1.2715683213653868</v>
      </c>
      <c r="P316" s="62">
        <f t="shared" si="293"/>
        <v>1.3104262047481949</v>
      </c>
      <c r="Q316" s="62">
        <f t="shared" si="293"/>
        <v>1.3555791428950512</v>
      </c>
      <c r="R316" s="62">
        <f t="shared" si="293"/>
        <v>1.1614856681469519</v>
      </c>
      <c r="S316" s="62">
        <f t="shared" si="293"/>
        <v>1.2718530884808013</v>
      </c>
      <c r="T316" s="62">
        <f t="shared" si="293"/>
        <v>1.246897850653667</v>
      </c>
      <c r="U316" s="62">
        <f t="shared" si="293"/>
        <v>1.2580904522613068</v>
      </c>
      <c r="V316" s="62">
        <f t="shared" si="293"/>
        <v>1.1911807855136858</v>
      </c>
      <c r="W316" s="62">
        <f t="shared" si="293"/>
        <v>1.3578891379506859</v>
      </c>
      <c r="X316" s="62">
        <f t="shared" si="293"/>
        <v>1.367439679151303</v>
      </c>
      <c r="Y316" s="62">
        <f t="shared" si="293"/>
        <v>1.4548727796447429</v>
      </c>
      <c r="Z316" s="62">
        <f>Z313/(Z304+Z307)</f>
        <v>1.5867485176507548</v>
      </c>
      <c r="AA316" s="62">
        <f>AA313/(AA304+AA307)</f>
        <v>1.6614443973606152</v>
      </c>
      <c r="AB316" s="62">
        <f>AB313/(AB304+AB307)</f>
        <v>1.8503998816850775</v>
      </c>
      <c r="AC316" s="62">
        <f t="shared" ref="AC316:AL316" si="294">AC313/(AC304+AC307)</f>
        <v>1.8615513637666805</v>
      </c>
      <c r="AD316" s="62">
        <f t="shared" si="294"/>
        <v>1.8561553703018223</v>
      </c>
      <c r="AE316" s="62">
        <f t="shared" si="294"/>
        <v>1.8506293528980511</v>
      </c>
      <c r="AF316" s="62">
        <f t="shared" si="294"/>
        <v>1.8449685545819929</v>
      </c>
      <c r="AG316" s="62">
        <f t="shared" si="294"/>
        <v>1.8391679834680075</v>
      </c>
      <c r="AH316" s="62">
        <f t="shared" si="294"/>
        <v>1.8332223980761724</v>
      </c>
      <c r="AI316" s="62">
        <f t="shared" si="294"/>
        <v>1.8271262915351771</v>
      </c>
      <c r="AJ316" s="62">
        <f t="shared" si="294"/>
        <v>1.8208738745700535</v>
      </c>
      <c r="AK316" s="62">
        <f t="shared" si="294"/>
        <v>1.8144590571642771</v>
      </c>
      <c r="AL316" s="62">
        <f t="shared" si="294"/>
        <v>1.8078754287741388</v>
      </c>
    </row>
    <row r="317" spans="1:39" s="52" customFormat="1" outlineLevel="1">
      <c r="A317" s="161"/>
      <c r="D317" s="73" t="s">
        <v>544</v>
      </c>
      <c r="H317" s="163"/>
      <c r="I317" s="163"/>
      <c r="J317" s="163"/>
      <c r="K317" s="163"/>
      <c r="L317" s="62">
        <f t="shared" ref="L317:AA317" si="295">L313/(L11*4)</f>
        <v>0.10083147456990792</v>
      </c>
      <c r="M317" s="62">
        <f t="shared" si="295"/>
        <v>8.686339125224686E-2</v>
      </c>
      <c r="N317" s="62">
        <f t="shared" si="295"/>
        <v>7.6744626029297824E-2</v>
      </c>
      <c r="O317" s="62">
        <f t="shared" si="295"/>
        <v>9.8972086769161E-2</v>
      </c>
      <c r="P317" s="62">
        <f t="shared" si="295"/>
        <v>0.10294553868058852</v>
      </c>
      <c r="Q317" s="62">
        <f t="shared" si="295"/>
        <v>0.10363330222745161</v>
      </c>
      <c r="R317" s="62">
        <f t="shared" si="295"/>
        <v>9.4266055045871544E-2</v>
      </c>
      <c r="S317" s="62">
        <f t="shared" si="295"/>
        <v>0.10436164383561644</v>
      </c>
      <c r="T317" s="62">
        <f t="shared" si="295"/>
        <v>0.11285987906258459</v>
      </c>
      <c r="U317" s="62">
        <f t="shared" si="295"/>
        <v>0.10965119742120846</v>
      </c>
      <c r="V317" s="62">
        <f t="shared" si="295"/>
        <v>0.11283611009640582</v>
      </c>
      <c r="W317" s="62">
        <f t="shared" si="295"/>
        <v>0.12944478649813479</v>
      </c>
      <c r="X317" s="62">
        <f t="shared" si="295"/>
        <v>0.13868350959141362</v>
      </c>
      <c r="Y317" s="62">
        <f t="shared" si="295"/>
        <v>0.14066969544001345</v>
      </c>
      <c r="Z317" s="62">
        <f t="shared" si="295"/>
        <v>0.15654507324531497</v>
      </c>
      <c r="AA317" s="62">
        <f t="shared" si="295"/>
        <v>0.16169691799384447</v>
      </c>
      <c r="AB317" s="62">
        <f>AB313/(AB11*4)</f>
        <v>0.17339041519378129</v>
      </c>
      <c r="AC317" s="65">
        <f>AB317-0.0025</f>
        <v>0.17089041519378129</v>
      </c>
      <c r="AD317" s="65">
        <f>AC317-0.0025</f>
        <v>0.16839041519378128</v>
      </c>
      <c r="AE317" s="65">
        <f t="shared" ref="AE317:AL317" si="296">AD317-0.0025</f>
        <v>0.16589041519378128</v>
      </c>
      <c r="AF317" s="65">
        <f t="shared" si="296"/>
        <v>0.16339041519378128</v>
      </c>
      <c r="AG317" s="65">
        <f t="shared" si="296"/>
        <v>0.16089041519378128</v>
      </c>
      <c r="AH317" s="65">
        <f t="shared" si="296"/>
        <v>0.15839041519378128</v>
      </c>
      <c r="AI317" s="65">
        <f t="shared" si="296"/>
        <v>0.15589041519378127</v>
      </c>
      <c r="AJ317" s="65">
        <f t="shared" si="296"/>
        <v>0.15339041519378127</v>
      </c>
      <c r="AK317" s="65">
        <f t="shared" si="296"/>
        <v>0.15089041519378127</v>
      </c>
      <c r="AL317" s="65">
        <f t="shared" si="296"/>
        <v>0.14839041519378127</v>
      </c>
    </row>
    <row r="318" spans="1:39" s="52" customFormat="1" outlineLevel="1">
      <c r="A318" s="161"/>
      <c r="D318" s="73" t="s">
        <v>545</v>
      </c>
      <c r="H318" s="163"/>
      <c r="I318" s="163"/>
      <c r="J318" s="163"/>
      <c r="K318" s="163"/>
      <c r="L318" s="62">
        <f t="shared" ref="L318:Z318" si="297">L315/L313</f>
        <v>1.7028965668291079E-2</v>
      </c>
      <c r="M318" s="62">
        <f t="shared" si="297"/>
        <v>1.2071046732195204E-2</v>
      </c>
      <c r="N318" s="62">
        <f t="shared" si="297"/>
        <v>1.2913071550155544E-2</v>
      </c>
      <c r="O318" s="62">
        <f t="shared" si="297"/>
        <v>5.0251667553300322E-2</v>
      </c>
      <c r="P318" s="62">
        <f t="shared" si="297"/>
        <v>3.626998991499783E-2</v>
      </c>
      <c r="Q318" s="62">
        <f t="shared" si="297"/>
        <v>2.6622296173044922E-2</v>
      </c>
      <c r="R318" s="62">
        <f t="shared" si="297"/>
        <v>2.5405251682623947E-2</v>
      </c>
      <c r="S318" s="62">
        <f t="shared" si="297"/>
        <v>2.6147222513913684E-2</v>
      </c>
      <c r="T318" s="62">
        <f t="shared" si="297"/>
        <v>3.5519125683060114E-2</v>
      </c>
      <c r="U318" s="62">
        <f t="shared" si="297"/>
        <v>3.2692922192043457E-2</v>
      </c>
      <c r="V318" s="62">
        <f t="shared" si="297"/>
        <v>3.3271166162291504E-2</v>
      </c>
      <c r="W318" s="62">
        <f t="shared" si="297"/>
        <v>7.0843009428947154E-2</v>
      </c>
      <c r="X318" s="62">
        <f t="shared" si="297"/>
        <v>5.5914944948378023E-2</v>
      </c>
      <c r="Y318" s="62">
        <f t="shared" si="297"/>
        <v>4.7032255403398782E-2</v>
      </c>
      <c r="Z318" s="62">
        <f t="shared" si="297"/>
        <v>3.8605579661128799E-2</v>
      </c>
      <c r="AA318" s="62">
        <f>AA315/AA313</f>
        <v>4.0640690243173717E-2</v>
      </c>
      <c r="AB318" s="62">
        <f>AB315/AB313</f>
        <v>4.2059120084597786E-2</v>
      </c>
      <c r="AC318" s="65">
        <v>0.05</v>
      </c>
      <c r="AD318" s="65">
        <v>0.05</v>
      </c>
      <c r="AE318" s="65">
        <v>0.05</v>
      </c>
      <c r="AF318" s="65">
        <v>0.05</v>
      </c>
      <c r="AG318" s="65">
        <v>0.05</v>
      </c>
      <c r="AH318" s="65">
        <v>0.05</v>
      </c>
      <c r="AI318" s="65">
        <v>0.05</v>
      </c>
      <c r="AJ318" s="65">
        <v>0.05</v>
      </c>
      <c r="AK318" s="65">
        <v>0.05</v>
      </c>
      <c r="AL318" s="65">
        <v>0.05</v>
      </c>
    </row>
    <row r="319" spans="1:39" ht="15" customHeight="1"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  <c r="T319" s="7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7"/>
    </row>
    <row r="320" spans="1:39" s="3" customFormat="1" outlineLevel="1">
      <c r="A320" s="96" t="s">
        <v>332</v>
      </c>
      <c r="B320" s="58"/>
      <c r="C320" s="58"/>
      <c r="D320" s="59" t="s">
        <v>332</v>
      </c>
      <c r="E320" s="58"/>
      <c r="F320" s="58"/>
      <c r="G320" s="68">
        <f>0.462/4</f>
        <v>0.11550000000000001</v>
      </c>
      <c r="H320" s="68">
        <f>0.462/4</f>
        <v>0.11550000000000001</v>
      </c>
      <c r="I320" s="68">
        <f>0.462/4</f>
        <v>0.11550000000000001</v>
      </c>
      <c r="J320" s="68">
        <f>0.462/4</f>
        <v>0.11550000000000001</v>
      </c>
      <c r="K320" s="177">
        <v>0.115</v>
      </c>
      <c r="L320" s="177">
        <v>0.14699999999999999</v>
      </c>
      <c r="M320" s="177">
        <v>0.14699999999999999</v>
      </c>
      <c r="N320" s="177">
        <v>0.108</v>
      </c>
      <c r="O320" s="177">
        <v>3.1E-2</v>
      </c>
      <c r="P320" s="177">
        <v>3.2000000000000001E-2</v>
      </c>
      <c r="Q320" s="177">
        <v>3.1E-2</v>
      </c>
      <c r="R320" s="177">
        <v>3.1E-2</v>
      </c>
      <c r="S320" s="177">
        <v>0.73099999999999998</v>
      </c>
      <c r="T320" s="177">
        <v>0.7</v>
      </c>
      <c r="U320" s="177">
        <v>0.7</v>
      </c>
      <c r="V320" s="177">
        <v>0.95</v>
      </c>
      <c r="W320" s="177">
        <v>0.7</v>
      </c>
      <c r="X320" s="177">
        <v>0.7</v>
      </c>
      <c r="Y320" s="177">
        <v>0.7</v>
      </c>
      <c r="Z320" s="177">
        <f>2.946-SUM(W320:Y320)</f>
        <v>0.84600000000000053</v>
      </c>
      <c r="AA320" s="177">
        <v>0.50700000000000001</v>
      </c>
      <c r="AB320" s="177">
        <v>4.8869999999999996</v>
      </c>
      <c r="AC320" s="164">
        <f t="shared" ref="AC320:AL320" si="298">-AC295</f>
        <v>4.8</v>
      </c>
      <c r="AD320" s="164">
        <f t="shared" si="298"/>
        <v>4.8</v>
      </c>
      <c r="AE320" s="164">
        <f t="shared" si="298"/>
        <v>4.8</v>
      </c>
      <c r="AF320" s="164">
        <f t="shared" si="298"/>
        <v>4.8</v>
      </c>
      <c r="AG320" s="164">
        <f t="shared" si="298"/>
        <v>4.8</v>
      </c>
      <c r="AH320" s="164">
        <f t="shared" si="298"/>
        <v>4.8</v>
      </c>
      <c r="AI320" s="164">
        <f t="shared" si="298"/>
        <v>4.8</v>
      </c>
      <c r="AJ320" s="164">
        <f t="shared" si="298"/>
        <v>4.8</v>
      </c>
      <c r="AK320" s="164">
        <f t="shared" si="298"/>
        <v>3.858000000000005</v>
      </c>
      <c r="AL320" s="164">
        <f t="shared" si="298"/>
        <v>0</v>
      </c>
      <c r="AM320"/>
    </row>
    <row r="321" spans="1:39" s="3" customFormat="1" outlineLevel="1">
      <c r="A321" s="96" t="s">
        <v>333</v>
      </c>
      <c r="B321" s="58"/>
      <c r="C321" s="58"/>
      <c r="D321" s="59" t="s">
        <v>333</v>
      </c>
      <c r="E321" s="58"/>
      <c r="F321" s="58"/>
      <c r="G321" s="68">
        <f t="shared" ref="G321:J322" si="299">11.7/SUM($G$11:$J$11)*G$11*(SUM($K321:$N321)/SUM($K$321:$N$322))</f>
        <v>1.781761995072582</v>
      </c>
      <c r="H321" s="68">
        <f t="shared" si="299"/>
        <v>2.0499230111068321</v>
      </c>
      <c r="I321" s="68">
        <f t="shared" si="299"/>
        <v>3.0178789503536043</v>
      </c>
      <c r="J321" s="68">
        <f t="shared" si="299"/>
        <v>2.7520664782495903</v>
      </c>
      <c r="K321" s="177">
        <f>+(13-SUM($M$321:$M$322))/SUM($K$11:$L$11)*K11-K322</f>
        <v>3.3130773204752888</v>
      </c>
      <c r="L321" s="177">
        <f>+(13-SUM($M$321:$M$322))/SUM($K$11:$L$11)*L11-L322</f>
        <v>3.5869226795247111</v>
      </c>
      <c r="M321" s="177">
        <f>5-M322</f>
        <v>4</v>
      </c>
      <c r="N321" s="177">
        <f>18.4-SUM(K321:M321,K322:N322)</f>
        <v>4.1999999999999993</v>
      </c>
      <c r="O321" s="177">
        <f>+(20.8-SUM($Q$321:$Q$322))/SUM($O$11:$P$11)*O11-O322</f>
        <v>4.9228275429535966</v>
      </c>
      <c r="P321" s="177">
        <f>+(20.8-SUM($Q$321:$Q$322))/SUM($O$11:$P$11)*P11-P322</f>
        <v>5.3771724570464041</v>
      </c>
      <c r="Q321" s="177">
        <f>7.7-Q322</f>
        <v>5.9</v>
      </c>
      <c r="R321" s="177">
        <f>29.4-SUM(O321:Q321,O322:R322)</f>
        <v>6.4999999999999929</v>
      </c>
      <c r="S321" s="177">
        <f>9.9-S322</f>
        <v>7.4</v>
      </c>
      <c r="T321" s="177">
        <f>10.8-T322</f>
        <v>8</v>
      </c>
      <c r="U321" s="177">
        <f>12.1-U322</f>
        <v>8.6999999999999993</v>
      </c>
      <c r="V321" s="177">
        <f>45.9-SUM(S321:U321,S322:V322)</f>
        <v>9.1999999999999957</v>
      </c>
      <c r="W321" s="177">
        <f>14-W322</f>
        <v>9.8000000000000007</v>
      </c>
      <c r="X321" s="177">
        <f>15.1-X322</f>
        <v>10.5</v>
      </c>
      <c r="Y321" s="177">
        <f>16.1-Y322</f>
        <v>11.600000000000001</v>
      </c>
      <c r="Z321" s="177">
        <f>62.3-SUM(W321:Y321,W322:Z322)</f>
        <v>12.5</v>
      </c>
      <c r="AA321" s="177">
        <f>18.9-AA322</f>
        <v>14.099999999999998</v>
      </c>
      <c r="AB321" s="177">
        <f>20-AB322</f>
        <v>15.2</v>
      </c>
      <c r="AC321" s="164">
        <f t="shared" ref="AC321:AL322" si="300">-AC$269*(SUM(Y321:AB321)/SUM(Y$321:AB$322))</f>
        <v>18.113042995839116</v>
      </c>
      <c r="AD321" s="164">
        <f t="shared" si="300"/>
        <v>19.304307724428451</v>
      </c>
      <c r="AE321" s="164">
        <f t="shared" si="300"/>
        <v>20.520006209722993</v>
      </c>
      <c r="AF321" s="164">
        <f t="shared" si="300"/>
        <v>21.727477402631902</v>
      </c>
      <c r="AG321" s="164">
        <f t="shared" si="300"/>
        <v>22.910515735281532</v>
      </c>
      <c r="AH321" s="164">
        <f t="shared" si="300"/>
        <v>24.248425670429704</v>
      </c>
      <c r="AI321" s="164">
        <f t="shared" si="300"/>
        <v>25.623646482009402</v>
      </c>
      <c r="AJ321" s="164">
        <f t="shared" si="300"/>
        <v>27.039649697105766</v>
      </c>
      <c r="AK321" s="164">
        <f t="shared" si="300"/>
        <v>28.510201520765541</v>
      </c>
      <c r="AL321" s="164">
        <f t="shared" si="300"/>
        <v>30.057517203664037</v>
      </c>
      <c r="AM321"/>
    </row>
    <row r="322" spans="1:39" s="3" customFormat="1" outlineLevel="1">
      <c r="A322" s="96" t="s">
        <v>441</v>
      </c>
      <c r="B322" s="58"/>
      <c r="C322" s="58"/>
      <c r="D322" s="59" t="s">
        <v>441</v>
      </c>
      <c r="E322" s="58"/>
      <c r="F322" s="58"/>
      <c r="G322" s="68">
        <f t="shared" si="299"/>
        <v>0.3893916942873854</v>
      </c>
      <c r="H322" s="68">
        <f t="shared" si="299"/>
        <v>0.4479964196458639</v>
      </c>
      <c r="I322" s="68">
        <f t="shared" si="299"/>
        <v>0.65953645934880079</v>
      </c>
      <c r="J322" s="68">
        <f t="shared" si="299"/>
        <v>0.60144499193534084</v>
      </c>
      <c r="K322" s="177">
        <f>+(2.1-$M$322)/SUM($K$11:$L$11)*K11</f>
        <v>0.52817174674243739</v>
      </c>
      <c r="L322" s="177">
        <f>+(2.1-$M$322)/SUM($K$11:$L$11)*L11</f>
        <v>0.57182825325756281</v>
      </c>
      <c r="M322" s="177">
        <v>1</v>
      </c>
      <c r="N322" s="177">
        <f>3.3-SUM(K322:M322)</f>
        <v>1.1999999999999997</v>
      </c>
      <c r="O322" s="177">
        <f>+(4.6-$Q$322)/SUM($O$11:$P$11)*O11</f>
        <v>1.3382443806087445</v>
      </c>
      <c r="P322" s="177">
        <f>+(4.6-$Q$322)/SUM($O$11:$P$11)*P11</f>
        <v>1.4617556193912551</v>
      </c>
      <c r="Q322" s="177">
        <v>1.8</v>
      </c>
      <c r="R322" s="177">
        <f>6.7-SUM(O322:Q322)</f>
        <v>2.1000000000000005</v>
      </c>
      <c r="S322" s="177">
        <v>2.5</v>
      </c>
      <c r="T322" s="177">
        <v>2.8</v>
      </c>
      <c r="U322" s="177">
        <v>3.4</v>
      </c>
      <c r="V322" s="177">
        <f>12.6-SUM(S322:U322)</f>
        <v>3.9000000000000004</v>
      </c>
      <c r="W322" s="177">
        <v>4.2</v>
      </c>
      <c r="X322" s="177">
        <v>4.5999999999999996</v>
      </c>
      <c r="Y322" s="177">
        <v>4.5</v>
      </c>
      <c r="Z322" s="177">
        <f>17.9-SUM(W322:Y322)</f>
        <v>4.5999999999999979</v>
      </c>
      <c r="AA322" s="177">
        <v>4.8</v>
      </c>
      <c r="AB322" s="177">
        <v>4.8</v>
      </c>
      <c r="AC322" s="164">
        <f t="shared" si="300"/>
        <v>6.3429570041608878</v>
      </c>
      <c r="AD322" s="164">
        <f t="shared" si="300"/>
        <v>6.6190522755715424</v>
      </c>
      <c r="AE322" s="164">
        <f t="shared" si="300"/>
        <v>6.9393128702769999</v>
      </c>
      <c r="AF322" s="164">
        <f t="shared" si="300"/>
        <v>7.3382118435480912</v>
      </c>
      <c r="AG322" s="164">
        <f t="shared" si="300"/>
        <v>7.8337170648653531</v>
      </c>
      <c r="AH322" s="164">
        <f t="shared" si="300"/>
        <v>8.2482283993255443</v>
      </c>
      <c r="AI322" s="164">
        <f t="shared" si="300"/>
        <v>8.7009443791695773</v>
      </c>
      <c r="AJ322" s="164">
        <f t="shared" si="300"/>
        <v>9.1899559568686531</v>
      </c>
      <c r="AK322" s="164">
        <f t="shared" si="300"/>
        <v>9.7029750427639652</v>
      </c>
      <c r="AL322" s="164">
        <f t="shared" si="300"/>
        <v>10.219170894296067</v>
      </c>
      <c r="AM322"/>
    </row>
    <row r="323" spans="1:39" s="3" customFormat="1" outlineLevel="1">
      <c r="A323" s="96" t="s">
        <v>227</v>
      </c>
      <c r="B323" s="58"/>
      <c r="C323" s="58"/>
      <c r="D323" s="59" t="s">
        <v>227</v>
      </c>
      <c r="E323" s="58"/>
      <c r="F323" s="58"/>
      <c r="G323" s="86">
        <f>12.174/SUM($G$11:$J$11)*G11-SUM(G320:G322)</f>
        <v>-2.7540440277212141E-2</v>
      </c>
      <c r="H323" s="86">
        <f>12.174/SUM($G$11:$J$11)*H11-SUM(H320:H322)</f>
        <v>-1.4302238446429971E-2</v>
      </c>
      <c r="I323" s="86">
        <f>12.174/SUM($G$11:$J$11)*I11-SUM(I320:I322)</f>
        <v>3.3482470444353041E-2</v>
      </c>
      <c r="J323" s="86">
        <f>12.174/SUM($G$11:$J$11)*J11-SUM(J320:J322)</f>
        <v>2.0360208279286418E-2</v>
      </c>
      <c r="K323" s="190">
        <f>3.876-SUM(K320:K322)</f>
        <v>-8.0249067217726289E-2</v>
      </c>
      <c r="L323" s="190">
        <f>4.402-SUM(L320:L322)</f>
        <v>9.6249067217726747E-2</v>
      </c>
      <c r="M323" s="190">
        <f>5.119-SUM(M320:M322)</f>
        <v>-2.8000000000000469E-2</v>
      </c>
      <c r="N323" s="190">
        <f>18.905-SUM(K320:M323,N320:N322)</f>
        <v>0</v>
      </c>
      <c r="O323" s="190">
        <f>6.17-SUM(O320:O322)</f>
        <v>-0.12207192356234131</v>
      </c>
      <c r="P323" s="190">
        <f>6.99-SUM(P320:P322)</f>
        <v>0.1190719235623412</v>
      </c>
      <c r="Q323" s="190">
        <f>7.763-SUM(Q320:Q322)</f>
        <v>3.2000000000000028E-2</v>
      </c>
      <c r="R323" s="190">
        <f>29.479-SUM(O320:Q323,R320:R322)</f>
        <v>-7.4999999999999289E-2</v>
      </c>
      <c r="S323" s="190">
        <f>10.563-SUM(S320:S322)</f>
        <v>-6.7999999999999616E-2</v>
      </c>
      <c r="T323" s="190">
        <f>22.113-SUM(S320:S323,T320:T322)</f>
        <v>5.0000000000000711E-2</v>
      </c>
      <c r="U323" s="190">
        <f>35.029-SUM(S320:T323,U320:U322)</f>
        <v>0.11599999999999966</v>
      </c>
      <c r="V323" s="190">
        <f>49.387-SUM(S320:U323,V320:V322)</f>
        <v>0.30800000000000693</v>
      </c>
      <c r="W323" s="190">
        <f>15.218-SUM(W320:W322)</f>
        <v>0.51800000000000068</v>
      </c>
      <c r="X323" s="190">
        <f>31.245-SUM(W320:W323,X320:X322)</f>
        <v>0.22700000000000031</v>
      </c>
      <c r="Y323" s="190">
        <f>48.275-SUM(W320:X323,Y320:Y322)</f>
        <v>0.22999999999999687</v>
      </c>
      <c r="Z323" s="190">
        <f>66.607-SUM(W320:Y323,Z320:Z322)</f>
        <v>0.38599999999999568</v>
      </c>
      <c r="AA323" s="190">
        <f>20.014-SUM(AA320:AA322)</f>
        <v>0.60700000000000287</v>
      </c>
      <c r="AB323" s="190">
        <f>45.352-SUM(AA320:AA323,AB320:AB322)</f>
        <v>0.45100000000000051</v>
      </c>
      <c r="AC323" s="68">
        <v>0</v>
      </c>
      <c r="AD323" s="68">
        <v>0</v>
      </c>
      <c r="AE323" s="68">
        <v>0</v>
      </c>
      <c r="AF323" s="68">
        <v>0</v>
      </c>
      <c r="AG323" s="68">
        <v>0</v>
      </c>
      <c r="AH323" s="68">
        <v>0</v>
      </c>
      <c r="AI323" s="68">
        <v>0</v>
      </c>
      <c r="AJ323" s="68">
        <v>0</v>
      </c>
      <c r="AK323" s="68">
        <v>0</v>
      </c>
      <c r="AL323" s="68">
        <v>0</v>
      </c>
      <c r="AM323"/>
    </row>
    <row r="324" spans="1:39" s="3" customFormat="1" outlineLevel="1">
      <c r="A324" s="96"/>
      <c r="D324" s="209" t="s">
        <v>228</v>
      </c>
      <c r="E324" s="193"/>
      <c r="F324" s="193"/>
      <c r="G324" s="208">
        <f t="shared" ref="G324:AL324" si="301">SUM(G320:G323)</f>
        <v>2.2591132490827555</v>
      </c>
      <c r="H324" s="208">
        <f t="shared" si="301"/>
        <v>2.5991171923062661</v>
      </c>
      <c r="I324" s="208">
        <f t="shared" si="301"/>
        <v>3.8263978801467582</v>
      </c>
      <c r="J324" s="208">
        <f t="shared" si="301"/>
        <v>3.4893716784642175</v>
      </c>
      <c r="K324" s="208">
        <f t="shared" si="301"/>
        <v>3.8759999999999999</v>
      </c>
      <c r="L324" s="208">
        <f t="shared" si="301"/>
        <v>4.4020000000000001</v>
      </c>
      <c r="M324" s="208">
        <f t="shared" si="301"/>
        <v>5.1189999999999998</v>
      </c>
      <c r="N324" s="208">
        <f t="shared" si="301"/>
        <v>5.5079999999999991</v>
      </c>
      <c r="O324" s="208">
        <f t="shared" si="301"/>
        <v>6.17</v>
      </c>
      <c r="P324" s="208">
        <f t="shared" si="301"/>
        <v>6.99</v>
      </c>
      <c r="Q324" s="208">
        <f t="shared" si="301"/>
        <v>7.7629999999999999</v>
      </c>
      <c r="R324" s="208">
        <f t="shared" si="301"/>
        <v>8.5559999999999938</v>
      </c>
      <c r="S324" s="208">
        <f t="shared" si="301"/>
        <v>10.563000000000001</v>
      </c>
      <c r="T324" s="208">
        <f t="shared" si="301"/>
        <v>11.55</v>
      </c>
      <c r="U324" s="208">
        <f t="shared" si="301"/>
        <v>12.915999999999999</v>
      </c>
      <c r="V324" s="208">
        <f t="shared" si="301"/>
        <v>14.358000000000002</v>
      </c>
      <c r="W324" s="208">
        <f t="shared" si="301"/>
        <v>15.218</v>
      </c>
      <c r="X324" s="208">
        <f t="shared" si="301"/>
        <v>16.027000000000001</v>
      </c>
      <c r="Y324" s="208">
        <f t="shared" si="301"/>
        <v>17.029999999999998</v>
      </c>
      <c r="Z324" s="208">
        <f t="shared" si="301"/>
        <v>18.331999999999994</v>
      </c>
      <c r="AA324" s="208">
        <f t="shared" si="301"/>
        <v>20.013999999999999</v>
      </c>
      <c r="AB324" s="208">
        <f t="shared" si="301"/>
        <v>25.338000000000001</v>
      </c>
      <c r="AC324" s="207">
        <f t="shared" si="301"/>
        <v>29.256000000000004</v>
      </c>
      <c r="AD324" s="207">
        <f t="shared" si="301"/>
        <v>30.723359999999992</v>
      </c>
      <c r="AE324" s="207">
        <f t="shared" si="301"/>
        <v>32.259319079999997</v>
      </c>
      <c r="AF324" s="207">
        <f t="shared" si="301"/>
        <v>33.865689246179997</v>
      </c>
      <c r="AG324" s="207">
        <f t="shared" si="301"/>
        <v>35.544232800146887</v>
      </c>
      <c r="AH324" s="207">
        <f t="shared" si="301"/>
        <v>37.296654069755249</v>
      </c>
      <c r="AI324" s="207">
        <f t="shared" si="301"/>
        <v>39.12459086117898</v>
      </c>
      <c r="AJ324" s="207">
        <f t="shared" si="301"/>
        <v>41.029605653974421</v>
      </c>
      <c r="AK324" s="207">
        <f t="shared" si="301"/>
        <v>42.071176563529512</v>
      </c>
      <c r="AL324" s="207">
        <f t="shared" si="301"/>
        <v>40.276688097960104</v>
      </c>
      <c r="AM324"/>
    </row>
    <row r="325" spans="1:39" s="3" customFormat="1" outlineLevel="1">
      <c r="A325" s="96" t="s">
        <v>357</v>
      </c>
      <c r="B325" s="85"/>
      <c r="C325" s="85"/>
      <c r="D325" s="73" t="s">
        <v>357</v>
      </c>
      <c r="E325" s="85"/>
      <c r="F325" s="85"/>
      <c r="G325" s="168">
        <v>0.65</v>
      </c>
      <c r="H325" s="168">
        <v>0.65</v>
      </c>
      <c r="I325" s="168">
        <v>0.65</v>
      </c>
      <c r="J325" s="168">
        <v>0.65</v>
      </c>
      <c r="K325" s="168">
        <v>0.65</v>
      </c>
      <c r="L325" s="168">
        <v>0.65</v>
      </c>
      <c r="M325" s="168">
        <v>0.65</v>
      </c>
      <c r="N325" s="168">
        <v>0.65</v>
      </c>
      <c r="O325" s="168">
        <v>0.65</v>
      </c>
      <c r="P325" s="168">
        <v>0.65</v>
      </c>
      <c r="Q325" s="168">
        <v>0.65</v>
      </c>
      <c r="R325" s="168">
        <v>0.65</v>
      </c>
      <c r="S325" s="168">
        <v>0.65</v>
      </c>
      <c r="T325" s="168">
        <v>0.65</v>
      </c>
      <c r="U325" s="168">
        <v>0.65</v>
      </c>
      <c r="V325" s="168">
        <v>0.65</v>
      </c>
      <c r="W325" s="168">
        <v>0.65</v>
      </c>
      <c r="X325" s="168">
        <v>0.65</v>
      </c>
      <c r="Y325" s="168">
        <v>0.65</v>
      </c>
      <c r="Z325" s="168">
        <v>0.65</v>
      </c>
      <c r="AA325" s="168">
        <v>0.65</v>
      </c>
      <c r="AB325" s="168">
        <v>0.65</v>
      </c>
      <c r="AC325" s="168">
        <v>0.65</v>
      </c>
      <c r="AD325" s="168">
        <v>0.65</v>
      </c>
      <c r="AE325" s="168">
        <v>0.65</v>
      </c>
      <c r="AF325" s="168">
        <v>0.65</v>
      </c>
      <c r="AG325" s="168">
        <v>0.65</v>
      </c>
      <c r="AH325" s="168">
        <v>0.65</v>
      </c>
      <c r="AI325" s="168">
        <v>0.65</v>
      </c>
      <c r="AJ325" s="168">
        <v>0.65</v>
      </c>
      <c r="AK325" s="168">
        <v>0.65</v>
      </c>
      <c r="AL325" s="168">
        <v>0.65</v>
      </c>
      <c r="AM325"/>
    </row>
    <row r="326" spans="1:39" s="3" customFormat="1" outlineLevel="1">
      <c r="A326" s="96" t="s">
        <v>358</v>
      </c>
      <c r="B326" s="85"/>
      <c r="C326" s="85"/>
      <c r="D326" s="73" t="s">
        <v>358</v>
      </c>
      <c r="E326" s="85"/>
      <c r="F326" s="85"/>
      <c r="G326" s="168">
        <v>0.05</v>
      </c>
      <c r="H326" s="168">
        <v>0.05</v>
      </c>
      <c r="I326" s="168">
        <v>0.05</v>
      </c>
      <c r="J326" s="168">
        <v>0.05</v>
      </c>
      <c r="K326" s="168">
        <v>0.05</v>
      </c>
      <c r="L326" s="168">
        <v>0.05</v>
      </c>
      <c r="M326" s="168">
        <v>0.05</v>
      </c>
      <c r="N326" s="168">
        <v>0.05</v>
      </c>
      <c r="O326" s="168">
        <v>0.05</v>
      </c>
      <c r="P326" s="168">
        <v>0.05</v>
      </c>
      <c r="Q326" s="168">
        <v>0.05</v>
      </c>
      <c r="R326" s="168">
        <v>0.05</v>
      </c>
      <c r="S326" s="168">
        <v>0.05</v>
      </c>
      <c r="T326" s="168">
        <v>0.05</v>
      </c>
      <c r="U326" s="168">
        <v>0.05</v>
      </c>
      <c r="V326" s="168">
        <v>0.05</v>
      </c>
      <c r="W326" s="168">
        <v>0.05</v>
      </c>
      <c r="X326" s="168">
        <v>0.05</v>
      </c>
      <c r="Y326" s="168">
        <v>0.05</v>
      </c>
      <c r="Z326" s="168">
        <v>0.05</v>
      </c>
      <c r="AA326" s="168">
        <v>0.05</v>
      </c>
      <c r="AB326" s="168">
        <v>0.05</v>
      </c>
      <c r="AC326" s="168">
        <v>0.05</v>
      </c>
      <c r="AD326" s="168">
        <v>0.05</v>
      </c>
      <c r="AE326" s="168">
        <v>0.05</v>
      </c>
      <c r="AF326" s="168">
        <v>0.05</v>
      </c>
      <c r="AG326" s="168">
        <v>0.05</v>
      </c>
      <c r="AH326" s="168">
        <v>0.05</v>
      </c>
      <c r="AI326" s="168">
        <v>0.05</v>
      </c>
      <c r="AJ326" s="168">
        <v>0.05</v>
      </c>
      <c r="AK326" s="168">
        <v>0.05</v>
      </c>
      <c r="AL326" s="168">
        <v>0.05</v>
      </c>
      <c r="AM326"/>
    </row>
    <row r="327" spans="1:39" s="3" customFormat="1" outlineLevel="1">
      <c r="A327" s="96" t="s">
        <v>359</v>
      </c>
      <c r="B327" s="85"/>
      <c r="C327" s="85"/>
      <c r="D327" s="73" t="s">
        <v>359</v>
      </c>
      <c r="E327" s="85"/>
      <c r="F327" s="85"/>
      <c r="G327" s="168">
        <v>0.05</v>
      </c>
      <c r="H327" s="168">
        <v>0.05</v>
      </c>
      <c r="I327" s="168">
        <v>0.05</v>
      </c>
      <c r="J327" s="168">
        <v>0.05</v>
      </c>
      <c r="K327" s="168">
        <v>0.05</v>
      </c>
      <c r="L327" s="168">
        <v>0.05</v>
      </c>
      <c r="M327" s="168">
        <v>0.05</v>
      </c>
      <c r="N327" s="168">
        <v>0.05</v>
      </c>
      <c r="O327" s="168">
        <v>0.05</v>
      </c>
      <c r="P327" s="168">
        <v>0.05</v>
      </c>
      <c r="Q327" s="168">
        <v>0.05</v>
      </c>
      <c r="R327" s="168">
        <v>0.05</v>
      </c>
      <c r="S327" s="168">
        <v>0.05</v>
      </c>
      <c r="T327" s="168">
        <v>0.05</v>
      </c>
      <c r="U327" s="168">
        <v>0.05</v>
      </c>
      <c r="V327" s="168">
        <v>0.05</v>
      </c>
      <c r="W327" s="168">
        <v>0.05</v>
      </c>
      <c r="X327" s="168">
        <v>0.05</v>
      </c>
      <c r="Y327" s="168">
        <v>0.05</v>
      </c>
      <c r="Z327" s="168">
        <v>0.05</v>
      </c>
      <c r="AA327" s="168">
        <v>0.05</v>
      </c>
      <c r="AB327" s="168">
        <v>0.05</v>
      </c>
      <c r="AC327" s="168">
        <v>0.05</v>
      </c>
      <c r="AD327" s="168">
        <v>0.05</v>
      </c>
      <c r="AE327" s="168">
        <v>0.05</v>
      </c>
      <c r="AF327" s="168">
        <v>0.05</v>
      </c>
      <c r="AG327" s="168">
        <v>0.05</v>
      </c>
      <c r="AH327" s="168">
        <v>0.05</v>
      </c>
      <c r="AI327" s="168">
        <v>0.05</v>
      </c>
      <c r="AJ327" s="168">
        <v>0.05</v>
      </c>
      <c r="AK327" s="168">
        <v>0.05</v>
      </c>
      <c r="AL327" s="168">
        <v>0.05</v>
      </c>
      <c r="AM327"/>
    </row>
    <row r="328" spans="1:39" s="3" customFormat="1" outlineLevel="1">
      <c r="A328" s="96" t="s">
        <v>360</v>
      </c>
      <c r="B328" s="85"/>
      <c r="C328" s="85"/>
      <c r="D328" s="73" t="s">
        <v>360</v>
      </c>
      <c r="E328" s="85"/>
      <c r="F328" s="85"/>
      <c r="G328" s="158">
        <f t="shared" ref="G328:AL328" si="302">1-SUM(G325:G327)</f>
        <v>0.24999999999999989</v>
      </c>
      <c r="H328" s="158">
        <f t="shared" si="302"/>
        <v>0.24999999999999989</v>
      </c>
      <c r="I328" s="158">
        <f t="shared" si="302"/>
        <v>0.24999999999999989</v>
      </c>
      <c r="J328" s="158">
        <f t="shared" si="302"/>
        <v>0.24999999999999989</v>
      </c>
      <c r="K328" s="158">
        <f t="shared" si="302"/>
        <v>0.24999999999999989</v>
      </c>
      <c r="L328" s="158">
        <f t="shared" si="302"/>
        <v>0.24999999999999989</v>
      </c>
      <c r="M328" s="158">
        <f t="shared" si="302"/>
        <v>0.24999999999999989</v>
      </c>
      <c r="N328" s="158">
        <f t="shared" si="302"/>
        <v>0.24999999999999989</v>
      </c>
      <c r="O328" s="158">
        <f t="shared" si="302"/>
        <v>0.24999999999999989</v>
      </c>
      <c r="P328" s="158">
        <f t="shared" si="302"/>
        <v>0.24999999999999989</v>
      </c>
      <c r="Q328" s="158">
        <f t="shared" si="302"/>
        <v>0.24999999999999989</v>
      </c>
      <c r="R328" s="158">
        <f t="shared" si="302"/>
        <v>0.24999999999999989</v>
      </c>
      <c r="S328" s="158">
        <f t="shared" si="302"/>
        <v>0.24999999999999989</v>
      </c>
      <c r="T328" s="158">
        <f t="shared" si="302"/>
        <v>0.24999999999999989</v>
      </c>
      <c r="U328" s="158">
        <f t="shared" si="302"/>
        <v>0.24999999999999989</v>
      </c>
      <c r="V328" s="158">
        <f t="shared" si="302"/>
        <v>0.24999999999999989</v>
      </c>
      <c r="W328" s="158">
        <f t="shared" si="302"/>
        <v>0.24999999999999989</v>
      </c>
      <c r="X328" s="158">
        <f t="shared" si="302"/>
        <v>0.24999999999999989</v>
      </c>
      <c r="Y328" s="158">
        <f t="shared" si="302"/>
        <v>0.24999999999999989</v>
      </c>
      <c r="Z328" s="158">
        <f t="shared" si="302"/>
        <v>0.24999999999999989</v>
      </c>
      <c r="AA328" s="158">
        <f t="shared" si="302"/>
        <v>0.24999999999999989</v>
      </c>
      <c r="AB328" s="158">
        <f t="shared" si="302"/>
        <v>0.24999999999999989</v>
      </c>
      <c r="AC328" s="158">
        <f t="shared" si="302"/>
        <v>0.24999999999999989</v>
      </c>
      <c r="AD328" s="158">
        <f t="shared" si="302"/>
        <v>0.24999999999999989</v>
      </c>
      <c r="AE328" s="158">
        <f t="shared" si="302"/>
        <v>0.24999999999999989</v>
      </c>
      <c r="AF328" s="158">
        <f t="shared" si="302"/>
        <v>0.24999999999999989</v>
      </c>
      <c r="AG328" s="158">
        <f t="shared" si="302"/>
        <v>0.24999999999999989</v>
      </c>
      <c r="AH328" s="158">
        <f t="shared" si="302"/>
        <v>0.24999999999999989</v>
      </c>
      <c r="AI328" s="158">
        <f t="shared" si="302"/>
        <v>0.24999999999999989</v>
      </c>
      <c r="AJ328" s="158">
        <f t="shared" si="302"/>
        <v>0.24999999999999989</v>
      </c>
      <c r="AK328" s="158">
        <f t="shared" si="302"/>
        <v>0.24999999999999989</v>
      </c>
      <c r="AL328" s="158">
        <f t="shared" si="302"/>
        <v>0.24999999999999989</v>
      </c>
      <c r="AM328"/>
    </row>
    <row r="329" spans="1:39">
      <c r="N329" s="54"/>
      <c r="O329" s="54"/>
      <c r="P329" s="54"/>
      <c r="Q329" s="54"/>
      <c r="R329" s="54"/>
      <c r="S329" s="54"/>
      <c r="T329" s="54"/>
      <c r="U329" s="7"/>
    </row>
    <row r="330" spans="1:39">
      <c r="B330" s="206" t="s">
        <v>159</v>
      </c>
      <c r="C330" s="41" t="s">
        <v>159</v>
      </c>
      <c r="D330" s="41"/>
      <c r="E330" s="41"/>
      <c r="F330" s="41"/>
      <c r="G330" s="41"/>
      <c r="H330" s="41"/>
      <c r="I330" s="41"/>
      <c r="J330" s="41"/>
      <c r="K330" s="41"/>
      <c r="L330" s="41"/>
      <c r="M330" s="41"/>
      <c r="N330" s="41"/>
      <c r="O330" s="41"/>
      <c r="P330" s="41"/>
      <c r="Q330" s="41"/>
      <c r="R330" s="41"/>
      <c r="S330" s="41"/>
      <c r="T330" s="41"/>
      <c r="U330" s="41"/>
      <c r="V330" s="41"/>
      <c r="W330" s="41"/>
      <c r="X330" s="41"/>
      <c r="Y330" s="41"/>
      <c r="Z330" s="41"/>
      <c r="AA330" s="41"/>
      <c r="AB330" s="41"/>
      <c r="AC330" s="41"/>
      <c r="AD330" s="41"/>
      <c r="AE330" s="41"/>
      <c r="AF330" s="41"/>
      <c r="AG330" s="41"/>
      <c r="AH330" s="41"/>
      <c r="AI330" s="41"/>
      <c r="AJ330" s="41"/>
      <c r="AK330" s="41"/>
      <c r="AL330" s="41"/>
    </row>
    <row r="331" spans="1:39">
      <c r="C331" s="90"/>
      <c r="D331" s="91" t="s">
        <v>184</v>
      </c>
      <c r="E331" s="90"/>
      <c r="F331" s="90"/>
      <c r="G331" s="90"/>
      <c r="H331" s="90"/>
      <c r="I331" s="90"/>
      <c r="J331" s="90"/>
      <c r="K331" s="90"/>
      <c r="L331" s="90"/>
      <c r="M331" s="90"/>
      <c r="N331" s="90"/>
      <c r="O331" s="90"/>
      <c r="P331" s="90"/>
      <c r="Q331" s="90"/>
      <c r="R331" s="90"/>
      <c r="S331" s="90"/>
      <c r="T331" s="90"/>
      <c r="U331" s="90"/>
      <c r="V331" s="90"/>
      <c r="W331" s="90"/>
      <c r="X331" s="90"/>
      <c r="Y331" s="90"/>
      <c r="Z331" s="90"/>
      <c r="AA331" s="90"/>
      <c r="AB331" s="90"/>
      <c r="AC331" s="90"/>
      <c r="AD331" s="90"/>
      <c r="AE331" s="90"/>
      <c r="AF331" s="90"/>
      <c r="AG331" s="90"/>
      <c r="AH331" s="90"/>
      <c r="AI331" s="90"/>
      <c r="AJ331" s="90"/>
      <c r="AK331" s="90"/>
      <c r="AL331" s="90"/>
    </row>
    <row r="332" spans="1:39" ht="5.0999999999999996" customHeight="1">
      <c r="B332" s="52"/>
      <c r="C332" s="52"/>
      <c r="D332" s="52"/>
      <c r="E332" s="52"/>
      <c r="F332" s="52"/>
      <c r="G332" s="52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  <c r="Z332" s="52"/>
      <c r="AA332" s="52"/>
      <c r="AB332" s="52"/>
      <c r="AC332" s="52"/>
      <c r="AD332" s="52"/>
      <c r="AE332" s="52"/>
      <c r="AF332" s="52"/>
      <c r="AG332" s="52"/>
      <c r="AH332" s="52"/>
      <c r="AI332" s="52"/>
      <c r="AJ332" s="52"/>
      <c r="AK332" s="52"/>
      <c r="AL332" s="52"/>
      <c r="AM332" s="7"/>
    </row>
    <row r="333" spans="1:39" outlineLevel="1">
      <c r="D333" t="s">
        <v>160</v>
      </c>
      <c r="G333" s="7"/>
      <c r="H333" s="7"/>
      <c r="I333" s="7"/>
      <c r="J333" s="7"/>
      <c r="K333" s="7"/>
      <c r="L333" s="7">
        <f t="shared" ref="L333:AL333" si="303">+SUM(L200:L202)</f>
        <v>92.175000000000011</v>
      </c>
      <c r="M333" s="7">
        <f t="shared" si="303"/>
        <v>232.85000000000002</v>
      </c>
      <c r="N333" s="7">
        <f t="shared" si="303"/>
        <v>218.01600000000002</v>
      </c>
      <c r="O333" s="7">
        <f t="shared" si="303"/>
        <v>203.297</v>
      </c>
      <c r="P333" s="7">
        <f t="shared" si="303"/>
        <v>186.08600000000004</v>
      </c>
      <c r="Q333" s="7">
        <f t="shared" si="303"/>
        <v>740.39799999999991</v>
      </c>
      <c r="R333" s="7">
        <f t="shared" si="303"/>
        <v>725.82800000000009</v>
      </c>
      <c r="S333" s="7">
        <f t="shared" si="303"/>
        <v>706.3520000000002</v>
      </c>
      <c r="T333" s="7">
        <f t="shared" si="303"/>
        <v>835.61800000000005</v>
      </c>
      <c r="U333" s="7">
        <f t="shared" si="303"/>
        <v>826.44700000000012</v>
      </c>
      <c r="V333" s="7">
        <f t="shared" si="303"/>
        <v>816.93999999999994</v>
      </c>
      <c r="W333" s="7">
        <f t="shared" si="303"/>
        <v>804.04000000000008</v>
      </c>
      <c r="X333" s="7">
        <f t="shared" si="303"/>
        <v>801.09600000000012</v>
      </c>
      <c r="Y333" s="7">
        <f t="shared" si="303"/>
        <v>853.15000000000009</v>
      </c>
      <c r="Z333" s="7">
        <f t="shared" si="303"/>
        <v>815.79800000000012</v>
      </c>
      <c r="AA333" s="7">
        <f t="shared" si="303"/>
        <v>515.47699999999998</v>
      </c>
      <c r="AB333" s="7">
        <f t="shared" si="303"/>
        <v>580.49000000000012</v>
      </c>
      <c r="AC333" s="7">
        <f t="shared" si="303"/>
        <v>559.33755866000445</v>
      </c>
      <c r="AD333" s="7">
        <f t="shared" ca="1" si="303"/>
        <v>540.11832335412498</v>
      </c>
      <c r="AE333" s="7">
        <f t="shared" ca="1" si="303"/>
        <v>522.56038921201423</v>
      </c>
      <c r="AF333" s="7">
        <f t="shared" ca="1" si="303"/>
        <v>507.1809669158053</v>
      </c>
      <c r="AG333" s="7">
        <f t="shared" ca="1" si="303"/>
        <v>493.44131842515486</v>
      </c>
      <c r="AH333" s="7">
        <f t="shared" ca="1" si="303"/>
        <v>482.29336237369967</v>
      </c>
      <c r="AI333" s="7">
        <f t="shared" ca="1" si="303"/>
        <v>472.53724235771324</v>
      </c>
      <c r="AJ333" s="7">
        <f t="shared" ca="1" si="303"/>
        <v>465.86945451210283</v>
      </c>
      <c r="AK333" s="7">
        <f t="shared" ca="1" si="303"/>
        <v>461.695899311787</v>
      </c>
      <c r="AL333" s="7">
        <f t="shared" ca="1" si="303"/>
        <v>463.94308450901292</v>
      </c>
    </row>
    <row r="334" spans="1:39" outlineLevel="1">
      <c r="D334" t="s">
        <v>161</v>
      </c>
      <c r="G334" s="4"/>
      <c r="H334" s="4"/>
      <c r="I334" s="4"/>
      <c r="J334" s="4"/>
      <c r="K334" s="4"/>
      <c r="L334" s="4">
        <f t="shared" ref="L334:AL334" si="304">+L333/L219</f>
        <v>1.1396654261303925</v>
      </c>
      <c r="M334" s="4">
        <f t="shared" si="304"/>
        <v>2.5449199965025797</v>
      </c>
      <c r="N334" s="4">
        <f t="shared" si="304"/>
        <v>2.3815953332896376</v>
      </c>
      <c r="O334" s="4">
        <f t="shared" si="304"/>
        <v>2.207015220270534</v>
      </c>
      <c r="P334" s="4">
        <f t="shared" si="304"/>
        <v>2.007703428781046</v>
      </c>
      <c r="Q334" s="4">
        <f t="shared" si="304"/>
        <v>2.4667846088749843</v>
      </c>
      <c r="R334" s="4">
        <f t="shared" si="304"/>
        <v>2.4180322680587532</v>
      </c>
      <c r="S334" s="4">
        <f t="shared" si="304"/>
        <v>2.3284512966570743</v>
      </c>
      <c r="T334" s="4">
        <f t="shared" si="304"/>
        <v>2.7359277594426112</v>
      </c>
      <c r="U334" s="4">
        <f t="shared" si="304"/>
        <v>2.6917555019232715</v>
      </c>
      <c r="V334" s="4">
        <f t="shared" si="304"/>
        <v>2.6469025401762569</v>
      </c>
      <c r="W334" s="4">
        <f t="shared" si="304"/>
        <v>2.5892923275098627</v>
      </c>
      <c r="X334" s="4">
        <f t="shared" si="304"/>
        <v>2.5646151137291313</v>
      </c>
      <c r="Y334" s="4">
        <f t="shared" si="304"/>
        <v>2.652714123141406</v>
      </c>
      <c r="Z334" s="4">
        <f t="shared" si="304"/>
        <v>2.5209139339703102</v>
      </c>
      <c r="AA334" s="4">
        <f t="shared" si="304"/>
        <v>1.5834521103397432</v>
      </c>
      <c r="AB334" s="4">
        <f t="shared" si="304"/>
        <v>1.773046179409097</v>
      </c>
      <c r="AC334" s="4">
        <f t="shared" si="304"/>
        <v>1.7053037212196256</v>
      </c>
      <c r="AD334" s="4">
        <f t="shared" ca="1" si="304"/>
        <v>1.6436704252989505</v>
      </c>
      <c r="AE334" s="4">
        <f t="shared" ca="1" si="304"/>
        <v>1.5872707301983577</v>
      </c>
      <c r="AF334" s="4">
        <f t="shared" ca="1" si="304"/>
        <v>1.5376426531083225</v>
      </c>
      <c r="AG334" s="4">
        <f t="shared" ca="1" si="304"/>
        <v>1.4931162099619073</v>
      </c>
      <c r="AH334" s="4">
        <f t="shared" ca="1" si="304"/>
        <v>1.4565347248012257</v>
      </c>
      <c r="AI334" s="4">
        <f t="shared" ca="1" si="304"/>
        <v>1.4242275980641801</v>
      </c>
      <c r="AJ334" s="4">
        <f t="shared" ca="1" si="304"/>
        <v>1.4012674909613079</v>
      </c>
      <c r="AK334" s="4">
        <f t="shared" ca="1" si="304"/>
        <v>1.3858068997860205</v>
      </c>
      <c r="AL334" s="4">
        <f t="shared" ca="1" si="304"/>
        <v>1.3895488059395253</v>
      </c>
    </row>
    <row r="335" spans="1:39" outlineLevel="1">
      <c r="D335" t="s">
        <v>194</v>
      </c>
      <c r="G335" s="4"/>
      <c r="H335" s="4"/>
      <c r="I335" s="4"/>
      <c r="J335" s="4"/>
      <c r="K335" s="4"/>
      <c r="L335" s="4">
        <f t="shared" ref="L335:AL335" si="305">(L333-SUM(L174:L175))/L219</f>
        <v>0.56465831674476696</v>
      </c>
      <c r="M335" s="4">
        <f t="shared" si="305"/>
        <v>0.47837063915362427</v>
      </c>
      <c r="N335" s="4">
        <f t="shared" si="305"/>
        <v>0.62658670337113032</v>
      </c>
      <c r="O335" s="4">
        <f t="shared" si="305"/>
        <v>0.6720259678224807</v>
      </c>
      <c r="P335" s="4">
        <f t="shared" si="305"/>
        <v>0.66243014047429005</v>
      </c>
      <c r="Q335" s="4">
        <f t="shared" si="305"/>
        <v>0.31748776432881187</v>
      </c>
      <c r="R335" s="4">
        <f t="shared" si="305"/>
        <v>0.29609591802060847</v>
      </c>
      <c r="S335" s="4">
        <f t="shared" si="305"/>
        <v>0.39062227013057271</v>
      </c>
      <c r="T335" s="4">
        <f t="shared" si="305"/>
        <v>-0.76442257320970142</v>
      </c>
      <c r="U335" s="4">
        <f t="shared" si="305"/>
        <v>-0.73234124463812833</v>
      </c>
      <c r="V335" s="4">
        <f t="shared" si="305"/>
        <v>-0.69710990150336982</v>
      </c>
      <c r="W335" s="4">
        <f t="shared" si="305"/>
        <v>-0.74449400209322958</v>
      </c>
      <c r="X335" s="4">
        <f t="shared" si="305"/>
        <v>-0.74414867222640113</v>
      </c>
      <c r="Y335" s="4">
        <f t="shared" si="305"/>
        <v>-2.9872051589793975</v>
      </c>
      <c r="Z335" s="4">
        <f t="shared" si="305"/>
        <v>-3.1088000444977313</v>
      </c>
      <c r="AA335" s="4">
        <f t="shared" si="305"/>
        <v>-3.7161731277262398</v>
      </c>
      <c r="AB335" s="4">
        <f t="shared" si="305"/>
        <v>-3.2418073470434967</v>
      </c>
      <c r="AC335" s="4">
        <f t="shared" si="305"/>
        <v>-3.2747357045305145</v>
      </c>
      <c r="AD335" s="4">
        <f t="shared" ca="1" si="305"/>
        <v>-3.2637326868284315</v>
      </c>
      <c r="AE335" s="4">
        <f t="shared" ca="1" si="305"/>
        <v>-3.250015094203385</v>
      </c>
      <c r="AF335" s="4">
        <f t="shared" ca="1" si="305"/>
        <v>-3.2379019694260869</v>
      </c>
      <c r="AG335" s="4">
        <f t="shared" ca="1" si="305"/>
        <v>-3.2167596699818732</v>
      </c>
      <c r="AH335" s="4">
        <f t="shared" ca="1" si="305"/>
        <v>-3.1971206347760459</v>
      </c>
      <c r="AI335" s="4">
        <f t="shared" ca="1" si="305"/>
        <v>-3.1679703078285693</v>
      </c>
      <c r="AJ335" s="4">
        <f t="shared" ca="1" si="305"/>
        <v>-3.1438724584336972</v>
      </c>
      <c r="AK335" s="4">
        <f t="shared" ca="1" si="305"/>
        <v>-3.1072425387752234</v>
      </c>
      <c r="AL335" s="4">
        <f t="shared" ca="1" si="305"/>
        <v>-3.0643010145859817</v>
      </c>
    </row>
    <row r="336" spans="1:39" outlineLevel="1">
      <c r="D336" t="s">
        <v>25</v>
      </c>
      <c r="G336" s="4"/>
      <c r="H336" s="4"/>
      <c r="I336" s="4"/>
      <c r="J336" s="4"/>
      <c r="K336" s="4">
        <f t="shared" ref="K336:AL336" si="306">+K130</f>
        <v>-0.14575866188769418</v>
      </c>
      <c r="L336" s="4">
        <f t="shared" si="306"/>
        <v>-0.26615680713128043</v>
      </c>
      <c r="M336" s="4">
        <f t="shared" si="306"/>
        <v>-0.465671312470121</v>
      </c>
      <c r="N336" s="4">
        <f t="shared" si="306"/>
        <v>-0.19720390460658482</v>
      </c>
      <c r="O336" s="4">
        <f t="shared" si="306"/>
        <v>-0.20115658572133815</v>
      </c>
      <c r="P336" s="4">
        <f t="shared" si="306"/>
        <v>-0.229987278690055</v>
      </c>
      <c r="Q336" s="4">
        <f t="shared" si="306"/>
        <v>-0.34604763840889063</v>
      </c>
      <c r="R336" s="4">
        <f t="shared" si="306"/>
        <v>-9.5629343314607082E-2</v>
      </c>
      <c r="S336" s="4">
        <f t="shared" si="306"/>
        <v>-0.11059960753452655</v>
      </c>
      <c r="T336" s="4">
        <f t="shared" si="306"/>
        <v>-8.7314288005185037E-2</v>
      </c>
      <c r="U336" s="4">
        <f t="shared" si="306"/>
        <v>-8.7732731388946841E-2</v>
      </c>
      <c r="V336" s="4">
        <f t="shared" si="306"/>
        <v>-0.11198006668575738</v>
      </c>
      <c r="W336" s="4">
        <f t="shared" si="306"/>
        <v>-0.13062066305601949</v>
      </c>
      <c r="X336" s="4">
        <f t="shared" si="306"/>
        <v>-0.11519384421743774</v>
      </c>
      <c r="Y336" s="4">
        <f t="shared" si="306"/>
        <v>-0.31344268614264142</v>
      </c>
      <c r="Z336" s="4">
        <f t="shared" si="306"/>
        <v>-0.22409625315899351</v>
      </c>
      <c r="AA336" s="4">
        <f t="shared" si="306"/>
        <v>-0.12114265974606912</v>
      </c>
      <c r="AB336" s="4">
        <f t="shared" si="306"/>
        <v>-0.18629109577995856</v>
      </c>
      <c r="AC336" s="4">
        <f t="shared" si="306"/>
        <v>-0.16608702061422184</v>
      </c>
      <c r="AD336" s="4">
        <f t="shared" ca="1" si="306"/>
        <v>-0.16316341862478961</v>
      </c>
      <c r="AE336" s="4">
        <f t="shared" ca="1" si="306"/>
        <v>-0.16146111753776723</v>
      </c>
      <c r="AF336" s="4">
        <f t="shared" ca="1" si="306"/>
        <v>-0.16038584405520429</v>
      </c>
      <c r="AG336" s="4">
        <f t="shared" ca="1" si="306"/>
        <v>-0.15826125546244846</v>
      </c>
      <c r="AH336" s="4">
        <f t="shared" ca="1" si="306"/>
        <v>-0.15519662893617056</v>
      </c>
      <c r="AI336" s="4">
        <f t="shared" ca="1" si="306"/>
        <v>-0.15309474579957519</v>
      </c>
      <c r="AJ336" s="4">
        <f t="shared" ca="1" si="306"/>
        <v>-0.14930211683583097</v>
      </c>
      <c r="AK336" s="4">
        <f t="shared" ca="1" si="306"/>
        <v>-0.14414230182201795</v>
      </c>
      <c r="AL336" s="4">
        <f t="shared" ca="1" si="306"/>
        <v>-0.12986499849792446</v>
      </c>
    </row>
    <row r="337" spans="4:39" outlineLevel="1">
      <c r="D337" t="s">
        <v>1</v>
      </c>
      <c r="G337" s="186"/>
      <c r="H337" s="186"/>
      <c r="I337" s="186"/>
      <c r="J337" s="186"/>
      <c r="K337" s="62" t="str">
        <f t="shared" ref="K337:AL337" si="307">IFERROR(IF(AVERAGE(J334:K334)&lt;0,"na",+K336*4/AVERAGE(J334:K334)),"na")</f>
        <v>na</v>
      </c>
      <c r="L337" s="62">
        <f t="shared" si="307"/>
        <v>-0.93415769585986774</v>
      </c>
      <c r="M337" s="62">
        <f t="shared" si="307"/>
        <v>-1.0110691088548167</v>
      </c>
      <c r="N337" s="62">
        <f t="shared" si="307"/>
        <v>-0.32023268603514476</v>
      </c>
      <c r="O337" s="62">
        <f t="shared" si="307"/>
        <v>-0.3507058764274803</v>
      </c>
      <c r="P337" s="62">
        <f t="shared" si="307"/>
        <v>-0.43654117456558206</v>
      </c>
      <c r="Q337" s="62">
        <f t="shared" si="307"/>
        <v>-0.61870343243142234</v>
      </c>
      <c r="R337" s="62">
        <f t="shared" si="307"/>
        <v>-0.15661482626490575</v>
      </c>
      <c r="S337" s="62">
        <f t="shared" si="307"/>
        <v>-0.18641102370048665</v>
      </c>
      <c r="T337" s="62">
        <f t="shared" si="307"/>
        <v>-0.13792693957222046</v>
      </c>
      <c r="U337" s="62">
        <f t="shared" si="307"/>
        <v>-0.1293114976158263</v>
      </c>
      <c r="V337" s="62">
        <f t="shared" si="307"/>
        <v>-0.1678025688144193</v>
      </c>
      <c r="W337" s="62">
        <f t="shared" si="307"/>
        <v>-0.19956577836644329</v>
      </c>
      <c r="X337" s="62">
        <f t="shared" si="307"/>
        <v>-0.17880622891395234</v>
      </c>
      <c r="Y337" s="62">
        <f t="shared" si="307"/>
        <v>-0.48061783630990618</v>
      </c>
      <c r="Z337" s="62">
        <f t="shared" si="307"/>
        <v>-0.34652085644378516</v>
      </c>
      <c r="AA337" s="62">
        <f t="shared" si="307"/>
        <v>-0.23612447513352</v>
      </c>
      <c r="AB337" s="62">
        <f t="shared" si="307"/>
        <v>-0.44401296755947006</v>
      </c>
      <c r="AC337" s="62">
        <f t="shared" si="307"/>
        <v>-0.38199036982265899</v>
      </c>
      <c r="AD337" s="62">
        <f t="shared" ca="1" si="307"/>
        <v>-0.38976334002316748</v>
      </c>
      <c r="AE337" s="62">
        <f t="shared" ca="1" si="307"/>
        <v>-0.39978720692711611</v>
      </c>
      <c r="AF337" s="62">
        <f t="shared" ca="1" si="307"/>
        <v>-0.41059914149809629</v>
      </c>
      <c r="AG337" s="62">
        <f t="shared" ca="1" si="307"/>
        <v>-0.41774687492524848</v>
      </c>
      <c r="AH337" s="62">
        <f t="shared" ca="1" si="307"/>
        <v>-0.42092202058785888</v>
      </c>
      <c r="AI337" s="62">
        <f t="shared" ca="1" si="307"/>
        <v>-0.42515064733919888</v>
      </c>
      <c r="AJ337" s="62">
        <f t="shared" ca="1" si="307"/>
        <v>-0.42272837044590356</v>
      </c>
      <c r="AK337" s="62">
        <f t="shared" ca="1" si="307"/>
        <v>-0.41374511509430512</v>
      </c>
      <c r="AL337" s="62">
        <f t="shared" ca="1" si="307"/>
        <v>-0.37433759782218495</v>
      </c>
    </row>
    <row r="338" spans="4:39" outlineLevel="1">
      <c r="D338" t="s">
        <v>195</v>
      </c>
      <c r="G338" s="186"/>
      <c r="H338" s="186"/>
      <c r="I338" s="186"/>
      <c r="J338" s="186"/>
      <c r="K338" s="62" t="str">
        <f t="shared" ref="K338:AL338" si="308">IFERROR(IF(AVERAGE(J335:K335)&lt;0,"na",+K336*4/AVERAGE(J335:K335)),"na")</f>
        <v>na</v>
      </c>
      <c r="L338" s="62">
        <f t="shared" si="308"/>
        <v>-1.8854361955786925</v>
      </c>
      <c r="M338" s="62">
        <f t="shared" si="308"/>
        <v>-3.571684638948684</v>
      </c>
      <c r="N338" s="62">
        <f t="shared" si="308"/>
        <v>-1.4277756942615498</v>
      </c>
      <c r="O338" s="62">
        <f t="shared" si="308"/>
        <v>-1.2392091356166821</v>
      </c>
      <c r="P338" s="62">
        <f t="shared" si="308"/>
        <v>-1.3787626420091019</v>
      </c>
      <c r="Q338" s="62">
        <f t="shared" si="308"/>
        <v>-2.8251153425218667</v>
      </c>
      <c r="R338" s="62">
        <f t="shared" si="308"/>
        <v>-1.2468303322336216</v>
      </c>
      <c r="S338" s="62">
        <f t="shared" si="308"/>
        <v>-1.2884424434108974</v>
      </c>
      <c r="T338" s="62" t="str">
        <f t="shared" si="308"/>
        <v>na</v>
      </c>
      <c r="U338" s="62" t="str">
        <f t="shared" si="308"/>
        <v>na</v>
      </c>
      <c r="V338" s="62" t="str">
        <f t="shared" si="308"/>
        <v>na</v>
      </c>
      <c r="W338" s="62" t="str">
        <f t="shared" si="308"/>
        <v>na</v>
      </c>
      <c r="X338" s="62" t="str">
        <f t="shared" si="308"/>
        <v>na</v>
      </c>
      <c r="Y338" s="62" t="str">
        <f t="shared" si="308"/>
        <v>na</v>
      </c>
      <c r="Z338" s="62" t="str">
        <f t="shared" si="308"/>
        <v>na</v>
      </c>
      <c r="AA338" s="62" t="str">
        <f t="shared" si="308"/>
        <v>na</v>
      </c>
      <c r="AB338" s="62" t="str">
        <f t="shared" si="308"/>
        <v>na</v>
      </c>
      <c r="AC338" s="62" t="str">
        <f t="shared" si="308"/>
        <v>na</v>
      </c>
      <c r="AD338" s="62" t="str">
        <f t="shared" ca="1" si="308"/>
        <v>na</v>
      </c>
      <c r="AE338" s="62" t="str">
        <f t="shared" ca="1" si="308"/>
        <v>na</v>
      </c>
      <c r="AF338" s="62" t="str">
        <f t="shared" ca="1" si="308"/>
        <v>na</v>
      </c>
      <c r="AG338" s="62" t="str">
        <f t="shared" ca="1" si="308"/>
        <v>na</v>
      </c>
      <c r="AH338" s="62" t="str">
        <f t="shared" ca="1" si="308"/>
        <v>na</v>
      </c>
      <c r="AI338" s="62" t="str">
        <f t="shared" ca="1" si="308"/>
        <v>na</v>
      </c>
      <c r="AJ338" s="62" t="str">
        <f t="shared" ca="1" si="308"/>
        <v>na</v>
      </c>
      <c r="AK338" s="62" t="str">
        <f t="shared" ca="1" si="308"/>
        <v>na</v>
      </c>
      <c r="AL338" s="62" t="str">
        <f t="shared" ca="1" si="308"/>
        <v>na</v>
      </c>
    </row>
    <row r="339" spans="4:39" outlineLevel="1">
      <c r="D339" t="s">
        <v>162</v>
      </c>
      <c r="G339" s="7"/>
      <c r="H339" s="7"/>
      <c r="I339" s="7"/>
      <c r="J339" s="7"/>
      <c r="K339" s="7">
        <f t="shared" ref="K339:AL339" si="309">AVERAGE(SUM(J200:J202,J194,J188,J190,J195),SUM(K200:K202,K194,K188,K190,K195))</f>
        <v>61.232500000000002</v>
      </c>
      <c r="L339" s="7">
        <f t="shared" si="309"/>
        <v>112.73350000000001</v>
      </c>
      <c r="M339" s="7">
        <f t="shared" si="309"/>
        <v>173.30850000000001</v>
      </c>
      <c r="N339" s="7">
        <f t="shared" si="309"/>
        <v>236.16450000000003</v>
      </c>
      <c r="O339" s="7">
        <f t="shared" si="309"/>
        <v>221.32100000000003</v>
      </c>
      <c r="P339" s="7">
        <f t="shared" si="309"/>
        <v>205.28900000000004</v>
      </c>
      <c r="Q339" s="7">
        <f t="shared" si="309"/>
        <v>473.79300000000001</v>
      </c>
      <c r="R339" s="7">
        <f t="shared" si="309"/>
        <v>743.63499999999999</v>
      </c>
      <c r="S339" s="7">
        <f t="shared" si="309"/>
        <v>746.74500000000012</v>
      </c>
      <c r="T339" s="7">
        <f t="shared" si="309"/>
        <v>1003.4155000000001</v>
      </c>
      <c r="U339" s="7">
        <f t="shared" si="309"/>
        <v>1248.7865000000002</v>
      </c>
      <c r="V339" s="7">
        <f t="shared" si="309"/>
        <v>1246.5695000000001</v>
      </c>
      <c r="W339" s="7">
        <f t="shared" si="309"/>
        <v>1242.5720000000001</v>
      </c>
      <c r="X339" s="7">
        <f t="shared" si="309"/>
        <v>1244.6970000000001</v>
      </c>
      <c r="Y339" s="7">
        <f t="shared" si="309"/>
        <v>1675.2560000000001</v>
      </c>
      <c r="Z339" s="7">
        <f t="shared" si="309"/>
        <v>2105.0124999999998</v>
      </c>
      <c r="AA339" s="7">
        <f t="shared" si="309"/>
        <v>2099.5549999999998</v>
      </c>
      <c r="AB339" s="7">
        <f t="shared" si="309"/>
        <v>2119.0545000000002</v>
      </c>
      <c r="AC339" s="7">
        <f t="shared" si="309"/>
        <v>2154.5137279190485</v>
      </c>
      <c r="AD339" s="7">
        <f t="shared" ca="1" si="309"/>
        <v>2154.1009239478744</v>
      </c>
      <c r="AE339" s="7">
        <f t="shared" ca="1" si="309"/>
        <v>2156.3366178513311</v>
      </c>
      <c r="AF339" s="7">
        <f t="shared" ca="1" si="309"/>
        <v>2163.6107977002011</v>
      </c>
      <c r="AG339" s="7">
        <f t="shared" ca="1" si="309"/>
        <v>2169.6692301696366</v>
      </c>
      <c r="AH339" s="7">
        <f t="shared" ca="1" si="309"/>
        <v>2180.8142715068602</v>
      </c>
      <c r="AI339" s="7">
        <f t="shared" ca="1" si="309"/>
        <v>2190.4741863863555</v>
      </c>
      <c r="AJ339" s="7">
        <f t="shared" ca="1" si="309"/>
        <v>2207.551431836514</v>
      </c>
      <c r="AK339" s="7">
        <f t="shared" ca="1" si="309"/>
        <v>2223.2318853593965</v>
      </c>
      <c r="AL339" s="7">
        <f t="shared" ca="1" si="309"/>
        <v>2247.0550394908732</v>
      </c>
    </row>
    <row r="340" spans="4:39" outlineLevel="1">
      <c r="D340" t="s">
        <v>196</v>
      </c>
      <c r="G340" s="79"/>
      <c r="H340" s="79"/>
      <c r="I340" s="79"/>
      <c r="J340" s="79"/>
      <c r="K340" s="79">
        <f t="shared" ref="K340:AL340" si="310">IFERROR(K339-AVERAGE(SUM(K174:K175),SUM(J174:J175)),"na")</f>
        <v>27.383000000000003</v>
      </c>
      <c r="L340" s="79">
        <f t="shared" si="310"/>
        <v>55.631000000000007</v>
      </c>
      <c r="M340" s="79">
        <f t="shared" si="310"/>
        <v>55.515000000000001</v>
      </c>
      <c r="N340" s="79">
        <f t="shared" si="310"/>
        <v>61.295500000000004</v>
      </c>
      <c r="O340" s="79">
        <f t="shared" si="310"/>
        <v>70.295500000000004</v>
      </c>
      <c r="P340" s="79">
        <f t="shared" si="310"/>
        <v>72.248000000000047</v>
      </c>
      <c r="Q340" s="79">
        <f t="shared" si="310"/>
        <v>88.896500000000003</v>
      </c>
      <c r="R340" s="79">
        <f t="shared" si="310"/>
        <v>102.60850000000005</v>
      </c>
      <c r="S340" s="79">
        <f t="shared" si="310"/>
        <v>134.34400000000005</v>
      </c>
      <c r="T340" s="79">
        <f t="shared" si="310"/>
        <v>174.9430000000001</v>
      </c>
      <c r="U340" s="79">
        <f t="shared" si="310"/>
        <v>188.5925000000002</v>
      </c>
      <c r="V340" s="79">
        <f t="shared" si="310"/>
        <v>204.87300000000005</v>
      </c>
      <c r="W340" s="79">
        <f t="shared" si="310"/>
        <v>208.91200000000003</v>
      </c>
      <c r="X340" s="79">
        <f t="shared" si="310"/>
        <v>210.31400000000008</v>
      </c>
      <c r="Y340" s="79">
        <f t="shared" si="310"/>
        <v>251.54650000000015</v>
      </c>
      <c r="Z340" s="79">
        <f t="shared" si="310"/>
        <v>287.15249999999969</v>
      </c>
      <c r="AA340" s="79">
        <f t="shared" si="310"/>
        <v>326.01350000000002</v>
      </c>
      <c r="AB340" s="79">
        <f t="shared" si="310"/>
        <v>435.51050000000032</v>
      </c>
      <c r="AC340" s="79">
        <f t="shared" si="310"/>
        <v>516.86627280412631</v>
      </c>
      <c r="AD340" s="79">
        <f t="shared" ca="1" si="310"/>
        <v>531.07886415282906</v>
      </c>
      <c r="AE340" s="79">
        <f t="shared" ca="1" si="310"/>
        <v>553.77373542785062</v>
      </c>
      <c r="AF340" s="79">
        <f t="shared" ca="1" si="310"/>
        <v>579.75606963003793</v>
      </c>
      <c r="AG340" s="79">
        <f t="shared" ca="1" si="310"/>
        <v>603.82476709000321</v>
      </c>
      <c r="AH340" s="79">
        <f t="shared" ca="1" si="310"/>
        <v>632.0921564555415</v>
      </c>
      <c r="AI340" s="79">
        <f t="shared" ca="1" si="310"/>
        <v>658.19507236442814</v>
      </c>
      <c r="AJ340" s="79">
        <f t="shared" ca="1" si="310"/>
        <v>690.19521458875829</v>
      </c>
      <c r="AK340" s="79">
        <f t="shared" ca="1" si="310"/>
        <v>719.2337382639389</v>
      </c>
      <c r="AL340" s="79">
        <f t="shared" ca="1" si="310"/>
        <v>755.07556080130939</v>
      </c>
    </row>
    <row r="341" spans="4:39" outlineLevel="1">
      <c r="D341" t="s">
        <v>240</v>
      </c>
      <c r="G341" s="62"/>
      <c r="H341" s="62"/>
      <c r="I341" s="62"/>
      <c r="J341" s="62"/>
      <c r="K341" s="62">
        <f>DCF!$C$31</f>
        <v>0.24</v>
      </c>
      <c r="L341" s="62">
        <f>DCF!$C$31</f>
        <v>0.24</v>
      </c>
      <c r="M341" s="62">
        <f>DCF!$C$31</f>
        <v>0.24</v>
      </c>
      <c r="N341" s="62">
        <f>DCF!$C$31</f>
        <v>0.24</v>
      </c>
      <c r="O341" s="62">
        <f>DCF!$C$31</f>
        <v>0.24</v>
      </c>
      <c r="P341" s="62">
        <f>DCF!$C$31</f>
        <v>0.24</v>
      </c>
      <c r="Q341" s="62">
        <f>DCF!$C$31</f>
        <v>0.24</v>
      </c>
      <c r="R341" s="62">
        <f>DCF!$C$31</f>
        <v>0.24</v>
      </c>
      <c r="S341" s="62">
        <f>DCF!$C$31</f>
        <v>0.24</v>
      </c>
      <c r="T341" s="62">
        <f>DCF!$C$31</f>
        <v>0.24</v>
      </c>
      <c r="U341" s="62">
        <f>DCF!$C$31</f>
        <v>0.24</v>
      </c>
      <c r="V341" s="62">
        <f>DCF!$C$31</f>
        <v>0.24</v>
      </c>
      <c r="W341" s="62">
        <f>DCF!$C$31</f>
        <v>0.24</v>
      </c>
      <c r="X341" s="62">
        <f>DCF!$C$31</f>
        <v>0.24</v>
      </c>
      <c r="Y341" s="62">
        <f>DCF!$C$31</f>
        <v>0.24</v>
      </c>
      <c r="Z341" s="62">
        <f>DCF!$C$31</f>
        <v>0.24</v>
      </c>
      <c r="AA341" s="62">
        <f>DCF!$C$31</f>
        <v>0.24</v>
      </c>
      <c r="AB341" s="62">
        <f>DCF!$C$31</f>
        <v>0.24</v>
      </c>
      <c r="AC341" s="62">
        <f>DCF!$C$31</f>
        <v>0.24</v>
      </c>
      <c r="AD341" s="62">
        <f>DCF!$C$31</f>
        <v>0.24</v>
      </c>
      <c r="AE341" s="62">
        <f>DCF!$C$31</f>
        <v>0.24</v>
      </c>
      <c r="AF341" s="62">
        <f>DCF!$C$31</f>
        <v>0.24</v>
      </c>
      <c r="AG341" s="62">
        <f>DCF!$C$31</f>
        <v>0.24</v>
      </c>
      <c r="AH341" s="62">
        <f>DCF!$C$31</f>
        <v>0.24</v>
      </c>
      <c r="AI341" s="62">
        <f>DCF!$C$31</f>
        <v>0.24</v>
      </c>
      <c r="AJ341" s="62">
        <f>DCF!$C$31</f>
        <v>0.24</v>
      </c>
      <c r="AK341" s="62">
        <f>DCF!$C$31</f>
        <v>0.24</v>
      </c>
      <c r="AL341" s="62">
        <f>DCF!$C$31</f>
        <v>0.24</v>
      </c>
    </row>
    <row r="342" spans="4:39" outlineLevel="1">
      <c r="D342" t="s">
        <v>55</v>
      </c>
      <c r="G342" s="62"/>
      <c r="H342" s="62"/>
      <c r="I342" s="62"/>
      <c r="J342" s="62"/>
      <c r="K342" s="62">
        <f t="shared" ref="K342:AL342" si="311">IFERROR(+(K113*(1-K341))*4/AVERAGE(J339:K339),"na")</f>
        <v>-0.56095962111623732</v>
      </c>
      <c r="L342" s="62">
        <f t="shared" si="311"/>
        <v>-0.72352160767046436</v>
      </c>
      <c r="M342" s="62">
        <f t="shared" si="311"/>
        <v>-0.80150691157242626</v>
      </c>
      <c r="N342" s="62">
        <f t="shared" si="311"/>
        <v>-0.2565944030497736</v>
      </c>
      <c r="O342" s="62">
        <f t="shared" si="311"/>
        <v>-0.23177827493986156</v>
      </c>
      <c r="P342" s="62">
        <f t="shared" si="311"/>
        <v>-0.28299983591570732</v>
      </c>
      <c r="Q342" s="62">
        <f t="shared" si="311"/>
        <v>-0.3736823535302069</v>
      </c>
      <c r="R342" s="62">
        <f t="shared" si="311"/>
        <v>-0.15159197915605682</v>
      </c>
      <c r="S342" s="62">
        <f t="shared" si="311"/>
        <v>-0.14517296260014229</v>
      </c>
      <c r="T342" s="62">
        <f t="shared" si="311"/>
        <v>-8.6581682080014918E-2</v>
      </c>
      <c r="U342" s="62">
        <f t="shared" si="311"/>
        <v>-5.793299180091302E-2</v>
      </c>
      <c r="V342" s="62">
        <f t="shared" si="311"/>
        <v>-6.0006764565857539E-2</v>
      </c>
      <c r="W342" s="62">
        <f t="shared" si="311"/>
        <v>-7.5979802674938299E-2</v>
      </c>
      <c r="X342" s="62">
        <f t="shared" si="311"/>
        <v>-7.271988675129229E-2</v>
      </c>
      <c r="Y342" s="62">
        <f t="shared" si="311"/>
        <v>-0.20482225570069101</v>
      </c>
      <c r="Z342" s="62">
        <f t="shared" si="311"/>
        <v>-6.6730498111443673E-2</v>
      </c>
      <c r="AA342" s="62">
        <f t="shared" si="311"/>
        <v>-5.8580788630459624E-2</v>
      </c>
      <c r="AB342" s="62">
        <f t="shared" si="311"/>
        <v>-9.2682823570183495E-2</v>
      </c>
      <c r="AC342" s="62">
        <f t="shared" si="311"/>
        <v>-7.2357217047714278E-2</v>
      </c>
      <c r="AD342" s="62">
        <f t="shared" ca="1" si="311"/>
        <v>-7.0601380137205266E-2</v>
      </c>
      <c r="AE342" s="62">
        <f t="shared" ca="1" si="311"/>
        <v>-7.0705266152411406E-2</v>
      </c>
      <c r="AF342" s="62">
        <f t="shared" ca="1" si="311"/>
        <v>-7.0496683807672322E-2</v>
      </c>
      <c r="AG342" s="62">
        <f t="shared" ca="1" si="311"/>
        <v>-7.0037659979473685E-2</v>
      </c>
      <c r="AH342" s="62">
        <f t="shared" ca="1" si="311"/>
        <v>-6.8687697646792431E-2</v>
      </c>
      <c r="AI342" s="62">
        <f t="shared" ca="1" si="311"/>
        <v>-6.8026212171926198E-2</v>
      </c>
      <c r="AJ342" s="62">
        <f t="shared" ca="1" si="311"/>
        <v>-6.6201164841200144E-2</v>
      </c>
      <c r="AK342" s="62">
        <f t="shared" ca="1" si="311"/>
        <v>-6.3410390760847188E-2</v>
      </c>
      <c r="AL342" s="62">
        <f t="shared" ca="1" si="311"/>
        <v>-5.5272181068412168E-2</v>
      </c>
    </row>
    <row r="343" spans="4:39" outlineLevel="1">
      <c r="D343" t="s">
        <v>192</v>
      </c>
      <c r="E343" s="83"/>
      <c r="F343" s="83"/>
      <c r="G343" s="167"/>
      <c r="H343" s="167"/>
      <c r="I343" s="167"/>
      <c r="J343" s="167"/>
      <c r="K343" s="167">
        <f t="shared" ref="K343:AL343" si="312">IFERROR(+(K113*(1-K341))*4/AVERAGE(J340:K340),"na")</f>
        <v>-1.2543899499689588</v>
      </c>
      <c r="L343" s="167">
        <f t="shared" si="312"/>
        <v>-1.5162281061025851</v>
      </c>
      <c r="M343" s="167">
        <f t="shared" si="312"/>
        <v>-2.062734061504687</v>
      </c>
      <c r="N343" s="167">
        <f t="shared" si="312"/>
        <v>-0.89947804349780169</v>
      </c>
      <c r="O343" s="167">
        <f t="shared" si="312"/>
        <v>-0.80579370929622873</v>
      </c>
      <c r="P343" s="167">
        <f t="shared" si="312"/>
        <v>-0.84697345020993497</v>
      </c>
      <c r="Q343" s="167">
        <f t="shared" si="312"/>
        <v>-1.5747416759492252</v>
      </c>
      <c r="R343" s="167">
        <f t="shared" si="312"/>
        <v>-0.96369452494712871</v>
      </c>
      <c r="S343" s="167">
        <f t="shared" si="312"/>
        <v>-0.91310655089100135</v>
      </c>
      <c r="T343" s="167">
        <f t="shared" si="312"/>
        <v>-0.48993924736571498</v>
      </c>
      <c r="U343" s="167">
        <f t="shared" si="312"/>
        <v>-0.35891075287007679</v>
      </c>
      <c r="V343" s="167">
        <f t="shared" si="312"/>
        <v>-0.38056256520584375</v>
      </c>
      <c r="W343" s="167">
        <f t="shared" si="312"/>
        <v>-0.45705977742064097</v>
      </c>
      <c r="X343" s="167">
        <f t="shared" si="312"/>
        <v>-0.43144728618931072</v>
      </c>
      <c r="Y343" s="167">
        <f t="shared" si="312"/>
        <v>-1.2949177511391419</v>
      </c>
      <c r="Z343" s="167">
        <f t="shared" si="312"/>
        <v>-0.46827486221433506</v>
      </c>
      <c r="AA343" s="167">
        <f t="shared" si="312"/>
        <v>-0.40169689774057943</v>
      </c>
      <c r="AB343" s="167">
        <f t="shared" si="312"/>
        <v>-0.51343442885582058</v>
      </c>
      <c r="AC343" s="167">
        <f t="shared" si="312"/>
        <v>-0.32468610393058339</v>
      </c>
      <c r="AD343" s="167">
        <f t="shared" ca="1" si="312"/>
        <v>-0.29027678088617709</v>
      </c>
      <c r="AE343" s="167">
        <f t="shared" ca="1" si="312"/>
        <v>-0.28093275873981366</v>
      </c>
      <c r="AF343" s="167">
        <f t="shared" ca="1" si="312"/>
        <v>-0.26866692491103478</v>
      </c>
      <c r="AG343" s="167">
        <f t="shared" ca="1" si="312"/>
        <v>-0.25641915091227419</v>
      </c>
      <c r="AH343" s="167">
        <f t="shared" ca="1" si="312"/>
        <v>-0.24178380414377587</v>
      </c>
      <c r="AI343" s="167">
        <f t="shared" ca="1" si="312"/>
        <v>-0.23046201609953787</v>
      </c>
      <c r="AJ343" s="167">
        <f t="shared" ca="1" si="312"/>
        <v>-0.21592740747612763</v>
      </c>
      <c r="AK343" s="167">
        <f t="shared" ca="1" si="312"/>
        <v>-0.1993415141298002</v>
      </c>
      <c r="AL343" s="167">
        <f t="shared" ca="1" si="312"/>
        <v>-0.1675920436062748</v>
      </c>
    </row>
    <row r="344" spans="4:39" outlineLevel="1">
      <c r="D344" t="s">
        <v>241</v>
      </c>
      <c r="G344" s="167"/>
      <c r="H344" s="167"/>
      <c r="I344" s="167"/>
      <c r="J344" s="167"/>
      <c r="K344" s="167">
        <f t="shared" ref="K344:AL344" si="313">IFERROR(+((K113-K112)*(1-K341))*4/AVERAGE(J339:K339),"na")</f>
        <v>-0.5388171314253053</v>
      </c>
      <c r="L344" s="167">
        <f t="shared" si="313"/>
        <v>-0.715937597001713</v>
      </c>
      <c r="M344" s="167">
        <f t="shared" si="313"/>
        <v>-0.27989400158018746</v>
      </c>
      <c r="N344" s="167">
        <f t="shared" si="313"/>
        <v>-0.25380291252414677</v>
      </c>
      <c r="O344" s="167">
        <f t="shared" si="313"/>
        <v>-0.22788429360056231</v>
      </c>
      <c r="P344" s="167">
        <f t="shared" si="313"/>
        <v>-0.28177417313236891</v>
      </c>
      <c r="Q344" s="167">
        <f t="shared" si="313"/>
        <v>-0.3678537790723358</v>
      </c>
      <c r="R344" s="167">
        <f t="shared" si="313"/>
        <v>-0.14953439546322242</v>
      </c>
      <c r="S344" s="167">
        <f t="shared" si="313"/>
        <v>-0.12132830553281718</v>
      </c>
      <c r="T344" s="167">
        <f t="shared" si="313"/>
        <v>-8.599805560690002E-2</v>
      </c>
      <c r="U344" s="167">
        <f t="shared" si="313"/>
        <v>-5.737147911244192E-2</v>
      </c>
      <c r="V344" s="167">
        <f t="shared" si="313"/>
        <v>-6.0282092014125439E-2</v>
      </c>
      <c r="W344" s="167">
        <f t="shared" si="313"/>
        <v>-7.6341308840819175E-2</v>
      </c>
      <c r="X344" s="167">
        <f t="shared" si="313"/>
        <v>-7.0576105760977212E-2</v>
      </c>
      <c r="Y344" s="167">
        <f t="shared" si="313"/>
        <v>-5.5166476994663947E-2</v>
      </c>
      <c r="Z344" s="167">
        <f t="shared" si="313"/>
        <v>-6.604534043018373E-2</v>
      </c>
      <c r="AA344" s="167">
        <f t="shared" si="313"/>
        <v>-5.406044735873549E-2</v>
      </c>
      <c r="AB344" s="167">
        <f t="shared" si="313"/>
        <v>-9.1515424691477137E-2</v>
      </c>
      <c r="AC344" s="167">
        <f t="shared" si="313"/>
        <v>-7.2357217047714278E-2</v>
      </c>
      <c r="AD344" s="167">
        <f t="shared" ca="1" si="313"/>
        <v>-7.0601380137205266E-2</v>
      </c>
      <c r="AE344" s="167">
        <f t="shared" ca="1" si="313"/>
        <v>-7.0705266152411406E-2</v>
      </c>
      <c r="AF344" s="167">
        <f t="shared" ca="1" si="313"/>
        <v>-7.0496683807672322E-2</v>
      </c>
      <c r="AG344" s="167">
        <f t="shared" ca="1" si="313"/>
        <v>-7.0037659979473685E-2</v>
      </c>
      <c r="AH344" s="167">
        <f t="shared" ca="1" si="313"/>
        <v>-6.8687697646792431E-2</v>
      </c>
      <c r="AI344" s="167">
        <f t="shared" ca="1" si="313"/>
        <v>-6.8026212171926198E-2</v>
      </c>
      <c r="AJ344" s="167">
        <f t="shared" ca="1" si="313"/>
        <v>-6.6201164841200144E-2</v>
      </c>
      <c r="AK344" s="167">
        <f t="shared" ca="1" si="313"/>
        <v>-6.3410390760847188E-2</v>
      </c>
      <c r="AL344" s="167">
        <f t="shared" ca="1" si="313"/>
        <v>-5.5272181068412168E-2</v>
      </c>
    </row>
    <row r="345" spans="4:39" outlineLevel="1">
      <c r="D345" t="s">
        <v>242</v>
      </c>
      <c r="G345" s="167"/>
      <c r="H345" s="167"/>
      <c r="I345" s="167"/>
      <c r="J345" s="167"/>
      <c r="K345" s="167">
        <f t="shared" ref="K345:AL345" si="314">IFERROR(+((K113-K112)*(1-K341))*4/AVERAGE(J340:K340),"na")</f>
        <v>-1.2048760179673521</v>
      </c>
      <c r="L345" s="167">
        <f t="shared" si="314"/>
        <v>-1.500334883272701</v>
      </c>
      <c r="M345" s="167">
        <f t="shared" si="314"/>
        <v>-0.72032677739189876</v>
      </c>
      <c r="N345" s="167">
        <f t="shared" si="314"/>
        <v>-0.8896926218105391</v>
      </c>
      <c r="O345" s="167">
        <f t="shared" si="314"/>
        <v>-0.79225600534991036</v>
      </c>
      <c r="P345" s="167">
        <f t="shared" si="314"/>
        <v>-0.84330523664705781</v>
      </c>
      <c r="Q345" s="167">
        <f t="shared" si="314"/>
        <v>-1.5501793731712836</v>
      </c>
      <c r="R345" s="167">
        <f t="shared" si="314"/>
        <v>-0.95061413540116391</v>
      </c>
      <c r="S345" s="167">
        <f t="shared" si="314"/>
        <v>-0.76312881273672994</v>
      </c>
      <c r="T345" s="167">
        <f t="shared" si="314"/>
        <v>-0.48663668372741137</v>
      </c>
      <c r="U345" s="167">
        <f t="shared" si="314"/>
        <v>-0.35543202795875456</v>
      </c>
      <c r="V345" s="167">
        <f t="shared" si="314"/>
        <v>-0.38230869034260923</v>
      </c>
      <c r="W345" s="167">
        <f t="shared" si="314"/>
        <v>-0.45923443334098601</v>
      </c>
      <c r="X345" s="167">
        <f t="shared" si="314"/>
        <v>-0.41872822773396684</v>
      </c>
      <c r="Y345" s="167">
        <f t="shared" si="314"/>
        <v>-0.34877093841105683</v>
      </c>
      <c r="Z345" s="167">
        <f t="shared" si="314"/>
        <v>-0.46346683398335631</v>
      </c>
      <c r="AA345" s="167">
        <f t="shared" si="314"/>
        <v>-0.37070026713809989</v>
      </c>
      <c r="AB345" s="167">
        <f t="shared" si="314"/>
        <v>-0.50696739695662896</v>
      </c>
      <c r="AC345" s="167">
        <f t="shared" si="314"/>
        <v>-0.32468610393058339</v>
      </c>
      <c r="AD345" s="167">
        <f t="shared" ca="1" si="314"/>
        <v>-0.29027678088617709</v>
      </c>
      <c r="AE345" s="167">
        <f t="shared" ca="1" si="314"/>
        <v>-0.28093275873981366</v>
      </c>
      <c r="AF345" s="167">
        <f t="shared" ca="1" si="314"/>
        <v>-0.26866692491103478</v>
      </c>
      <c r="AG345" s="167">
        <f t="shared" ca="1" si="314"/>
        <v>-0.25641915091227419</v>
      </c>
      <c r="AH345" s="167">
        <f t="shared" ca="1" si="314"/>
        <v>-0.24178380414377587</v>
      </c>
      <c r="AI345" s="167">
        <f t="shared" ca="1" si="314"/>
        <v>-0.23046201609953787</v>
      </c>
      <c r="AJ345" s="167">
        <f t="shared" ca="1" si="314"/>
        <v>-0.21592740747612763</v>
      </c>
      <c r="AK345" s="167">
        <f t="shared" ca="1" si="314"/>
        <v>-0.1993415141298002</v>
      </c>
      <c r="AL345" s="167">
        <f t="shared" ca="1" si="314"/>
        <v>-0.1675920436062748</v>
      </c>
    </row>
    <row r="346" spans="4:39">
      <c r="U346" s="54"/>
      <c r="V346" s="54"/>
      <c r="W346" s="54"/>
      <c r="X346" s="54"/>
      <c r="Y346" s="54"/>
      <c r="Z346" s="54"/>
      <c r="AA346" s="54"/>
      <c r="AB346" s="54"/>
      <c r="AC346" s="54"/>
      <c r="AD346" s="54"/>
      <c r="AE346" s="54"/>
      <c r="AF346" s="54"/>
      <c r="AG346" s="54"/>
      <c r="AH346" s="54"/>
      <c r="AI346" s="54"/>
      <c r="AJ346" s="54"/>
      <c r="AK346" s="54"/>
      <c r="AL346" s="54"/>
      <c r="AM346" s="54"/>
    </row>
    <row r="347" spans="4:39">
      <c r="U347" s="54"/>
      <c r="V347" s="54"/>
      <c r="W347" s="54"/>
      <c r="X347" s="54"/>
      <c r="Y347" s="54"/>
      <c r="Z347" s="54"/>
      <c r="AA347" s="54"/>
      <c r="AB347" s="54"/>
      <c r="AC347" s="54"/>
      <c r="AD347" s="54"/>
      <c r="AE347" s="54"/>
      <c r="AF347" s="54"/>
      <c r="AG347" s="54"/>
      <c r="AH347" s="54"/>
      <c r="AI347" s="54"/>
      <c r="AJ347" s="54"/>
      <c r="AK347" s="54"/>
      <c r="AL347" s="54"/>
      <c r="AM347" s="54"/>
    </row>
    <row r="348" spans="4:39">
      <c r="U348" s="54"/>
      <c r="V348" s="54"/>
      <c r="W348" s="54"/>
      <c r="X348" s="54"/>
      <c r="Y348" s="54"/>
      <c r="Z348" s="54"/>
      <c r="AA348" s="54"/>
      <c r="AB348" s="54"/>
      <c r="AC348" s="54"/>
      <c r="AD348" s="54"/>
      <c r="AE348" s="54"/>
      <c r="AF348" s="54"/>
      <c r="AG348" s="54"/>
      <c r="AH348" s="54"/>
      <c r="AI348" s="54"/>
      <c r="AJ348" s="54"/>
      <c r="AK348" s="54"/>
      <c r="AL348" s="54"/>
      <c r="AM348" s="54"/>
    </row>
  </sheetData>
  <conditionalFormatting sqref="N204:Z204 AE204:AF204">
    <cfRule type="cellIs" dxfId="9" priority="10" operator="equal">
      <formula>FALSE</formula>
    </cfRule>
  </conditionalFormatting>
  <conditionalFormatting sqref="K204:M204">
    <cfRule type="cellIs" dxfId="8" priority="9" operator="equal">
      <formula>FALSE</formula>
    </cfRule>
  </conditionalFormatting>
  <conditionalFormatting sqref="K204:L204">
    <cfRule type="cellIs" dxfId="7" priority="8" operator="equal">
      <formula>FALSE</formula>
    </cfRule>
  </conditionalFormatting>
  <conditionalFormatting sqref="AG204">
    <cfRule type="cellIs" dxfId="6" priority="7" operator="equal">
      <formula>FALSE</formula>
    </cfRule>
  </conditionalFormatting>
  <conditionalFormatting sqref="AH204">
    <cfRule type="cellIs" dxfId="5" priority="6" operator="equal">
      <formula>FALSE</formula>
    </cfRule>
  </conditionalFormatting>
  <conditionalFormatting sqref="AB204">
    <cfRule type="cellIs" dxfId="4" priority="5" operator="equal">
      <formula>FALSE</formula>
    </cfRule>
  </conditionalFormatting>
  <conditionalFormatting sqref="AC204">
    <cfRule type="cellIs" dxfId="3" priority="4" operator="equal">
      <formula>FALSE</formula>
    </cfRule>
  </conditionalFormatting>
  <conditionalFormatting sqref="AD204">
    <cfRule type="cellIs" dxfId="2" priority="3" operator="equal">
      <formula>FALSE</formula>
    </cfRule>
  </conditionalFormatting>
  <conditionalFormatting sqref="AI204:AL204">
    <cfRule type="cellIs" dxfId="1" priority="2" operator="equal">
      <formula>FALSE</formula>
    </cfRule>
  </conditionalFormatting>
  <conditionalFormatting sqref="AA204">
    <cfRule type="cellIs" dxfId="0" priority="1" operator="equal">
      <formula>FALSE</formula>
    </cfRule>
  </conditionalFormatting>
  <pageMargins left="0.7" right="0.7" top="0.75" bottom="0.75" header="0.3" footer="0.3"/>
  <pageSetup scale="1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DCF</vt:lpstr>
      <vt:lpstr>Model</vt:lpstr>
      <vt:lpstr>QRT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Second Man</dc:creator>
  <cp:lastModifiedBy>Second Man</cp:lastModifiedBy>
  <cp:lastPrinted>2021-01-11T19:33:22Z</cp:lastPrinted>
  <dcterms:created xsi:type="dcterms:W3CDTF">2019-08-26T13:22:05Z</dcterms:created>
  <dcterms:modified xsi:type="dcterms:W3CDTF">2022-09-20T03:45:38Z</dcterms:modified>
</cp:coreProperties>
</file>